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style4.xml" ContentType="application/vnd.ms-office.chartstyle+xml"/>
  <Override PartName="/xl/charts/colors4.xml" ContentType="application/vnd.ms-office.chartcolorstyle+xml"/>
  <Override PartName="/xl/charts/chart9.xml" ContentType="application/vnd.openxmlformats-officedocument.drawingml.chart+xml"/>
  <Override PartName="/xl/charts/style5.xml" ContentType="application/vnd.ms-office.chartstyle+xml"/>
  <Override PartName="/xl/charts/colors5.xml" ContentType="application/vnd.ms-office.chartcolorstyle+xml"/>
  <Override PartName="/xl/charts/chart10.xml" ContentType="application/vnd.openxmlformats-officedocument.drawingml.chart+xml"/>
  <Override PartName="/xl/charts/style6.xml" ContentType="application/vnd.ms-office.chartstyle+xml"/>
  <Override PartName="/xl/charts/colors6.xml" ContentType="application/vnd.ms-office.chartcolorstyle+xml"/>
  <Override PartName="/xl/charts/chart11.xml" ContentType="application/vnd.openxmlformats-officedocument.drawingml.chart+xml"/>
  <Override PartName="/xl/charts/style7.xml" ContentType="application/vnd.ms-office.chartstyle+xml"/>
  <Override PartName="/xl/charts/colors7.xml" ContentType="application/vnd.ms-office.chartcolorstyle+xml"/>
  <Override PartName="/xl/charts/chart12.xml" ContentType="application/vnd.openxmlformats-officedocument.drawingml.chart+xml"/>
  <Override PartName="/xl/charts/style8.xml" ContentType="application/vnd.ms-office.chartstyle+xml"/>
  <Override PartName="/xl/charts/colors8.xml" ContentType="application/vnd.ms-office.chartcolorstyle+xml"/>
  <Override PartName="/xl/charts/chart13.xml" ContentType="application/vnd.openxmlformats-officedocument.drawingml.chart+xml"/>
  <Override PartName="/xl/charts/style9.xml" ContentType="application/vnd.ms-office.chartstyle+xml"/>
  <Override PartName="/xl/charts/colors9.xml" ContentType="application/vnd.ms-office.chartcolorstyle+xml"/>
  <Override PartName="/xl/drawings/drawing3.xml" ContentType="application/vnd.openxmlformats-officedocument.drawing+xml"/>
  <Override PartName="/xl/charts/chart14.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4.xml" ContentType="application/vnd.openxmlformats-officedocument.drawing+xml"/>
  <Override PartName="/xl/charts/chart15.xml" ContentType="application/vnd.openxmlformats-officedocument.drawingml.chart+xml"/>
  <Override PartName="/xl/charts/style11.xml" ContentType="application/vnd.ms-office.chartstyle+xml"/>
  <Override PartName="/xl/charts/colors11.xml" ContentType="application/vnd.ms-office.chartcolorstyle+xml"/>
  <Override PartName="/xl/charts/chart16.xml" ContentType="application/vnd.openxmlformats-officedocument.drawingml.chart+xml"/>
  <Override PartName="/xl/charts/style12.xml" ContentType="application/vnd.ms-office.chartstyle+xml"/>
  <Override PartName="/xl/charts/colors12.xml" ContentType="application/vnd.ms-office.chartcolorstyle+xml"/>
  <Override PartName="/xl/charts/chart17.xml" ContentType="application/vnd.openxmlformats-officedocument.drawingml.chart+xml"/>
  <Override PartName="/xl/charts/style13.xml" ContentType="application/vnd.ms-office.chartstyle+xml"/>
  <Override PartName="/xl/charts/colors13.xml" ContentType="application/vnd.ms-office.chartcolorsty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mc:AlternateContent xmlns:mc="http://schemas.openxmlformats.org/markup-compatibility/2006">
    <mc:Choice Requires="x15">
      <x15ac:absPath xmlns:x15ac="http://schemas.microsoft.com/office/spreadsheetml/2010/11/ac" url="C:\Models\SATIMGE\AFOLU\"/>
    </mc:Choice>
  </mc:AlternateContent>
  <xr:revisionPtr revIDLastSave="0" documentId="8_{45C3D041-95DE-4521-8AD7-25D184E35ABF}" xr6:coauthVersionLast="45" xr6:coauthVersionMax="45" xr10:uidLastSave="{00000000-0000-0000-0000-000000000000}"/>
  <bookViews>
    <workbookView xWindow="3600" yWindow="-19785" windowWidth="28770" windowHeight="18810" activeTab="3" xr2:uid="{00000000-000D-0000-FFFF-FFFF00000000}"/>
  </bookViews>
  <sheets>
    <sheet name="Notes" sheetId="56" r:id="rId1"/>
    <sheet name="IndexG2E" sheetId="59" r:id="rId2"/>
    <sheet name="IndexE2G" sheetId="60" r:id="rId3"/>
    <sheet name="DriversCGE" sheetId="61" r:id="rId4"/>
    <sheet name="GHGSummary" sheetId="62" r:id="rId5"/>
    <sheet name="IPCC Categories" sheetId="35" r:id="rId6"/>
    <sheet name="Drivers" sheetId="47" r:id="rId7"/>
    <sheet name="Constants" sheetId="46" r:id="rId8"/>
    <sheet name="Levers &amp; variables" sheetId="58" r:id="rId9"/>
    <sheet name="Intermediate calculations" sheetId="50" r:id="rId10"/>
    <sheet name="Data" sheetId="57" r:id="rId11"/>
    <sheet name="BFAP verification" sheetId="55" state="hidden" r:id="rId12"/>
    <sheet name="Mitigation drivers" sheetId="51" r:id="rId13"/>
    <sheet name="Activity data" sheetId="36" r:id="rId14"/>
    <sheet name="EF" sheetId="33" r:id="rId15"/>
    <sheet name="Aggregated EF" sheetId="39" r:id="rId16"/>
    <sheet name="Emissions" sheetId="34" r:id="rId17"/>
    <sheet name="Emissions summary" sheetId="45" r:id="rId18"/>
  </sheets>
  <externalReferences>
    <externalReference r:id="rId19"/>
    <externalReference r:id="rId20"/>
    <externalReference r:id="rId21"/>
  </externalReferences>
  <definedNames>
    <definedName name="AllYears">OFFSET(#REF!,0,COUNTIF(#REF!,"a"),1,COUNTIF(#REF!,"x"))</definedName>
    <definedName name="CH4_GWP">'[1]Constants &amp; CF'!$E$8</definedName>
    <definedName name="CH4GWP">Constants!$B$3</definedName>
    <definedName name="CO2toC">Constants!$B$6</definedName>
    <definedName name="CoAccrate">'[2]Carbon stock data'!$H$91</definedName>
    <definedName name="CoFireloss">'[2]Carbon stock data'!$H$99</definedName>
    <definedName name="CompostN2O">EF!$H$78</definedName>
    <definedName name="CREF">EF!$H$194</definedName>
    <definedName name="CtoCO2">Constants!$B$5</definedName>
    <definedName name="CvAccrate">'[2]Carbon stock data'!$H$92</definedName>
    <definedName name="CvFireloss">'[2]Carbon stock data'!$H$100</definedName>
    <definedName name="DailyspreadN2O">EF!$H$77</definedName>
    <definedName name="DigesterN2OEF">EF!$H$82</definedName>
    <definedName name="DrylotN2O">EF!$H$75</definedName>
    <definedName name="FFCgain">'[2]Carbon stock data'!$H$4</definedName>
    <definedName name="FpCgain">'[2]Carbon stock data'!$H$7</definedName>
    <definedName name="FpDistloss">'[2]Carbon stock data'!$H$22</definedName>
    <definedName name="FpHarvestloss">'[2]Carbon stock data'!$H$14</definedName>
    <definedName name="FracGASF">EF!$H$196</definedName>
    <definedName name="FracGASM">EF!$H$197</definedName>
    <definedName name="FracLEACH">EF!$H$198</definedName>
    <definedName name="FracLEACHMM">EF!$H$203</definedName>
    <definedName name="FracLEACHUD">EF!$H$199</definedName>
    <definedName name="FSOMEF">EF!$H$193</definedName>
    <definedName name="FtCgain">'[2]Carbon stock data'!$H$5</definedName>
    <definedName name="FwCgain">'[2]Carbon stock data'!$H$6</definedName>
    <definedName name="FwFireloss">'[2]Carbon stock data'!$H$17</definedName>
    <definedName name="FwFuelloss">'[2]Carbon stock data'!$H$13</definedName>
    <definedName name="Ggtot">Constants!$B$13</definedName>
    <definedName name="GsAccrate">'[2]Carbon stock data'!$H$96</definedName>
    <definedName name="HistoricYears">OFFSET(#REF!,0,COUNTIF(#REF!,"a"),1,COUNTIF(#REF!,"x"))</definedName>
    <definedName name="InputData">OFFSET(#REF!,0,COUNTIF(#REF!,"a"),1,COUNTIF(#REF!,"x"))</definedName>
    <definedName name="kgtoGg">Constants!$B$9</definedName>
    <definedName name="kgtot">Constants!$B$10</definedName>
    <definedName name="LagoonN2O">EF!$H$73</definedName>
    <definedName name="LiquidN2O">EF!$H$74</definedName>
    <definedName name="ManureNEF">EF!$H$190</definedName>
    <definedName name="ManwithbedN2O">EF!$H$79</definedName>
    <definedName name="MMLeachEF">EF!$H$205</definedName>
    <definedName name="MMVolatEF">EF!$H$204</definedName>
    <definedName name="MSLeachEF">EF!$H$201</definedName>
    <definedName name="MSVolatEF">EF!$H$200</definedName>
    <definedName name="N2OGWP">Constants!$B$4</definedName>
    <definedName name="NtoN2O">Constants!$B$8</definedName>
    <definedName name="ONEF">EF!$H$189</definedName>
    <definedName name="PMwithlitterN2O">EF!$H$81</definedName>
    <definedName name="PMwithoutlitterN2O">EF!$H$80</definedName>
    <definedName name="ProjectedAD">OFFSET(#REF!,0,COUNTIF(#REF!,"a"),1,COUNTIF(#REF!,"x"))</definedName>
    <definedName name="Proxy1_historic">OFFSET(#REF!,0,COUNTIF(#REF!,"a"),1,COUNTIF(#REF!,"x"))</definedName>
    <definedName name="Proxy2_historic">OFFSET(#REF!,0,COUNTIF(#REF!,"a"),1,COUNTIF(#REF!,"x"))</definedName>
    <definedName name="Proxy3_historic">OFFSET(#REF!,0,COUNTIF(#REF!,"a"),1,COUNTIF(#REF!,"x"))</definedName>
    <definedName name="ProxyList">OFFSET(#REF!,0,0,COUNTA(#REF!,0)-1,1)</definedName>
    <definedName name="SNEF">EF!$H$188</definedName>
    <definedName name="SolidStorageN2O">EF!$H$76</definedName>
    <definedName name="SSAccrate">'[2]Carbon stock data'!$H$97</definedName>
    <definedName name="Test">OFFSET(#REF!,0,COUNTIF(#REF!,"a"),1,COUNTIF(#REF!,"x"))</definedName>
    <definedName name="tontoGg">[2]Constants!$B$8</definedName>
    <definedName name="tTest">OFFSET(#REF!,0,COUNTIF(#REF!,"a"),1,COUNTIF(#REF!,"x"))</definedName>
    <definedName name="ttoGg">Constants!$B$11</definedName>
    <definedName name="ttokg">Constants!$B$12</definedName>
    <definedName name="UDCPPEF">EF!$H$191</definedName>
    <definedName name="UDSOEF">EF!$H$192</definedName>
    <definedName name="WoodyCf">'[1]Constants &amp; CF'!$E$52</definedName>
    <definedName name="WoodyFraction">'[2]Carbon stock data'!$H$98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8" i="59" l="1"/>
  <c r="C7" i="59"/>
  <c r="AE24" i="36" l="1"/>
  <c r="AF24" i="36"/>
  <c r="AG24" i="36"/>
  <c r="AH24" i="36"/>
  <c r="AI24" i="36"/>
  <c r="AJ24" i="36"/>
  <c r="AK24" i="36"/>
  <c r="AL24" i="36"/>
  <c r="AM24" i="36"/>
  <c r="AN24" i="36"/>
  <c r="AO24" i="36"/>
  <c r="AP24" i="36"/>
  <c r="AQ24" i="36"/>
  <c r="AR24" i="36"/>
  <c r="AS24" i="36"/>
  <c r="AT24" i="36"/>
  <c r="AU24" i="36"/>
  <c r="AV24" i="36"/>
  <c r="AW24" i="36"/>
  <c r="AX24" i="36"/>
  <c r="AY24" i="36"/>
  <c r="AZ24" i="36"/>
  <c r="BA24" i="36"/>
  <c r="BB24" i="36"/>
  <c r="BC24" i="36"/>
  <c r="BD24" i="36"/>
  <c r="BE24" i="36"/>
  <c r="BF24" i="36"/>
  <c r="BG24" i="36"/>
  <c r="BH24" i="36"/>
  <c r="BI24" i="36"/>
  <c r="BJ24" i="36"/>
  <c r="BK24" i="36"/>
  <c r="BL24" i="36"/>
  <c r="BM24" i="36"/>
  <c r="BN24" i="36"/>
  <c r="BO24" i="36"/>
  <c r="BP24" i="36"/>
  <c r="AE25" i="36"/>
  <c r="AF25" i="36"/>
  <c r="AG25" i="36"/>
  <c r="AH25" i="36"/>
  <c r="AI25" i="36"/>
  <c r="AJ25" i="36"/>
  <c r="AK25" i="36"/>
  <c r="AL25" i="36"/>
  <c r="AM25" i="36"/>
  <c r="AN25" i="36"/>
  <c r="AO25" i="36"/>
  <c r="AP25" i="36"/>
  <c r="AQ25" i="36"/>
  <c r="AR25" i="36"/>
  <c r="AS25" i="36"/>
  <c r="AT25" i="36"/>
  <c r="AU25" i="36"/>
  <c r="AV25" i="36"/>
  <c r="AW25" i="36"/>
  <c r="AX25" i="36"/>
  <c r="AY25" i="36"/>
  <c r="AZ25" i="36"/>
  <c r="BA25" i="36"/>
  <c r="BB25" i="36"/>
  <c r="BC25" i="36"/>
  <c r="BD25" i="36"/>
  <c r="BE25" i="36"/>
  <c r="BF25" i="36"/>
  <c r="BG25" i="36"/>
  <c r="BH25" i="36"/>
  <c r="BI25" i="36"/>
  <c r="BJ25" i="36"/>
  <c r="BK25" i="36"/>
  <c r="BL25" i="36"/>
  <c r="BM25" i="36"/>
  <c r="BN25" i="36"/>
  <c r="BO25" i="36"/>
  <c r="BP25" i="36"/>
  <c r="AE26" i="36"/>
  <c r="AF26" i="36"/>
  <c r="AG26" i="36"/>
  <c r="AH26" i="36"/>
  <c r="AI26" i="36"/>
  <c r="AJ26" i="36"/>
  <c r="AK26" i="36"/>
  <c r="AL26" i="36"/>
  <c r="AM26" i="36"/>
  <c r="AN26" i="36"/>
  <c r="AO26" i="36"/>
  <c r="AP26" i="36"/>
  <c r="AQ26" i="36"/>
  <c r="AR26" i="36"/>
  <c r="AS26" i="36"/>
  <c r="AT26" i="36"/>
  <c r="AU26" i="36"/>
  <c r="AV26" i="36"/>
  <c r="AW26" i="36"/>
  <c r="AX26" i="36"/>
  <c r="AY26" i="36"/>
  <c r="AZ26" i="36"/>
  <c r="BA26" i="36"/>
  <c r="BB26" i="36"/>
  <c r="BC26" i="36"/>
  <c r="BD26" i="36"/>
  <c r="BE26" i="36"/>
  <c r="BF26" i="36"/>
  <c r="BG26" i="36"/>
  <c r="BH26" i="36"/>
  <c r="BI26" i="36"/>
  <c r="BJ26" i="36"/>
  <c r="BK26" i="36"/>
  <c r="BL26" i="36"/>
  <c r="BM26" i="36"/>
  <c r="BN26" i="36"/>
  <c r="BO26" i="36"/>
  <c r="BP26" i="36"/>
  <c r="AE27" i="36"/>
  <c r="AF27" i="36"/>
  <c r="AG27" i="36"/>
  <c r="AH27" i="36"/>
  <c r="AI27" i="36"/>
  <c r="AJ27" i="36"/>
  <c r="AK27" i="36"/>
  <c r="AL27" i="36"/>
  <c r="AM27" i="36"/>
  <c r="AN27" i="36"/>
  <c r="AO27" i="36"/>
  <c r="AP27" i="36"/>
  <c r="AQ27" i="36"/>
  <c r="AR27" i="36"/>
  <c r="AS27" i="36"/>
  <c r="AT27" i="36"/>
  <c r="AU27" i="36"/>
  <c r="AV27" i="36"/>
  <c r="AW27" i="36"/>
  <c r="AX27" i="36"/>
  <c r="AY27" i="36"/>
  <c r="AZ27" i="36"/>
  <c r="BA27" i="36"/>
  <c r="BB27" i="36"/>
  <c r="BC27" i="36"/>
  <c r="BD27" i="36"/>
  <c r="BE27" i="36"/>
  <c r="BF27" i="36"/>
  <c r="BG27" i="36"/>
  <c r="BH27" i="36"/>
  <c r="BI27" i="36"/>
  <c r="BJ27" i="36"/>
  <c r="BK27" i="36"/>
  <c r="BL27" i="36"/>
  <c r="BM27" i="36"/>
  <c r="BN27" i="36"/>
  <c r="BO27" i="36"/>
  <c r="BP27" i="36"/>
  <c r="AE28" i="36"/>
  <c r="AF28" i="36"/>
  <c r="AG28" i="36"/>
  <c r="AH28" i="36"/>
  <c r="AI28" i="36"/>
  <c r="AJ28" i="36"/>
  <c r="AK28" i="36"/>
  <c r="AL28" i="36"/>
  <c r="AM28" i="36"/>
  <c r="AN28" i="36"/>
  <c r="AO28" i="36"/>
  <c r="AP28" i="36"/>
  <c r="AQ28" i="36"/>
  <c r="AR28" i="36"/>
  <c r="AS28" i="36"/>
  <c r="AT28" i="36"/>
  <c r="AU28" i="36"/>
  <c r="AV28" i="36"/>
  <c r="AW28" i="36"/>
  <c r="AX28" i="36"/>
  <c r="AY28" i="36"/>
  <c r="AZ28" i="36"/>
  <c r="BA28" i="36"/>
  <c r="BB28" i="36"/>
  <c r="BC28" i="36"/>
  <c r="BD28" i="36"/>
  <c r="BE28" i="36"/>
  <c r="BF28" i="36"/>
  <c r="BG28" i="36"/>
  <c r="BH28" i="36"/>
  <c r="BI28" i="36"/>
  <c r="BJ28" i="36"/>
  <c r="BK28" i="36"/>
  <c r="BL28" i="36"/>
  <c r="BM28" i="36"/>
  <c r="BN28" i="36"/>
  <c r="BO28" i="36"/>
  <c r="BP28" i="36"/>
  <c r="AE29" i="36"/>
  <c r="AF29" i="36"/>
  <c r="AG29" i="36"/>
  <c r="AH29" i="36"/>
  <c r="AI29" i="36"/>
  <c r="AJ29" i="36"/>
  <c r="AK29" i="36"/>
  <c r="AL29" i="36"/>
  <c r="AM29" i="36"/>
  <c r="AN29" i="36"/>
  <c r="AO29" i="36"/>
  <c r="AP29" i="36"/>
  <c r="AQ29" i="36"/>
  <c r="AR29" i="36"/>
  <c r="AS29" i="36"/>
  <c r="AT29" i="36"/>
  <c r="AU29" i="36"/>
  <c r="AV29" i="36"/>
  <c r="AW29" i="36"/>
  <c r="AX29" i="36"/>
  <c r="AY29" i="36"/>
  <c r="AZ29" i="36"/>
  <c r="BA29" i="36"/>
  <c r="BB29" i="36"/>
  <c r="BC29" i="36"/>
  <c r="BD29" i="36"/>
  <c r="BE29" i="36"/>
  <c r="BF29" i="36"/>
  <c r="BG29" i="36"/>
  <c r="BH29" i="36"/>
  <c r="BI29" i="36"/>
  <c r="BJ29" i="36"/>
  <c r="BK29" i="36"/>
  <c r="BL29" i="36"/>
  <c r="BM29" i="36"/>
  <c r="BN29" i="36"/>
  <c r="BO29" i="36"/>
  <c r="BP29" i="36"/>
  <c r="AE30" i="36"/>
  <c r="AF30" i="36"/>
  <c r="AG30" i="36"/>
  <c r="AH30" i="36"/>
  <c r="AI30" i="36"/>
  <c r="AJ30" i="36"/>
  <c r="AK30" i="36"/>
  <c r="AL30" i="36"/>
  <c r="AM30" i="36"/>
  <c r="AN30" i="36"/>
  <c r="AO30" i="36"/>
  <c r="AP30" i="36"/>
  <c r="AQ30" i="36"/>
  <c r="AR30" i="36"/>
  <c r="AS30" i="36"/>
  <c r="AT30" i="36"/>
  <c r="AU30" i="36"/>
  <c r="AV30" i="36"/>
  <c r="AW30" i="36"/>
  <c r="AX30" i="36"/>
  <c r="AY30" i="36"/>
  <c r="AZ30" i="36"/>
  <c r="BA30" i="36"/>
  <c r="BB30" i="36"/>
  <c r="BC30" i="36"/>
  <c r="BD30" i="36"/>
  <c r="BE30" i="36"/>
  <c r="BF30" i="36"/>
  <c r="BG30" i="36"/>
  <c r="BH30" i="36"/>
  <c r="BI30" i="36"/>
  <c r="BJ30" i="36"/>
  <c r="BK30" i="36"/>
  <c r="BL30" i="36"/>
  <c r="BM30" i="36"/>
  <c r="BN30" i="36"/>
  <c r="BO30" i="36"/>
  <c r="BP30" i="36"/>
  <c r="AE31" i="36"/>
  <c r="AF31" i="36"/>
  <c r="AG31" i="36"/>
  <c r="AH31" i="36"/>
  <c r="AI31" i="36"/>
  <c r="AJ31" i="36"/>
  <c r="AK31" i="36"/>
  <c r="AL31" i="36"/>
  <c r="AM31" i="36"/>
  <c r="AN31" i="36"/>
  <c r="AO31" i="36"/>
  <c r="AP31" i="36"/>
  <c r="AQ31" i="36"/>
  <c r="AR31" i="36"/>
  <c r="AS31" i="36"/>
  <c r="AT31" i="36"/>
  <c r="AU31" i="36"/>
  <c r="AV31" i="36"/>
  <c r="AW31" i="36"/>
  <c r="AX31" i="36"/>
  <c r="AY31" i="36"/>
  <c r="AZ31" i="36"/>
  <c r="BA31" i="36"/>
  <c r="BB31" i="36"/>
  <c r="BC31" i="36"/>
  <c r="BD31" i="36"/>
  <c r="BE31" i="36"/>
  <c r="BF31" i="36"/>
  <c r="BG31" i="36"/>
  <c r="BH31" i="36"/>
  <c r="BI31" i="36"/>
  <c r="BJ31" i="36"/>
  <c r="BK31" i="36"/>
  <c r="BL31" i="36"/>
  <c r="BM31" i="36"/>
  <c r="BN31" i="36"/>
  <c r="BO31" i="36"/>
  <c r="BP31" i="36"/>
  <c r="AE32" i="36"/>
  <c r="AF32" i="36"/>
  <c r="AG32" i="36"/>
  <c r="AH32" i="36"/>
  <c r="AI32" i="36"/>
  <c r="AJ32" i="36"/>
  <c r="AK32" i="36"/>
  <c r="AL32" i="36"/>
  <c r="AM32" i="36"/>
  <c r="AN32" i="36"/>
  <c r="AO32" i="36"/>
  <c r="AP32" i="36"/>
  <c r="AQ32" i="36"/>
  <c r="AR32" i="36"/>
  <c r="AS32" i="36"/>
  <c r="AT32" i="36"/>
  <c r="AU32" i="36"/>
  <c r="AV32" i="36"/>
  <c r="AW32" i="36"/>
  <c r="AX32" i="36"/>
  <c r="AY32" i="36"/>
  <c r="AZ32" i="36"/>
  <c r="BA32" i="36"/>
  <c r="BB32" i="36"/>
  <c r="BC32" i="36"/>
  <c r="BD32" i="36"/>
  <c r="BE32" i="36"/>
  <c r="BF32" i="36"/>
  <c r="BG32" i="36"/>
  <c r="BH32" i="36"/>
  <c r="BI32" i="36"/>
  <c r="BJ32" i="36"/>
  <c r="BK32" i="36"/>
  <c r="BL32" i="36"/>
  <c r="BM32" i="36"/>
  <c r="BN32" i="36"/>
  <c r="BO32" i="36"/>
  <c r="BP32" i="36"/>
  <c r="AE33" i="36"/>
  <c r="AF33" i="36"/>
  <c r="AG33" i="36"/>
  <c r="AH33" i="36"/>
  <c r="AI33" i="36"/>
  <c r="AJ33" i="36"/>
  <c r="AK33" i="36"/>
  <c r="AL33" i="36"/>
  <c r="AM33" i="36"/>
  <c r="AN33" i="36"/>
  <c r="AO33" i="36"/>
  <c r="AP33" i="36"/>
  <c r="AQ33" i="36"/>
  <c r="AR33" i="36"/>
  <c r="AS33" i="36"/>
  <c r="AT33" i="36"/>
  <c r="AU33" i="36"/>
  <c r="AV33" i="36"/>
  <c r="AW33" i="36"/>
  <c r="AX33" i="36"/>
  <c r="AY33" i="36"/>
  <c r="AZ33" i="36"/>
  <c r="BA33" i="36"/>
  <c r="BB33" i="36"/>
  <c r="BC33" i="36"/>
  <c r="BD33" i="36"/>
  <c r="BE33" i="36"/>
  <c r="BF33" i="36"/>
  <c r="BG33" i="36"/>
  <c r="BH33" i="36"/>
  <c r="BI33" i="36"/>
  <c r="BJ33" i="36"/>
  <c r="BK33" i="36"/>
  <c r="BL33" i="36"/>
  <c r="BM33" i="36"/>
  <c r="BN33" i="36"/>
  <c r="BO33" i="36"/>
  <c r="BP33" i="36"/>
  <c r="AE34" i="36"/>
  <c r="AF34" i="36"/>
  <c r="AG34" i="36"/>
  <c r="AH34" i="36"/>
  <c r="AI34" i="36"/>
  <c r="AJ34" i="36"/>
  <c r="AK34" i="36"/>
  <c r="AL34" i="36"/>
  <c r="AM34" i="36"/>
  <c r="AN34" i="36"/>
  <c r="AO34" i="36"/>
  <c r="AP34" i="36"/>
  <c r="AQ34" i="36"/>
  <c r="AR34" i="36"/>
  <c r="AS34" i="36"/>
  <c r="AT34" i="36"/>
  <c r="AU34" i="36"/>
  <c r="AV34" i="36"/>
  <c r="AW34" i="36"/>
  <c r="AX34" i="36"/>
  <c r="AY34" i="36"/>
  <c r="AZ34" i="36"/>
  <c r="BA34" i="36"/>
  <c r="BB34" i="36"/>
  <c r="BC34" i="36"/>
  <c r="BD34" i="36"/>
  <c r="BE34" i="36"/>
  <c r="BF34" i="36"/>
  <c r="BG34" i="36"/>
  <c r="BH34" i="36"/>
  <c r="BI34" i="36"/>
  <c r="BJ34" i="36"/>
  <c r="BK34" i="36"/>
  <c r="BL34" i="36"/>
  <c r="BM34" i="36"/>
  <c r="BN34" i="36"/>
  <c r="BO34" i="36"/>
  <c r="BP34" i="36"/>
  <c r="AE35" i="36"/>
  <c r="AF35" i="36"/>
  <c r="AG35" i="36"/>
  <c r="AH35" i="36"/>
  <c r="AI35" i="36"/>
  <c r="AJ35" i="36"/>
  <c r="AK35" i="36"/>
  <c r="AL35" i="36"/>
  <c r="AM35" i="36"/>
  <c r="AN35" i="36"/>
  <c r="AO35" i="36"/>
  <c r="AP35" i="36"/>
  <c r="AQ35" i="36"/>
  <c r="AR35" i="36"/>
  <c r="AS35" i="36"/>
  <c r="AT35" i="36"/>
  <c r="AU35" i="36"/>
  <c r="AV35" i="36"/>
  <c r="AW35" i="36"/>
  <c r="AX35" i="36"/>
  <c r="AY35" i="36"/>
  <c r="AZ35" i="36"/>
  <c r="BA35" i="36"/>
  <c r="BB35" i="36"/>
  <c r="BC35" i="36"/>
  <c r="BD35" i="36"/>
  <c r="BE35" i="36"/>
  <c r="BF35" i="36"/>
  <c r="BG35" i="36"/>
  <c r="BH35" i="36"/>
  <c r="BI35" i="36"/>
  <c r="BJ35" i="36"/>
  <c r="BK35" i="36"/>
  <c r="BL35" i="36"/>
  <c r="BM35" i="36"/>
  <c r="BN35" i="36"/>
  <c r="BO35" i="36"/>
  <c r="BP35" i="36"/>
  <c r="AE36" i="36"/>
  <c r="AF36" i="36"/>
  <c r="AG36" i="36"/>
  <c r="AH36" i="36"/>
  <c r="AI36" i="36"/>
  <c r="AJ36" i="36"/>
  <c r="AK36" i="36"/>
  <c r="AL36" i="36"/>
  <c r="AM36" i="36"/>
  <c r="AN36" i="36"/>
  <c r="AO36" i="36"/>
  <c r="AP36" i="36"/>
  <c r="AQ36" i="36"/>
  <c r="AR36" i="36"/>
  <c r="AS36" i="36"/>
  <c r="AT36" i="36"/>
  <c r="AU36" i="36"/>
  <c r="AV36" i="36"/>
  <c r="AW36" i="36"/>
  <c r="AX36" i="36"/>
  <c r="AY36" i="36"/>
  <c r="AZ36" i="36"/>
  <c r="BA36" i="36"/>
  <c r="BB36" i="36"/>
  <c r="BC36" i="36"/>
  <c r="BD36" i="36"/>
  <c r="BE36" i="36"/>
  <c r="BF36" i="36"/>
  <c r="BG36" i="36"/>
  <c r="BH36" i="36"/>
  <c r="BI36" i="36"/>
  <c r="BJ36" i="36"/>
  <c r="BK36" i="36"/>
  <c r="BL36" i="36"/>
  <c r="BM36" i="36"/>
  <c r="BN36" i="36"/>
  <c r="BO36" i="36"/>
  <c r="BP36" i="36"/>
  <c r="AE37" i="36"/>
  <c r="AF37" i="36"/>
  <c r="AG37" i="36"/>
  <c r="AH37" i="36"/>
  <c r="AI37" i="36"/>
  <c r="AJ37" i="36"/>
  <c r="AK37" i="36"/>
  <c r="AL37" i="36"/>
  <c r="AM37" i="36"/>
  <c r="AN37" i="36"/>
  <c r="AO37" i="36"/>
  <c r="AP37" i="36"/>
  <c r="AQ37" i="36"/>
  <c r="AR37" i="36"/>
  <c r="AS37" i="36"/>
  <c r="AT37" i="36"/>
  <c r="AU37" i="36"/>
  <c r="AV37" i="36"/>
  <c r="AW37" i="36"/>
  <c r="AX37" i="36"/>
  <c r="AY37" i="36"/>
  <c r="AZ37" i="36"/>
  <c r="BA37" i="36"/>
  <c r="BB37" i="36"/>
  <c r="BC37" i="36"/>
  <c r="BD37" i="36"/>
  <c r="BE37" i="36"/>
  <c r="BF37" i="36"/>
  <c r="BG37" i="36"/>
  <c r="BH37" i="36"/>
  <c r="BI37" i="36"/>
  <c r="BJ37" i="36"/>
  <c r="BK37" i="36"/>
  <c r="BL37" i="36"/>
  <c r="BM37" i="36"/>
  <c r="BN37" i="36"/>
  <c r="BO37" i="36"/>
  <c r="BP37" i="36"/>
  <c r="AE38" i="36"/>
  <c r="AF38" i="36"/>
  <c r="AG38" i="36"/>
  <c r="AH38" i="36"/>
  <c r="AI38" i="36"/>
  <c r="AJ38" i="36"/>
  <c r="AK38" i="36"/>
  <c r="AL38" i="36"/>
  <c r="AM38" i="36"/>
  <c r="AN38" i="36"/>
  <c r="AO38" i="36"/>
  <c r="AP38" i="36"/>
  <c r="AQ38" i="36"/>
  <c r="AR38" i="36"/>
  <c r="AS38" i="36"/>
  <c r="AT38" i="36"/>
  <c r="AU38" i="36"/>
  <c r="AV38" i="36"/>
  <c r="AW38" i="36"/>
  <c r="AX38" i="36"/>
  <c r="AY38" i="36"/>
  <c r="AZ38" i="36"/>
  <c r="BA38" i="36"/>
  <c r="BB38" i="36"/>
  <c r="BC38" i="36"/>
  <c r="BD38" i="36"/>
  <c r="BE38" i="36"/>
  <c r="BF38" i="36"/>
  <c r="BG38" i="36"/>
  <c r="BH38" i="36"/>
  <c r="BI38" i="36"/>
  <c r="BJ38" i="36"/>
  <c r="BK38" i="36"/>
  <c r="BL38" i="36"/>
  <c r="BM38" i="36"/>
  <c r="BN38" i="36"/>
  <c r="BO38" i="36"/>
  <c r="BP38" i="36"/>
  <c r="AE39" i="36"/>
  <c r="AF39" i="36"/>
  <c r="AG39" i="36"/>
  <c r="AH39" i="36"/>
  <c r="AI39" i="36"/>
  <c r="AJ39" i="36"/>
  <c r="AK39" i="36"/>
  <c r="AL39" i="36"/>
  <c r="AM39" i="36"/>
  <c r="AN39" i="36"/>
  <c r="AO39" i="36"/>
  <c r="AP39" i="36"/>
  <c r="AQ39" i="36"/>
  <c r="AR39" i="36"/>
  <c r="AS39" i="36"/>
  <c r="AT39" i="36"/>
  <c r="AU39" i="36"/>
  <c r="AV39" i="36"/>
  <c r="AW39" i="36"/>
  <c r="AX39" i="36"/>
  <c r="AY39" i="36"/>
  <c r="AZ39" i="36"/>
  <c r="BA39" i="36"/>
  <c r="BB39" i="36"/>
  <c r="BC39" i="36"/>
  <c r="BD39" i="36"/>
  <c r="BE39" i="36"/>
  <c r="BF39" i="36"/>
  <c r="BG39" i="36"/>
  <c r="BH39" i="36"/>
  <c r="BI39" i="36"/>
  <c r="BJ39" i="36"/>
  <c r="BK39" i="36"/>
  <c r="BL39" i="36"/>
  <c r="BM39" i="36"/>
  <c r="BN39" i="36"/>
  <c r="BO39" i="36"/>
  <c r="BP39" i="36"/>
  <c r="AD25" i="36"/>
  <c r="AD26" i="36"/>
  <c r="AD27" i="36"/>
  <c r="AD28" i="36"/>
  <c r="AD29" i="36"/>
  <c r="AD30" i="36"/>
  <c r="AD31" i="36"/>
  <c r="AD32" i="36"/>
  <c r="AD33" i="36"/>
  <c r="AD34" i="36"/>
  <c r="AD35" i="36"/>
  <c r="AD36" i="36"/>
  <c r="AD37" i="36"/>
  <c r="AD38" i="36"/>
  <c r="AD39" i="36"/>
  <c r="AD24" i="36"/>
  <c r="D33" i="57" l="1"/>
  <c r="D35" i="57" s="1"/>
  <c r="E33" i="57"/>
  <c r="F33" i="57"/>
  <c r="G33" i="57"/>
  <c r="G35" i="57" s="1"/>
  <c r="H33" i="57"/>
  <c r="I33" i="57"/>
  <c r="J33" i="57"/>
  <c r="K33" i="57"/>
  <c r="K35" i="57" s="1"/>
  <c r="L33" i="57"/>
  <c r="M33" i="57"/>
  <c r="N33" i="57"/>
  <c r="N35" i="57" s="1"/>
  <c r="O33" i="57"/>
  <c r="O35" i="57" s="1"/>
  <c r="P33" i="57"/>
  <c r="P35" i="57" s="1"/>
  <c r="Q33" i="57"/>
  <c r="R33" i="57"/>
  <c r="S33" i="57"/>
  <c r="S35" i="57" s="1"/>
  <c r="T33" i="57"/>
  <c r="T35" i="57" s="1"/>
  <c r="U33" i="57"/>
  <c r="V33" i="57"/>
  <c r="W33" i="57"/>
  <c r="W35" i="57" s="1"/>
  <c r="X33" i="57"/>
  <c r="Y33" i="57"/>
  <c r="Y35" i="57" s="1"/>
  <c r="Z33" i="57"/>
  <c r="AA33" i="57"/>
  <c r="AA35" i="57" s="1"/>
  <c r="AB33" i="57"/>
  <c r="AB35" i="57" s="1"/>
  <c r="AC33" i="57"/>
  <c r="AD33" i="57"/>
  <c r="C33" i="57"/>
  <c r="C35" i="57"/>
  <c r="E35" i="57"/>
  <c r="F35" i="57"/>
  <c r="H35" i="57"/>
  <c r="I35" i="57"/>
  <c r="J35" i="57"/>
  <c r="L35" i="57"/>
  <c r="M35" i="57"/>
  <c r="Q35" i="57"/>
  <c r="R35" i="57"/>
  <c r="U35" i="57"/>
  <c r="V35" i="57"/>
  <c r="X35" i="57"/>
  <c r="Z35" i="57"/>
  <c r="AC35" i="57"/>
  <c r="AD35" i="57"/>
  <c r="AJ35" i="57" l="1"/>
  <c r="AK35" i="57"/>
  <c r="Y43" i="50" s="1"/>
  <c r="C31" i="57" l="1"/>
  <c r="D31" i="57"/>
  <c r="E31" i="57"/>
  <c r="F31" i="57"/>
  <c r="G31" i="57"/>
  <c r="H31" i="57"/>
  <c r="I31" i="57"/>
  <c r="J31" i="57"/>
  <c r="K31" i="57"/>
  <c r="L31" i="57"/>
  <c r="M31" i="57"/>
  <c r="N31" i="57"/>
  <c r="O31" i="57"/>
  <c r="P31" i="57"/>
  <c r="Q31" i="57"/>
  <c r="R31" i="57"/>
  <c r="S31" i="57"/>
  <c r="T31" i="57"/>
  <c r="U31" i="57"/>
  <c r="V31" i="57"/>
  <c r="W31" i="57"/>
  <c r="X31" i="57"/>
  <c r="Y31" i="57"/>
  <c r="Z31" i="57"/>
  <c r="AA31" i="57"/>
  <c r="AB31" i="57"/>
  <c r="AC31" i="57"/>
  <c r="AD31" i="57"/>
  <c r="BK64" i="50"/>
  <c r="BA64" i="50"/>
  <c r="AQ64" i="50"/>
  <c r="AG64" i="50"/>
  <c r="Y64" i="50"/>
  <c r="D124" i="34"/>
  <c r="D125" i="34"/>
  <c r="D126" i="34"/>
  <c r="D127" i="34"/>
  <c r="D128" i="34"/>
  <c r="D129" i="34"/>
  <c r="D130" i="34"/>
  <c r="D131" i="34"/>
  <c r="D132" i="34"/>
  <c r="D133" i="34"/>
  <c r="D134" i="34"/>
  <c r="C69" i="57"/>
  <c r="I5" i="36" l="1"/>
  <c r="J5" i="36"/>
  <c r="K5" i="36"/>
  <c r="L5" i="36"/>
  <c r="M5" i="36"/>
  <c r="N5" i="36"/>
  <c r="O5" i="36"/>
  <c r="P5" i="36"/>
  <c r="Q5" i="36"/>
  <c r="R5" i="36"/>
  <c r="S5" i="36"/>
  <c r="T5" i="36"/>
  <c r="U5" i="36"/>
  <c r="V5" i="36"/>
  <c r="W5" i="36"/>
  <c r="X5" i="36"/>
  <c r="Y5" i="36"/>
  <c r="Z5" i="36"/>
  <c r="AA5" i="36"/>
  <c r="AB5" i="36"/>
  <c r="AC5" i="36"/>
  <c r="I6" i="36"/>
  <c r="J6" i="36"/>
  <c r="K6" i="36"/>
  <c r="L6" i="36"/>
  <c r="M6" i="36"/>
  <c r="N6" i="36"/>
  <c r="O6" i="36"/>
  <c r="P6" i="36"/>
  <c r="Q6" i="36"/>
  <c r="R6" i="36"/>
  <c r="S6" i="36"/>
  <c r="T6" i="36"/>
  <c r="U6" i="36"/>
  <c r="V6" i="36"/>
  <c r="W6" i="36"/>
  <c r="X6" i="36"/>
  <c r="Y6" i="36"/>
  <c r="Z6" i="36"/>
  <c r="AA6" i="36"/>
  <c r="AB6" i="36"/>
  <c r="AC6" i="36"/>
  <c r="I8" i="36"/>
  <c r="J8" i="36"/>
  <c r="K8" i="36"/>
  <c r="L8" i="36"/>
  <c r="M8" i="36"/>
  <c r="N8" i="36"/>
  <c r="O8" i="36"/>
  <c r="P8" i="36"/>
  <c r="Q8" i="36"/>
  <c r="R8" i="36"/>
  <c r="S8" i="36"/>
  <c r="T8" i="36"/>
  <c r="U8" i="36"/>
  <c r="V8" i="36"/>
  <c r="W8" i="36"/>
  <c r="X8" i="36"/>
  <c r="Y8" i="36"/>
  <c r="Z8" i="36"/>
  <c r="AA8" i="36"/>
  <c r="AB8" i="36"/>
  <c r="AC8" i="36"/>
  <c r="I9" i="36"/>
  <c r="J9" i="36"/>
  <c r="K9" i="36"/>
  <c r="L9" i="36"/>
  <c r="M9" i="36"/>
  <c r="N9" i="36"/>
  <c r="O9" i="36"/>
  <c r="P9" i="36"/>
  <c r="Q9" i="36"/>
  <c r="R9" i="36"/>
  <c r="S9" i="36"/>
  <c r="T9" i="36"/>
  <c r="U9" i="36"/>
  <c r="V9" i="36"/>
  <c r="W9" i="36"/>
  <c r="X9" i="36"/>
  <c r="Y9" i="36"/>
  <c r="Z9" i="36"/>
  <c r="AA9" i="36"/>
  <c r="AB9" i="36"/>
  <c r="AC9" i="36"/>
  <c r="H8" i="36"/>
  <c r="H9" i="36"/>
  <c r="H6" i="36"/>
  <c r="H5" i="36"/>
  <c r="K7" i="36"/>
  <c r="L7" i="36"/>
  <c r="O7" i="36"/>
  <c r="P7" i="36"/>
  <c r="S7" i="36"/>
  <c r="T7" i="36"/>
  <c r="W7" i="36"/>
  <c r="X7" i="36"/>
  <c r="AA7" i="36"/>
  <c r="AB7" i="36"/>
  <c r="I7" i="36"/>
  <c r="M7" i="36"/>
  <c r="Q7" i="36"/>
  <c r="U7" i="36"/>
  <c r="Y7" i="36"/>
  <c r="AC7" i="36"/>
  <c r="J7" i="36"/>
  <c r="N7" i="36"/>
  <c r="R7" i="36"/>
  <c r="V7" i="36"/>
  <c r="Z7" i="36"/>
  <c r="C70" i="57"/>
  <c r="H7" i="36" l="1"/>
  <c r="H85" i="36"/>
  <c r="I85" i="36"/>
  <c r="J85" i="36"/>
  <c r="K85" i="36"/>
  <c r="L85" i="36"/>
  <c r="M85" i="36"/>
  <c r="N85" i="36"/>
  <c r="O85" i="36"/>
  <c r="P85" i="36"/>
  <c r="Q85" i="36"/>
  <c r="R85" i="36"/>
  <c r="S85" i="36"/>
  <c r="T85" i="36"/>
  <c r="U85" i="36"/>
  <c r="V85" i="36"/>
  <c r="W85" i="36"/>
  <c r="X85" i="36"/>
  <c r="Y85" i="36"/>
  <c r="Z85" i="36"/>
  <c r="AA85" i="36"/>
  <c r="AB85" i="36"/>
  <c r="AC85" i="36"/>
  <c r="AE43" i="36"/>
  <c r="AE84" i="36" s="1"/>
  <c r="AF43" i="36"/>
  <c r="AF84" i="36" s="1"/>
  <c r="AG43" i="36"/>
  <c r="AG84" i="36" s="1"/>
  <c r="AH43" i="36"/>
  <c r="AH84" i="36" s="1"/>
  <c r="AI43" i="36"/>
  <c r="AI84" i="36" s="1"/>
  <c r="AJ43" i="36"/>
  <c r="AJ84" i="36" s="1"/>
  <c r="AK43" i="36"/>
  <c r="AK84" i="36" s="1"/>
  <c r="AL43" i="36"/>
  <c r="AL84" i="36" s="1"/>
  <c r="AM43" i="36"/>
  <c r="AM84" i="36" s="1"/>
  <c r="AN43" i="36"/>
  <c r="AN84" i="36" s="1"/>
  <c r="AO43" i="36"/>
  <c r="AO84" i="36" s="1"/>
  <c r="AP43" i="36"/>
  <c r="AP84" i="36" s="1"/>
  <c r="AQ43" i="36"/>
  <c r="AQ84" i="36" s="1"/>
  <c r="AR43" i="36"/>
  <c r="AR84" i="36" s="1"/>
  <c r="AS43" i="36"/>
  <c r="AS84" i="36" s="1"/>
  <c r="AT43" i="36"/>
  <c r="AT84" i="36" s="1"/>
  <c r="AU43" i="36"/>
  <c r="AU84" i="36" s="1"/>
  <c r="AV43" i="36"/>
  <c r="AV84" i="36" s="1"/>
  <c r="AW43" i="36"/>
  <c r="AW84" i="36" s="1"/>
  <c r="AX43" i="36"/>
  <c r="AX84" i="36" s="1"/>
  <c r="AY43" i="36"/>
  <c r="AY84" i="36" s="1"/>
  <c r="AZ43" i="36"/>
  <c r="AZ84" i="36" s="1"/>
  <c r="BA43" i="36"/>
  <c r="BA84" i="36" s="1"/>
  <c r="BB43" i="36"/>
  <c r="BB84" i="36" s="1"/>
  <c r="BC43" i="36"/>
  <c r="BC84" i="36" s="1"/>
  <c r="BD43" i="36"/>
  <c r="BD84" i="36" s="1"/>
  <c r="BE43" i="36"/>
  <c r="BE84" i="36" s="1"/>
  <c r="BF43" i="36"/>
  <c r="BF84" i="36" s="1"/>
  <c r="BG43" i="36"/>
  <c r="BG84" i="36" s="1"/>
  <c r="BH43" i="36"/>
  <c r="BH84" i="36" s="1"/>
  <c r="BI43" i="36"/>
  <c r="BI84" i="36" s="1"/>
  <c r="BJ43" i="36"/>
  <c r="BJ84" i="36" s="1"/>
  <c r="BK43" i="36"/>
  <c r="BK84" i="36" s="1"/>
  <c r="BL43" i="36"/>
  <c r="BL84" i="36" s="1"/>
  <c r="BM43" i="36"/>
  <c r="BM84" i="36" s="1"/>
  <c r="BN43" i="36"/>
  <c r="BN84" i="36" s="1"/>
  <c r="BO43" i="36"/>
  <c r="BO84" i="36" s="1"/>
  <c r="BP43" i="36"/>
  <c r="BP84" i="36" s="1"/>
  <c r="AD43" i="36"/>
  <c r="AD84" i="36" s="1"/>
  <c r="AD42" i="36"/>
  <c r="AD83" i="36" s="1"/>
  <c r="C37" i="62" l="1"/>
  <c r="C14" i="45" l="1"/>
  <c r="C15" i="45"/>
  <c r="C16" i="45"/>
  <c r="C17" i="45"/>
  <c r="C18" i="45"/>
  <c r="C13" i="45"/>
  <c r="C12" i="45"/>
  <c r="A13" i="62" l="1"/>
  <c r="B13" i="62" s="1"/>
  <c r="A14" i="62"/>
  <c r="B14" i="62" s="1"/>
  <c r="A15" i="62"/>
  <c r="B15" i="62" s="1"/>
  <c r="A16" i="62"/>
  <c r="B16" i="62" s="1"/>
  <c r="A17" i="62"/>
  <c r="B17" i="62" s="1"/>
  <c r="A18" i="62"/>
  <c r="B18" i="62" s="1"/>
  <c r="A19" i="62"/>
  <c r="B19" i="62" s="1"/>
  <c r="C20" i="62"/>
  <c r="C25" i="62"/>
  <c r="C31" i="62"/>
  <c r="C39" i="62"/>
  <c r="C7" i="62"/>
  <c r="AB5" i="47" l="1"/>
  <c r="AC5" i="47"/>
  <c r="AD5" i="47"/>
  <c r="AE5" i="47"/>
  <c r="AF5" i="47"/>
  <c r="AG5" i="47"/>
  <c r="AH5" i="47"/>
  <c r="AI5" i="47"/>
  <c r="AJ5" i="47"/>
  <c r="AK5" i="47"/>
  <c r="AL5" i="47"/>
  <c r="AM5" i="47"/>
  <c r="AN5" i="47"/>
  <c r="AO5" i="47"/>
  <c r="AP5" i="47"/>
  <c r="AQ5" i="47"/>
  <c r="AR5" i="47"/>
  <c r="AS5" i="47"/>
  <c r="AT5" i="47"/>
  <c r="AU5" i="47"/>
  <c r="AV5" i="47"/>
  <c r="AW5" i="47"/>
  <c r="AX5" i="47"/>
  <c r="AY5" i="47"/>
  <c r="AZ5" i="47"/>
  <c r="BA5" i="47"/>
  <c r="BB5" i="47"/>
  <c r="BC5" i="47"/>
  <c r="BD5" i="47"/>
  <c r="BE5" i="47"/>
  <c r="BF5" i="47"/>
  <c r="BG5" i="47"/>
  <c r="BH5" i="47"/>
  <c r="BI5" i="47"/>
  <c r="BJ5" i="47"/>
  <c r="BK5" i="47"/>
  <c r="BL5" i="47"/>
  <c r="AA5" i="47"/>
  <c r="Z5" i="47"/>
  <c r="AA4" i="47"/>
  <c r="AB4" i="47"/>
  <c r="AC4" i="47"/>
  <c r="AD4" i="47"/>
  <c r="AE4" i="47"/>
  <c r="AF4" i="47"/>
  <c r="AG4" i="47"/>
  <c r="AH4" i="47"/>
  <c r="AI4" i="47"/>
  <c r="AJ4" i="47"/>
  <c r="AK4" i="47"/>
  <c r="AL4" i="47"/>
  <c r="AM4" i="47"/>
  <c r="AN4" i="47"/>
  <c r="AO4" i="47"/>
  <c r="AP4" i="47"/>
  <c r="AQ4" i="47"/>
  <c r="AR4" i="47"/>
  <c r="AS4" i="47"/>
  <c r="AT4" i="47"/>
  <c r="AU4" i="47"/>
  <c r="AV4" i="47"/>
  <c r="AW4" i="47"/>
  <c r="AX4" i="47"/>
  <c r="AY4" i="47"/>
  <c r="AZ4" i="47"/>
  <c r="BA4" i="47"/>
  <c r="BB4" i="47"/>
  <c r="BC4" i="47"/>
  <c r="BD4" i="47"/>
  <c r="BE4" i="47"/>
  <c r="BF4" i="47"/>
  <c r="BG4" i="47"/>
  <c r="BH4" i="47"/>
  <c r="BI4" i="47"/>
  <c r="BJ4" i="47"/>
  <c r="BK4" i="47"/>
  <c r="BL4" i="47"/>
  <c r="Z4" i="47"/>
  <c r="E6" i="62" l="1"/>
  <c r="F6" i="62" s="1"/>
  <c r="G6" i="62" s="1"/>
  <c r="H6" i="62" s="1"/>
  <c r="I6" i="62" s="1"/>
  <c r="J6" i="62" s="1"/>
  <c r="K6" i="62" s="1"/>
  <c r="L6" i="62" s="1"/>
  <c r="M6" i="62" s="1"/>
  <c r="N6" i="62" s="1"/>
  <c r="O6" i="62" s="1"/>
  <c r="P6" i="62" s="1"/>
  <c r="Q6" i="62" s="1"/>
  <c r="R6" i="62" s="1"/>
  <c r="S6" i="62" s="1"/>
  <c r="T6" i="62" s="1"/>
  <c r="U6" i="62" s="1"/>
  <c r="V6" i="62" s="1"/>
  <c r="W6" i="62" s="1"/>
  <c r="X6" i="62" s="1"/>
  <c r="Y6" i="62" s="1"/>
  <c r="Z6" i="62" s="1"/>
  <c r="AA6" i="62" s="1"/>
  <c r="AB6" i="62" s="1"/>
  <c r="AC6" i="62" s="1"/>
  <c r="AD6" i="62" s="1"/>
  <c r="AE6" i="62" s="1"/>
  <c r="AF6" i="62" s="1"/>
  <c r="AG6" i="62" s="1"/>
  <c r="AH6" i="62" s="1"/>
  <c r="AI6" i="62" s="1"/>
  <c r="AJ6" i="62" s="1"/>
  <c r="AK6" i="62" s="1"/>
  <c r="AL6" i="62" s="1"/>
  <c r="AM6" i="62" s="1"/>
  <c r="AN6" i="62" s="1"/>
  <c r="AO6" i="62" s="1"/>
  <c r="AP6" i="62" s="1"/>
  <c r="C7" i="60"/>
  <c r="C59" i="46" l="1"/>
  <c r="C60" i="46" s="1"/>
  <c r="C61" i="46" s="1"/>
  <c r="C62" i="46" s="1"/>
  <c r="AJ49" i="57"/>
  <c r="D38" i="57"/>
  <c r="E38" i="57"/>
  <c r="F38" i="57"/>
  <c r="G38" i="57"/>
  <c r="H38" i="57"/>
  <c r="I38" i="57"/>
  <c r="J38" i="57"/>
  <c r="K38" i="57"/>
  <c r="L38" i="57"/>
  <c r="M38" i="57"/>
  <c r="N38" i="57"/>
  <c r="O38" i="57"/>
  <c r="P38" i="57"/>
  <c r="Q38" i="57"/>
  <c r="R38" i="57"/>
  <c r="S38" i="57"/>
  <c r="T38" i="57"/>
  <c r="U38" i="57"/>
  <c r="V38" i="57"/>
  <c r="W38" i="57"/>
  <c r="X38" i="57"/>
  <c r="Y38" i="57"/>
  <c r="Z38" i="57"/>
  <c r="AA38" i="57"/>
  <c r="AB38" i="57"/>
  <c r="AC38" i="57"/>
  <c r="AD38" i="57"/>
  <c r="C38" i="57"/>
  <c r="C6" i="58" l="1"/>
  <c r="A6" i="58"/>
  <c r="U6" i="50" l="1"/>
  <c r="V6" i="50"/>
  <c r="W6" i="50"/>
  <c r="X6" i="50"/>
  <c r="U7" i="50"/>
  <c r="V7" i="50"/>
  <c r="W7" i="50"/>
  <c r="X7" i="50"/>
  <c r="U9" i="50"/>
  <c r="U10" i="50" s="1"/>
  <c r="V9" i="50"/>
  <c r="V10" i="50" s="1"/>
  <c r="W9" i="50"/>
  <c r="W10" i="50" s="1"/>
  <c r="X9" i="50"/>
  <c r="X10" i="50" s="1"/>
  <c r="U13" i="50"/>
  <c r="V13" i="50"/>
  <c r="W13" i="50"/>
  <c r="X13" i="50"/>
  <c r="U14" i="50"/>
  <c r="V14" i="50"/>
  <c r="W14" i="50"/>
  <c r="X14" i="50"/>
  <c r="U22" i="50"/>
  <c r="U18" i="50" s="1"/>
  <c r="V22" i="50"/>
  <c r="V18" i="50" s="1"/>
  <c r="W22" i="50"/>
  <c r="W18" i="50" s="1"/>
  <c r="X22" i="50"/>
  <c r="X18" i="50" s="1"/>
  <c r="U30" i="50"/>
  <c r="V30" i="50"/>
  <c r="W30" i="50"/>
  <c r="X30" i="50"/>
  <c r="U31" i="50"/>
  <c r="V31" i="50"/>
  <c r="W31" i="50"/>
  <c r="X31" i="50"/>
  <c r="U35" i="50"/>
  <c r="V35" i="50"/>
  <c r="W35" i="50"/>
  <c r="X35" i="50"/>
  <c r="U36" i="50"/>
  <c r="V36" i="50"/>
  <c r="W36" i="50"/>
  <c r="X36" i="50"/>
  <c r="U40" i="50"/>
  <c r="V40" i="50"/>
  <c r="W40" i="50"/>
  <c r="X40" i="50"/>
  <c r="U41" i="50"/>
  <c r="V41" i="50"/>
  <c r="W41" i="50"/>
  <c r="X41" i="50"/>
  <c r="U48" i="50"/>
  <c r="V48" i="50"/>
  <c r="W48" i="50"/>
  <c r="X48" i="50"/>
  <c r="R6" i="50"/>
  <c r="S6" i="50"/>
  <c r="T6" i="50"/>
  <c r="R7" i="50"/>
  <c r="S7" i="50"/>
  <c r="T7" i="50"/>
  <c r="R9" i="50"/>
  <c r="R10" i="50" s="1"/>
  <c r="S9" i="50"/>
  <c r="S10" i="50" s="1"/>
  <c r="T9" i="50"/>
  <c r="T10" i="50" s="1"/>
  <c r="R13" i="50"/>
  <c r="S13" i="50"/>
  <c r="T13" i="50"/>
  <c r="R14" i="50"/>
  <c r="S14" i="50"/>
  <c r="T14" i="50"/>
  <c r="R22" i="50"/>
  <c r="R18" i="50" s="1"/>
  <c r="S22" i="50"/>
  <c r="S18" i="50" s="1"/>
  <c r="T22" i="50"/>
  <c r="T19" i="50" s="1"/>
  <c r="R30" i="50"/>
  <c r="S30" i="50"/>
  <c r="T30" i="50"/>
  <c r="R31" i="50"/>
  <c r="S31" i="50"/>
  <c r="T31" i="50"/>
  <c r="R35" i="50"/>
  <c r="S35" i="50"/>
  <c r="T35" i="50"/>
  <c r="R36" i="50"/>
  <c r="S36" i="50"/>
  <c r="T36" i="50"/>
  <c r="R40" i="50"/>
  <c r="S40" i="50"/>
  <c r="T40" i="50"/>
  <c r="R41" i="50"/>
  <c r="S41" i="50"/>
  <c r="T41" i="50"/>
  <c r="R48" i="50"/>
  <c r="S48" i="50"/>
  <c r="T48" i="50"/>
  <c r="M6" i="50"/>
  <c r="N6" i="50"/>
  <c r="O6" i="50"/>
  <c r="P6" i="50"/>
  <c r="Q6" i="50"/>
  <c r="M7" i="50"/>
  <c r="N7" i="50"/>
  <c r="O7" i="50"/>
  <c r="P7" i="50"/>
  <c r="Q7" i="50"/>
  <c r="M9" i="50"/>
  <c r="M10" i="50" s="1"/>
  <c r="N9" i="50"/>
  <c r="N10" i="50" s="1"/>
  <c r="O9" i="50"/>
  <c r="P9" i="50"/>
  <c r="P10" i="50" s="1"/>
  <c r="Q9" i="50"/>
  <c r="Q10" i="50" s="1"/>
  <c r="O10" i="50"/>
  <c r="M13" i="50"/>
  <c r="N13" i="50"/>
  <c r="O13" i="50"/>
  <c r="P13" i="50"/>
  <c r="Q13" i="50"/>
  <c r="M14" i="50"/>
  <c r="N14" i="50"/>
  <c r="O14" i="50"/>
  <c r="P14" i="50"/>
  <c r="Q14" i="50"/>
  <c r="M22" i="50"/>
  <c r="M18" i="50" s="1"/>
  <c r="N22" i="50"/>
  <c r="N18" i="50" s="1"/>
  <c r="O22" i="50"/>
  <c r="O19" i="50" s="1"/>
  <c r="P22" i="50"/>
  <c r="P18" i="50" s="1"/>
  <c r="Q22" i="50"/>
  <c r="Q18" i="50" s="1"/>
  <c r="M30" i="50"/>
  <c r="N30" i="50"/>
  <c r="O30" i="50"/>
  <c r="P30" i="50"/>
  <c r="Q30" i="50"/>
  <c r="M31" i="50"/>
  <c r="N31" i="50"/>
  <c r="O31" i="50"/>
  <c r="P31" i="50"/>
  <c r="Q31" i="50"/>
  <c r="M35" i="50"/>
  <c r="N35" i="50"/>
  <c r="O35" i="50"/>
  <c r="P35" i="50"/>
  <c r="Q35" i="50"/>
  <c r="M36" i="50"/>
  <c r="N36" i="50"/>
  <c r="O36" i="50"/>
  <c r="P36" i="50"/>
  <c r="Q36" i="50"/>
  <c r="M40" i="50"/>
  <c r="N40" i="50"/>
  <c r="O40" i="50"/>
  <c r="P40" i="50"/>
  <c r="Q40" i="50"/>
  <c r="M41" i="50"/>
  <c r="N41" i="50"/>
  <c r="O41" i="50"/>
  <c r="P41" i="50"/>
  <c r="Q41" i="50"/>
  <c r="M48" i="50"/>
  <c r="N48" i="50"/>
  <c r="O48" i="50"/>
  <c r="P48" i="50"/>
  <c r="Q48" i="50"/>
  <c r="U23" i="50" l="1"/>
  <c r="U24" i="50" s="1"/>
  <c r="W23" i="50"/>
  <c r="W24" i="50" s="1"/>
  <c r="X23" i="50"/>
  <c r="X24" i="50" s="1"/>
  <c r="V23" i="50"/>
  <c r="V24" i="50" s="1"/>
  <c r="M19" i="50"/>
  <c r="M26" i="50" s="1"/>
  <c r="Q23" i="50"/>
  <c r="Q24" i="50" s="1"/>
  <c r="N23" i="50"/>
  <c r="N24" i="50" s="1"/>
  <c r="T23" i="50"/>
  <c r="T24" i="50" s="1"/>
  <c r="S23" i="50"/>
  <c r="S24" i="50" s="1"/>
  <c r="P23" i="50"/>
  <c r="P24" i="50" s="1"/>
  <c r="S19" i="50"/>
  <c r="S26" i="50" s="1"/>
  <c r="N19" i="50"/>
  <c r="N20" i="50" s="1"/>
  <c r="N21" i="50" s="1"/>
  <c r="M23" i="50"/>
  <c r="M24" i="50" s="1"/>
  <c r="Q19" i="50"/>
  <c r="X19" i="50"/>
  <c r="W19" i="50"/>
  <c r="V19" i="50"/>
  <c r="U19" i="50"/>
  <c r="T26" i="50"/>
  <c r="T20" i="50"/>
  <c r="T21" i="50" s="1"/>
  <c r="R23" i="50"/>
  <c r="R24" i="50" s="1"/>
  <c r="R19" i="50"/>
  <c r="T18" i="50"/>
  <c r="O20" i="50"/>
  <c r="O21" i="50" s="1"/>
  <c r="O26" i="50"/>
  <c r="O18" i="50"/>
  <c r="P19" i="50"/>
  <c r="O23" i="50"/>
  <c r="O24" i="50" s="1"/>
  <c r="AG63" i="50"/>
  <c r="AG65" i="50"/>
  <c r="M20" i="50" l="1"/>
  <c r="M21" i="50" s="1"/>
  <c r="S20" i="50"/>
  <c r="S21" i="50" s="1"/>
  <c r="N26" i="50"/>
  <c r="Q26" i="50"/>
  <c r="Q20" i="50"/>
  <c r="Q21" i="50" s="1"/>
  <c r="V20" i="50"/>
  <c r="V21" i="50" s="1"/>
  <c r="V26" i="50"/>
  <c r="W20" i="50"/>
  <c r="W21" i="50" s="1"/>
  <c r="W26" i="50"/>
  <c r="U20" i="50"/>
  <c r="U21" i="50" s="1"/>
  <c r="U26" i="50"/>
  <c r="X20" i="50"/>
  <c r="X21" i="50" s="1"/>
  <c r="X26" i="50"/>
  <c r="R20" i="50"/>
  <c r="R21" i="50" s="1"/>
  <c r="R26" i="50"/>
  <c r="P26" i="50"/>
  <c r="P20" i="50"/>
  <c r="P21" i="50" s="1"/>
  <c r="C20" i="46" l="1"/>
  <c r="C21" i="46" s="1"/>
  <c r="BK63" i="50"/>
  <c r="BK65" i="50"/>
  <c r="BA63" i="50"/>
  <c r="BA65" i="50"/>
  <c r="AQ63" i="50"/>
  <c r="AH63" i="50" s="1"/>
  <c r="AI63" i="50" s="1"/>
  <c r="AJ63" i="50" s="1"/>
  <c r="AK63" i="50" s="1"/>
  <c r="AL63" i="50" s="1"/>
  <c r="AM63" i="50" s="1"/>
  <c r="AN63" i="50" s="1"/>
  <c r="AO63" i="50" s="1"/>
  <c r="AP63" i="50" s="1"/>
  <c r="AH64" i="50"/>
  <c r="AI64" i="50" s="1"/>
  <c r="AJ64" i="50" s="1"/>
  <c r="AK64" i="50" s="1"/>
  <c r="AL64" i="50" s="1"/>
  <c r="AM64" i="50" s="1"/>
  <c r="AN64" i="50" s="1"/>
  <c r="AO64" i="50" s="1"/>
  <c r="AP64" i="50" s="1"/>
  <c r="AQ65" i="50"/>
  <c r="Y63" i="50"/>
  <c r="Z63" i="50" s="1"/>
  <c r="AA63" i="50" s="1"/>
  <c r="AB63" i="50" s="1"/>
  <c r="AC63" i="50" s="1"/>
  <c r="AD63" i="50" s="1"/>
  <c r="AE63" i="50" s="1"/>
  <c r="AF63" i="50" s="1"/>
  <c r="Z64" i="50"/>
  <c r="AA64" i="50" s="1"/>
  <c r="AB64" i="50" s="1"/>
  <c r="AC64" i="50" s="1"/>
  <c r="AD64" i="50" s="1"/>
  <c r="AE64" i="50" s="1"/>
  <c r="AF64" i="50" s="1"/>
  <c r="Y65" i="50"/>
  <c r="AH65" i="50" l="1"/>
  <c r="Z65" i="50"/>
  <c r="BB65" i="50"/>
  <c r="BB64" i="50"/>
  <c r="AR64" i="50"/>
  <c r="AR63" i="50"/>
  <c r="AS63" i="50" s="1"/>
  <c r="AT63" i="50" s="1"/>
  <c r="AU63" i="50" s="1"/>
  <c r="AV63" i="50" s="1"/>
  <c r="AW63" i="50" s="1"/>
  <c r="AX63" i="50" s="1"/>
  <c r="AY63" i="50" s="1"/>
  <c r="AZ63" i="50" s="1"/>
  <c r="BB63" i="50"/>
  <c r="BC63" i="50" s="1"/>
  <c r="BD63" i="50" s="1"/>
  <c r="BE63" i="50" s="1"/>
  <c r="BF63" i="50" s="1"/>
  <c r="BG63" i="50" s="1"/>
  <c r="BH63" i="50" s="1"/>
  <c r="BI63" i="50" s="1"/>
  <c r="BJ63" i="50" s="1"/>
  <c r="AR65" i="50"/>
  <c r="AK42" i="57"/>
  <c r="AJ42" i="57"/>
  <c r="D50" i="50"/>
  <c r="E50" i="50"/>
  <c r="F50" i="50"/>
  <c r="G50" i="50"/>
  <c r="H50" i="50"/>
  <c r="I50" i="50"/>
  <c r="J50" i="50"/>
  <c r="K50" i="50"/>
  <c r="L50" i="50"/>
  <c r="M50" i="50"/>
  <c r="N50" i="50"/>
  <c r="O50" i="50"/>
  <c r="P50" i="50"/>
  <c r="Q50" i="50"/>
  <c r="R50" i="50"/>
  <c r="S50" i="50"/>
  <c r="T50" i="50"/>
  <c r="U50" i="50"/>
  <c r="V50" i="50"/>
  <c r="W50" i="50"/>
  <c r="X50" i="50"/>
  <c r="D51" i="50"/>
  <c r="E51" i="50"/>
  <c r="F51" i="50"/>
  <c r="G51" i="50"/>
  <c r="H51" i="50"/>
  <c r="I51" i="50"/>
  <c r="J51" i="50"/>
  <c r="K51" i="50"/>
  <c r="L51" i="50"/>
  <c r="M51" i="50"/>
  <c r="N51" i="50"/>
  <c r="O51" i="50"/>
  <c r="P51" i="50"/>
  <c r="Q51" i="50"/>
  <c r="R51" i="50"/>
  <c r="S51" i="50"/>
  <c r="T51" i="50"/>
  <c r="U51" i="50"/>
  <c r="V51" i="50"/>
  <c r="W51" i="50"/>
  <c r="X51" i="50"/>
  <c r="D53" i="50"/>
  <c r="E53" i="50"/>
  <c r="F53" i="50"/>
  <c r="G53" i="50"/>
  <c r="H53" i="50"/>
  <c r="I53" i="50"/>
  <c r="J53" i="50"/>
  <c r="K53" i="50"/>
  <c r="L53" i="50"/>
  <c r="M53" i="50"/>
  <c r="N53" i="50"/>
  <c r="O53" i="50"/>
  <c r="P53" i="50"/>
  <c r="Q53" i="50"/>
  <c r="R53" i="50"/>
  <c r="S53" i="50"/>
  <c r="T53" i="50"/>
  <c r="U53" i="50"/>
  <c r="V53" i="50"/>
  <c r="W53" i="50"/>
  <c r="X53" i="50"/>
  <c r="D54" i="50"/>
  <c r="E54" i="50"/>
  <c r="F54" i="50"/>
  <c r="G54" i="50"/>
  <c r="H54" i="50"/>
  <c r="I54" i="50"/>
  <c r="J54" i="50"/>
  <c r="K54" i="50"/>
  <c r="L54" i="50"/>
  <c r="M54" i="50"/>
  <c r="N54" i="50"/>
  <c r="O54" i="50"/>
  <c r="P54" i="50"/>
  <c r="Q54" i="50"/>
  <c r="R54" i="50"/>
  <c r="S54" i="50"/>
  <c r="T54" i="50"/>
  <c r="U54" i="50"/>
  <c r="V54" i="50"/>
  <c r="W54" i="50"/>
  <c r="X54" i="50"/>
  <c r="D55" i="50"/>
  <c r="E55" i="50"/>
  <c r="F55" i="50"/>
  <c r="G55" i="50"/>
  <c r="H55" i="50"/>
  <c r="I55" i="50"/>
  <c r="J55" i="50"/>
  <c r="K55" i="50"/>
  <c r="L55" i="50"/>
  <c r="M55" i="50"/>
  <c r="N55" i="50"/>
  <c r="O55" i="50"/>
  <c r="P55" i="50"/>
  <c r="Q55" i="50"/>
  <c r="R55" i="50"/>
  <c r="S55" i="50"/>
  <c r="T55" i="50"/>
  <c r="U55" i="50"/>
  <c r="V55" i="50"/>
  <c r="W55" i="50"/>
  <c r="X55" i="50"/>
  <c r="C55" i="50"/>
  <c r="C54" i="50"/>
  <c r="C53" i="50"/>
  <c r="C51" i="50"/>
  <c r="C50" i="50"/>
  <c r="C29" i="46"/>
  <c r="C30" i="46" s="1"/>
  <c r="C31" i="46" s="1"/>
  <c r="C32" i="46" s="1"/>
  <c r="C33" i="46" s="1"/>
  <c r="C34" i="46" s="1"/>
  <c r="C35" i="46" s="1"/>
  <c r="C36" i="46" s="1"/>
  <c r="C37" i="46" s="1"/>
  <c r="C38" i="46" s="1"/>
  <c r="C39" i="46" s="1"/>
  <c r="C40" i="46" s="1"/>
  <c r="D37" i="57"/>
  <c r="E37" i="57"/>
  <c r="F37" i="57"/>
  <c r="G37" i="57"/>
  <c r="H37" i="57"/>
  <c r="I37" i="57"/>
  <c r="J37" i="57"/>
  <c r="K37" i="57"/>
  <c r="L37" i="57"/>
  <c r="M37" i="57"/>
  <c r="N37" i="57"/>
  <c r="O37" i="57"/>
  <c r="P37" i="57"/>
  <c r="Q37" i="57"/>
  <c r="R37" i="57"/>
  <c r="S37" i="57"/>
  <c r="T37" i="57"/>
  <c r="U37" i="57"/>
  <c r="V37" i="57"/>
  <c r="W37" i="57"/>
  <c r="X37" i="57"/>
  <c r="Y37" i="57"/>
  <c r="Z37" i="57"/>
  <c r="AA37" i="57"/>
  <c r="AB37" i="57"/>
  <c r="AC37" i="57"/>
  <c r="AD37" i="57"/>
  <c r="C37" i="57"/>
  <c r="M15" i="57"/>
  <c r="M11" i="50" s="1"/>
  <c r="N15" i="57"/>
  <c r="N11" i="50" s="1"/>
  <c r="O15" i="57"/>
  <c r="O11" i="50" s="1"/>
  <c r="P15" i="57"/>
  <c r="P11" i="50" s="1"/>
  <c r="Q15" i="57"/>
  <c r="Q11" i="50" s="1"/>
  <c r="R15" i="57"/>
  <c r="R11" i="50" s="1"/>
  <c r="S15" i="57"/>
  <c r="S11" i="50" s="1"/>
  <c r="T15" i="57"/>
  <c r="T11" i="50" s="1"/>
  <c r="U15" i="57"/>
  <c r="U11" i="50" s="1"/>
  <c r="V15" i="57"/>
  <c r="V11" i="50" s="1"/>
  <c r="W15" i="57"/>
  <c r="W11" i="50" s="1"/>
  <c r="X15" i="57"/>
  <c r="X11" i="50" s="1"/>
  <c r="D9" i="50"/>
  <c r="D10" i="50" s="1"/>
  <c r="D15" i="57" s="1"/>
  <c r="D11" i="50" s="1"/>
  <c r="E9" i="50"/>
  <c r="E10" i="50" s="1"/>
  <c r="E15" i="57" s="1"/>
  <c r="E11" i="50" s="1"/>
  <c r="F9" i="50"/>
  <c r="F10" i="50" s="1"/>
  <c r="F15" i="57" s="1"/>
  <c r="F11" i="50" s="1"/>
  <c r="G9" i="50"/>
  <c r="G10" i="50" s="1"/>
  <c r="G15" i="57" s="1"/>
  <c r="G11" i="50" s="1"/>
  <c r="H9" i="50"/>
  <c r="H10" i="50" s="1"/>
  <c r="H15" i="57" s="1"/>
  <c r="H11" i="50" s="1"/>
  <c r="I9" i="50"/>
  <c r="I10" i="50" s="1"/>
  <c r="I15" i="57" s="1"/>
  <c r="I11" i="50" s="1"/>
  <c r="J9" i="50"/>
  <c r="J10" i="50" s="1"/>
  <c r="J15" i="57" s="1"/>
  <c r="J11" i="50" s="1"/>
  <c r="K9" i="50"/>
  <c r="K10" i="50" s="1"/>
  <c r="K15" i="57" s="1"/>
  <c r="K11" i="50" s="1"/>
  <c r="L9" i="50"/>
  <c r="L10" i="50" s="1"/>
  <c r="L15" i="57" s="1"/>
  <c r="L11" i="50" s="1"/>
  <c r="C9" i="50"/>
  <c r="C10" i="50" s="1"/>
  <c r="D43" i="50"/>
  <c r="E43" i="50"/>
  <c r="F43" i="50"/>
  <c r="G43" i="50"/>
  <c r="H43" i="50"/>
  <c r="I43" i="50"/>
  <c r="J43" i="50"/>
  <c r="K43" i="50"/>
  <c r="L43" i="50"/>
  <c r="M43" i="50"/>
  <c r="N43" i="50"/>
  <c r="O43" i="50"/>
  <c r="P43" i="50"/>
  <c r="Q43" i="50"/>
  <c r="R43" i="50"/>
  <c r="S43" i="50"/>
  <c r="T43" i="50"/>
  <c r="U43" i="50"/>
  <c r="V43" i="50"/>
  <c r="W43" i="50"/>
  <c r="X43" i="50"/>
  <c r="C43" i="50"/>
  <c r="D30" i="57"/>
  <c r="D38" i="50" s="1"/>
  <c r="E30" i="57"/>
  <c r="E38" i="50" s="1"/>
  <c r="F30" i="57"/>
  <c r="F38" i="50" s="1"/>
  <c r="G30" i="57"/>
  <c r="G38" i="50" s="1"/>
  <c r="H30" i="57"/>
  <c r="H38" i="50" s="1"/>
  <c r="I30" i="57"/>
  <c r="I38" i="50" s="1"/>
  <c r="J30" i="57"/>
  <c r="J38" i="50" s="1"/>
  <c r="K30" i="57"/>
  <c r="L30" i="57"/>
  <c r="L38" i="50" s="1"/>
  <c r="M30" i="57"/>
  <c r="M38" i="50" s="1"/>
  <c r="N30" i="57"/>
  <c r="N38" i="50" s="1"/>
  <c r="O30" i="57"/>
  <c r="O38" i="50" s="1"/>
  <c r="P30" i="57"/>
  <c r="P38" i="50" s="1"/>
  <c r="Q30" i="57"/>
  <c r="Q38" i="50" s="1"/>
  <c r="R30" i="57"/>
  <c r="R38" i="50" s="1"/>
  <c r="S30" i="57"/>
  <c r="S38" i="50" s="1"/>
  <c r="T30" i="57"/>
  <c r="T38" i="50" s="1"/>
  <c r="U30" i="57"/>
  <c r="U38" i="50" s="1"/>
  <c r="V30" i="57"/>
  <c r="V38" i="50" s="1"/>
  <c r="W30" i="57"/>
  <c r="W38" i="50" s="1"/>
  <c r="X30" i="57"/>
  <c r="X38" i="50" s="1"/>
  <c r="Y30" i="57"/>
  <c r="Z30" i="57"/>
  <c r="AA30" i="57"/>
  <c r="AB30" i="57"/>
  <c r="AC30" i="57"/>
  <c r="AD30" i="57"/>
  <c r="C30" i="57"/>
  <c r="C38" i="50" s="1"/>
  <c r="D27" i="57"/>
  <c r="D33" i="50" s="1"/>
  <c r="E27" i="57"/>
  <c r="E33" i="50" s="1"/>
  <c r="F27" i="57"/>
  <c r="F33" i="50" s="1"/>
  <c r="G27" i="57"/>
  <c r="G33" i="50" s="1"/>
  <c r="H27" i="57"/>
  <c r="H33" i="50" s="1"/>
  <c r="I27" i="57"/>
  <c r="I33" i="50" s="1"/>
  <c r="J27" i="57"/>
  <c r="J33" i="50" s="1"/>
  <c r="K27" i="57"/>
  <c r="L27" i="57"/>
  <c r="L33" i="50" s="1"/>
  <c r="M27" i="57"/>
  <c r="M33" i="50" s="1"/>
  <c r="N27" i="57"/>
  <c r="N33" i="50" s="1"/>
  <c r="O27" i="57"/>
  <c r="O33" i="50" s="1"/>
  <c r="P27" i="57"/>
  <c r="P33" i="50" s="1"/>
  <c r="Q27" i="57"/>
  <c r="Q33" i="50" s="1"/>
  <c r="R27" i="57"/>
  <c r="R33" i="50" s="1"/>
  <c r="S27" i="57"/>
  <c r="S33" i="50" s="1"/>
  <c r="T27" i="57"/>
  <c r="T33" i="50" s="1"/>
  <c r="U27" i="57"/>
  <c r="U33" i="50" s="1"/>
  <c r="V27" i="57"/>
  <c r="V33" i="50" s="1"/>
  <c r="W27" i="57"/>
  <c r="W33" i="50" s="1"/>
  <c r="X27" i="57"/>
  <c r="X33" i="50" s="1"/>
  <c r="Y27" i="57"/>
  <c r="Z27" i="57"/>
  <c r="AA27" i="57"/>
  <c r="AB27" i="57"/>
  <c r="AC27" i="57"/>
  <c r="AD27" i="57"/>
  <c r="C27" i="57"/>
  <c r="C33" i="50" s="1"/>
  <c r="D24" i="57"/>
  <c r="D28" i="50" s="1"/>
  <c r="E24" i="57"/>
  <c r="E28" i="50" s="1"/>
  <c r="F24" i="57"/>
  <c r="F28" i="50" s="1"/>
  <c r="G24" i="57"/>
  <c r="G28" i="50" s="1"/>
  <c r="H24" i="57"/>
  <c r="H28" i="50" s="1"/>
  <c r="I24" i="57"/>
  <c r="I28" i="50" s="1"/>
  <c r="J24" i="57"/>
  <c r="J28" i="50" s="1"/>
  <c r="K24" i="57"/>
  <c r="L24" i="57"/>
  <c r="L28" i="50" s="1"/>
  <c r="M24" i="57"/>
  <c r="M28" i="50" s="1"/>
  <c r="N24" i="57"/>
  <c r="N28" i="50" s="1"/>
  <c r="O24" i="57"/>
  <c r="O28" i="50" s="1"/>
  <c r="P24" i="57"/>
  <c r="P28" i="50" s="1"/>
  <c r="Q24" i="57"/>
  <c r="Q28" i="50" s="1"/>
  <c r="R24" i="57"/>
  <c r="R28" i="50" s="1"/>
  <c r="S24" i="57"/>
  <c r="S28" i="50" s="1"/>
  <c r="T24" i="57"/>
  <c r="T28" i="50" s="1"/>
  <c r="U24" i="57"/>
  <c r="U28" i="50" s="1"/>
  <c r="V24" i="57"/>
  <c r="V28" i="50" s="1"/>
  <c r="W24" i="57"/>
  <c r="W28" i="50" s="1"/>
  <c r="X24" i="57"/>
  <c r="X28" i="50" s="1"/>
  <c r="Y24" i="57"/>
  <c r="Z24" i="57"/>
  <c r="AA24" i="57"/>
  <c r="AB24" i="57"/>
  <c r="AC24" i="57"/>
  <c r="AD24" i="57"/>
  <c r="C24" i="57"/>
  <c r="C28" i="50" s="1"/>
  <c r="AK24" i="57" l="1"/>
  <c r="AJ24" i="57"/>
  <c r="AI65" i="50"/>
  <c r="AJ65" i="50" s="1"/>
  <c r="BC65" i="50"/>
  <c r="AS65" i="50"/>
  <c r="AA65" i="50"/>
  <c r="C15" i="57"/>
  <c r="C11" i="50" s="1"/>
  <c r="AK37" i="57"/>
  <c r="AS64" i="50"/>
  <c r="BC64" i="50"/>
  <c r="AJ37" i="57"/>
  <c r="AK30" i="57"/>
  <c r="AK27" i="57"/>
  <c r="K28" i="50"/>
  <c r="K38" i="50"/>
  <c r="AJ27" i="57"/>
  <c r="K33" i="50"/>
  <c r="AJ30" i="57"/>
  <c r="D18" i="57"/>
  <c r="D16" i="50" s="1"/>
  <c r="E18" i="57"/>
  <c r="E16" i="50" s="1"/>
  <c r="F18" i="57"/>
  <c r="F16" i="50" s="1"/>
  <c r="G18" i="57"/>
  <c r="G16" i="50" s="1"/>
  <c r="H18" i="57"/>
  <c r="H16" i="50" s="1"/>
  <c r="I18" i="57"/>
  <c r="I16" i="50" s="1"/>
  <c r="J18" i="57"/>
  <c r="J16" i="50" s="1"/>
  <c r="K18" i="57"/>
  <c r="K16" i="50" s="1"/>
  <c r="L18" i="57"/>
  <c r="L16" i="50" s="1"/>
  <c r="M18" i="57"/>
  <c r="M16" i="50" s="1"/>
  <c r="N18" i="57"/>
  <c r="N16" i="50" s="1"/>
  <c r="O18" i="57"/>
  <c r="O16" i="50" s="1"/>
  <c r="P18" i="57"/>
  <c r="P16" i="50" s="1"/>
  <c r="Q18" i="57"/>
  <c r="Q16" i="50" s="1"/>
  <c r="R18" i="57"/>
  <c r="R16" i="50" s="1"/>
  <c r="S18" i="57"/>
  <c r="S16" i="50" s="1"/>
  <c r="T18" i="57"/>
  <c r="T16" i="50" s="1"/>
  <c r="U18" i="57"/>
  <c r="U16" i="50" s="1"/>
  <c r="V18" i="57"/>
  <c r="V16" i="50" s="1"/>
  <c r="W18" i="57"/>
  <c r="W16" i="50" s="1"/>
  <c r="X18" i="57"/>
  <c r="X16" i="50" s="1"/>
  <c r="Y18" i="57"/>
  <c r="Z18" i="57"/>
  <c r="AA18" i="57"/>
  <c r="AB18" i="57"/>
  <c r="AC18" i="57"/>
  <c r="AD18" i="57"/>
  <c r="C18" i="57"/>
  <c r="C16" i="50" s="1"/>
  <c r="BD65" i="50" l="1"/>
  <c r="AT65" i="50"/>
  <c r="AK65" i="50"/>
  <c r="AB65" i="50"/>
  <c r="Y28" i="50"/>
  <c r="BE33" i="50"/>
  <c r="AG33" i="50"/>
  <c r="BD64" i="50"/>
  <c r="AT64" i="50"/>
  <c r="AA33" i="50"/>
  <c r="AR33" i="50"/>
  <c r="AY33" i="50"/>
  <c r="Z33" i="50"/>
  <c r="BI28" i="50"/>
  <c r="AE28" i="50"/>
  <c r="AA28" i="50"/>
  <c r="AH28" i="50"/>
  <c r="AQ28" i="50"/>
  <c r="AW28" i="50"/>
  <c r="AM28" i="50"/>
  <c r="AV28" i="50"/>
  <c r="AL28" i="50"/>
  <c r="BF28" i="50"/>
  <c r="BC28" i="50"/>
  <c r="Z28" i="50"/>
  <c r="AH33" i="50"/>
  <c r="BH33" i="50"/>
  <c r="AR28" i="50"/>
  <c r="AK28" i="50"/>
  <c r="BK28" i="50"/>
  <c r="BH28" i="50"/>
  <c r="AX28" i="50"/>
  <c r="AJ28" i="50"/>
  <c r="AS28" i="50"/>
  <c r="AF28" i="50"/>
  <c r="BB28" i="50"/>
  <c r="AZ28" i="50"/>
  <c r="AG28" i="50"/>
  <c r="BA28" i="50"/>
  <c r="BG28" i="50"/>
  <c r="BD28" i="50"/>
  <c r="AP28" i="50"/>
  <c r="AB28" i="50"/>
  <c r="AI33" i="50"/>
  <c r="AX33" i="50"/>
  <c r="AO33" i="50"/>
  <c r="AM33" i="50"/>
  <c r="BC33" i="50"/>
  <c r="BA33" i="50"/>
  <c r="AL33" i="50"/>
  <c r="BB33" i="50"/>
  <c r="AF33" i="50"/>
  <c r="AV33" i="50"/>
  <c r="Y33" i="50"/>
  <c r="AS33" i="50"/>
  <c r="AB33" i="50"/>
  <c r="AQ33" i="50"/>
  <c r="BG33" i="50"/>
  <c r="BI33" i="50"/>
  <c r="AP33" i="50"/>
  <c r="BF33" i="50"/>
  <c r="AJ33" i="50"/>
  <c r="AZ33" i="50"/>
  <c r="AC33" i="50"/>
  <c r="AW33" i="50"/>
  <c r="AO28" i="50"/>
  <c r="BE28" i="50"/>
  <c r="AY28" i="50"/>
  <c r="AN28" i="50"/>
  <c r="AD28" i="50"/>
  <c r="AT28" i="50"/>
  <c r="BJ28" i="50"/>
  <c r="AU28" i="50"/>
  <c r="AE33" i="50"/>
  <c r="AU33" i="50"/>
  <c r="BK33" i="50"/>
  <c r="AD33" i="50"/>
  <c r="AT33" i="50"/>
  <c r="BJ33" i="50"/>
  <c r="AN33" i="50"/>
  <c r="BD33" i="50"/>
  <c r="AK33" i="50"/>
  <c r="AC28" i="50"/>
  <c r="AB43" i="50"/>
  <c r="AF43" i="50"/>
  <c r="AJ43" i="50"/>
  <c r="AN43" i="50"/>
  <c r="AR43" i="50"/>
  <c r="AV43" i="50"/>
  <c r="AZ43" i="50"/>
  <c r="BD43" i="50"/>
  <c r="BH43" i="50"/>
  <c r="BG43" i="50"/>
  <c r="AC43" i="50"/>
  <c r="AG43" i="50"/>
  <c r="AK43" i="50"/>
  <c r="AO43" i="50"/>
  <c r="AS43" i="50"/>
  <c r="AW43" i="50"/>
  <c r="BA43" i="50"/>
  <c r="BE43" i="50"/>
  <c r="BI43" i="50"/>
  <c r="AA43" i="50"/>
  <c r="AQ43" i="50"/>
  <c r="BC43" i="50"/>
  <c r="Z43" i="50"/>
  <c r="AD43" i="50"/>
  <c r="AH43" i="50"/>
  <c r="AL43" i="50"/>
  <c r="AP43" i="50"/>
  <c r="AT43" i="50"/>
  <c r="AX43" i="50"/>
  <c r="BB43" i="50"/>
  <c r="BF43" i="50"/>
  <c r="BJ43" i="50"/>
  <c r="AE43" i="50"/>
  <c r="AI43" i="50"/>
  <c r="AM43" i="50"/>
  <c r="AU43" i="50"/>
  <c r="AY43" i="50"/>
  <c r="BK43" i="50"/>
  <c r="AJ18" i="57"/>
  <c r="AK18" i="57"/>
  <c r="Z38" i="50"/>
  <c r="AD38" i="50"/>
  <c r="AH38" i="50"/>
  <c r="AL38" i="50"/>
  <c r="AP38" i="50"/>
  <c r="AT38" i="50"/>
  <c r="AX38" i="50"/>
  <c r="BB38" i="50"/>
  <c r="BF38" i="50"/>
  <c r="BJ38" i="50"/>
  <c r="AA38" i="50"/>
  <c r="AE38" i="50"/>
  <c r="AI38" i="50"/>
  <c r="AM38" i="50"/>
  <c r="AQ38" i="50"/>
  <c r="AU38" i="50"/>
  <c r="AY38" i="50"/>
  <c r="BC38" i="50"/>
  <c r="BG38" i="50"/>
  <c r="BK38" i="50"/>
  <c r="AC38" i="50"/>
  <c r="AG38" i="50"/>
  <c r="AK38" i="50"/>
  <c r="AS38" i="50"/>
  <c r="BA38" i="50"/>
  <c r="BI38" i="50"/>
  <c r="AB38" i="50"/>
  <c r="AF38" i="50"/>
  <c r="AJ38" i="50"/>
  <c r="AN38" i="50"/>
  <c r="AR38" i="50"/>
  <c r="AV38" i="50"/>
  <c r="AZ38" i="50"/>
  <c r="BD38" i="50"/>
  <c r="BH38" i="50"/>
  <c r="Y38" i="50"/>
  <c r="AO38" i="50"/>
  <c r="AW38" i="50"/>
  <c r="BE38" i="50"/>
  <c r="AI28" i="50"/>
  <c r="BE65" i="50" l="1"/>
  <c r="AU65" i="50"/>
  <c r="AL65" i="50"/>
  <c r="AC65" i="50"/>
  <c r="AU64" i="50"/>
  <c r="BE64" i="50"/>
  <c r="AF16" i="50"/>
  <c r="AO16" i="50"/>
  <c r="AP16" i="50"/>
  <c r="AV16" i="50"/>
  <c r="AT16" i="50"/>
  <c r="AX16" i="50"/>
  <c r="AC16" i="50"/>
  <c r="AR16" i="50"/>
  <c r="BK16" i="50"/>
  <c r="AU16" i="50"/>
  <c r="AE16" i="50"/>
  <c r="BF16" i="50"/>
  <c r="AH16" i="50"/>
  <c r="AI16" i="50"/>
  <c r="BA16" i="50"/>
  <c r="BJ16" i="50"/>
  <c r="AK16" i="50"/>
  <c r="AJ16" i="50"/>
  <c r="AS16" i="50"/>
  <c r="BH16" i="50"/>
  <c r="AL16" i="50"/>
  <c r="BG16" i="50"/>
  <c r="AQ16" i="50"/>
  <c r="BE16" i="50"/>
  <c r="AW16" i="50"/>
  <c r="AY16" i="50"/>
  <c r="AZ16" i="50"/>
  <c r="AB16" i="50"/>
  <c r="Z16" i="50"/>
  <c r="BI16" i="50"/>
  <c r="AN16" i="50"/>
  <c r="BB16" i="50"/>
  <c r="AG16" i="50"/>
  <c r="BC16" i="50"/>
  <c r="AM16" i="50"/>
  <c r="Y16" i="50"/>
  <c r="BD16" i="50"/>
  <c r="AA16" i="50"/>
  <c r="AD16" i="50"/>
  <c r="BF65" i="50" l="1"/>
  <c r="AV65" i="50"/>
  <c r="AM65" i="50"/>
  <c r="AD65" i="50"/>
  <c r="BF64" i="50"/>
  <c r="AV64" i="50"/>
  <c r="AJ17" i="57"/>
  <c r="AK17" i="57"/>
  <c r="BG65" i="50" l="1"/>
  <c r="AW65" i="50"/>
  <c r="AN65" i="50"/>
  <c r="AE65" i="50"/>
  <c r="AW64" i="50"/>
  <c r="BG64" i="50"/>
  <c r="BH65" i="50" l="1"/>
  <c r="AX65" i="50"/>
  <c r="AO65" i="50"/>
  <c r="AF65" i="50"/>
  <c r="BH64" i="50"/>
  <c r="AX64" i="50"/>
  <c r="C7" i="58"/>
  <c r="C8" i="58" s="1"/>
  <c r="BI65" i="50" l="1"/>
  <c r="AY65" i="50"/>
  <c r="AP65" i="50"/>
  <c r="AY64" i="50"/>
  <c r="BI64" i="50"/>
  <c r="X52" i="50"/>
  <c r="X56" i="50" s="1"/>
  <c r="BJ65" i="50" l="1"/>
  <c r="AZ65" i="50"/>
  <c r="BJ64" i="50"/>
  <c r="AZ64" i="50"/>
  <c r="X58" i="50"/>
  <c r="X59" i="50" s="1"/>
  <c r="Y4" i="50"/>
  <c r="Y4" i="57" s="1"/>
  <c r="Z4" i="50"/>
  <c r="Z4" i="57" s="1"/>
  <c r="AA4" i="50"/>
  <c r="AA4" i="57" s="1"/>
  <c r="AB4" i="50"/>
  <c r="AB4" i="57" s="1"/>
  <c r="AC4" i="50"/>
  <c r="AC4" i="57" s="1"/>
  <c r="AD4" i="50"/>
  <c r="AD4" i="57" s="1"/>
  <c r="AE4" i="50"/>
  <c r="AF4" i="50"/>
  <c r="AG4" i="50"/>
  <c r="AE4" i="57" s="1"/>
  <c r="AH4" i="50"/>
  <c r="AI4" i="50"/>
  <c r="AJ4" i="50"/>
  <c r="AK4" i="50"/>
  <c r="AL4" i="50"/>
  <c r="AM4" i="50"/>
  <c r="AN4" i="50"/>
  <c r="AO4" i="50"/>
  <c r="AP4" i="50"/>
  <c r="AQ4" i="50"/>
  <c r="AF4" i="57" s="1"/>
  <c r="AR4" i="50"/>
  <c r="AS4" i="50"/>
  <c r="AT4" i="50"/>
  <c r="AU4" i="50"/>
  <c r="AV4" i="50"/>
  <c r="AW4" i="50"/>
  <c r="AX4" i="50"/>
  <c r="AY4" i="50"/>
  <c r="AZ4" i="50"/>
  <c r="BA4" i="50"/>
  <c r="AG4" i="57" s="1"/>
  <c r="BB4" i="50"/>
  <c r="BC4" i="50"/>
  <c r="BD4" i="50"/>
  <c r="BE4" i="50"/>
  <c r="BF4" i="50"/>
  <c r="BG4" i="50"/>
  <c r="BH4" i="50"/>
  <c r="BI4" i="50"/>
  <c r="BJ4" i="50"/>
  <c r="BK4" i="50"/>
  <c r="AH4" i="57" s="1"/>
  <c r="AK44" i="57" l="1"/>
  <c r="AJ44" i="57"/>
  <c r="AJ57" i="57" l="1"/>
  <c r="AK57" i="57"/>
  <c r="AK63" i="57"/>
  <c r="AJ63" i="57"/>
  <c r="AK14" i="57"/>
  <c r="AJ14" i="57"/>
  <c r="AK54" i="57"/>
  <c r="AJ54" i="57"/>
  <c r="AE42" i="36"/>
  <c r="AD16" i="36"/>
  <c r="AE16" i="36" s="1"/>
  <c r="AF16" i="36" s="1"/>
  <c r="AG16" i="36" s="1"/>
  <c r="AH16" i="36" s="1"/>
  <c r="AI16" i="36" s="1"/>
  <c r="AK55" i="57"/>
  <c r="AJ60" i="57"/>
  <c r="AK65" i="57"/>
  <c r="AK66" i="57"/>
  <c r="AJ66" i="57"/>
  <c r="AK26" i="57"/>
  <c r="AJ26" i="57"/>
  <c r="W52" i="50"/>
  <c r="W56" i="50" s="1"/>
  <c r="AK56" i="57"/>
  <c r="AJ56" i="57"/>
  <c r="D12" i="57"/>
  <c r="E12" i="57"/>
  <c r="F12" i="57"/>
  <c r="G12" i="57"/>
  <c r="H12" i="57"/>
  <c r="I12" i="57"/>
  <c r="J12" i="57"/>
  <c r="K12" i="57"/>
  <c r="L12" i="57"/>
  <c r="M12" i="57"/>
  <c r="N12" i="57"/>
  <c r="O12" i="57"/>
  <c r="P12" i="57"/>
  <c r="Q12" i="57"/>
  <c r="R12" i="57"/>
  <c r="S12" i="57"/>
  <c r="T12" i="57"/>
  <c r="U12" i="57"/>
  <c r="V12" i="57"/>
  <c r="W12" i="57"/>
  <c r="X12" i="57"/>
  <c r="Y12" i="57"/>
  <c r="Z12" i="57"/>
  <c r="AA12" i="57"/>
  <c r="AB12" i="57"/>
  <c r="AC12" i="57"/>
  <c r="AD12" i="57"/>
  <c r="C12" i="57"/>
  <c r="D11" i="57"/>
  <c r="E11" i="57"/>
  <c r="F11" i="57"/>
  <c r="G11" i="57"/>
  <c r="H11" i="57"/>
  <c r="I11" i="57"/>
  <c r="J11" i="57"/>
  <c r="K11" i="57"/>
  <c r="L11" i="57"/>
  <c r="M11" i="57"/>
  <c r="N11" i="57"/>
  <c r="O11" i="57"/>
  <c r="P11" i="57"/>
  <c r="Q11" i="57"/>
  <c r="R11" i="57"/>
  <c r="S11" i="57"/>
  <c r="T11" i="57"/>
  <c r="U11" i="57"/>
  <c r="V11" i="57"/>
  <c r="W11" i="57"/>
  <c r="X11" i="57"/>
  <c r="Y11" i="57"/>
  <c r="Z11" i="57"/>
  <c r="AA11" i="57"/>
  <c r="AB11" i="57"/>
  <c r="AC11" i="57"/>
  <c r="AD11" i="57"/>
  <c r="C11" i="57"/>
  <c r="D10" i="57"/>
  <c r="E10" i="57"/>
  <c r="F10" i="57"/>
  <c r="G10" i="57"/>
  <c r="H10" i="57"/>
  <c r="I10" i="57"/>
  <c r="J10" i="57"/>
  <c r="K10" i="57"/>
  <c r="L10" i="57"/>
  <c r="M10" i="57"/>
  <c r="N10" i="57"/>
  <c r="O10" i="57"/>
  <c r="P10" i="57"/>
  <c r="Q10" i="57"/>
  <c r="R10" i="57"/>
  <c r="S10" i="57"/>
  <c r="T10" i="57"/>
  <c r="U10" i="57"/>
  <c r="V10" i="57"/>
  <c r="W10" i="57"/>
  <c r="X10" i="57"/>
  <c r="Y10" i="57"/>
  <c r="Z10" i="57"/>
  <c r="AA10" i="57"/>
  <c r="AB10" i="57"/>
  <c r="AC10" i="57"/>
  <c r="AD10" i="57"/>
  <c r="C10" i="57"/>
  <c r="D9" i="57"/>
  <c r="E9" i="57"/>
  <c r="F9" i="57"/>
  <c r="G9" i="57"/>
  <c r="H9" i="57"/>
  <c r="I9" i="57"/>
  <c r="J9" i="57"/>
  <c r="K9" i="57"/>
  <c r="L9" i="57"/>
  <c r="M9" i="57"/>
  <c r="N9" i="57"/>
  <c r="O9" i="57"/>
  <c r="P9" i="57"/>
  <c r="Q9" i="57"/>
  <c r="R9" i="57"/>
  <c r="S9" i="57"/>
  <c r="T9" i="57"/>
  <c r="U9" i="57"/>
  <c r="V9" i="57"/>
  <c r="W9" i="57"/>
  <c r="X9" i="57"/>
  <c r="Y9" i="57"/>
  <c r="Z9" i="57"/>
  <c r="AA9" i="57"/>
  <c r="AB9" i="57"/>
  <c r="AC9" i="57"/>
  <c r="AD9" i="57"/>
  <c r="C9" i="57"/>
  <c r="A20" i="57"/>
  <c r="B20" i="57"/>
  <c r="C20" i="57"/>
  <c r="D20" i="57"/>
  <c r="E20" i="57"/>
  <c r="F20" i="57"/>
  <c r="G20" i="57"/>
  <c r="H20" i="57"/>
  <c r="I20" i="57"/>
  <c r="J20" i="57"/>
  <c r="K20" i="57"/>
  <c r="K21" i="57" s="1"/>
  <c r="L20" i="57"/>
  <c r="M20" i="57"/>
  <c r="N20" i="57"/>
  <c r="O20" i="57"/>
  <c r="P20" i="57"/>
  <c r="Q20" i="57"/>
  <c r="R20" i="57"/>
  <c r="S20" i="57"/>
  <c r="T20" i="57"/>
  <c r="U20" i="57"/>
  <c r="V20" i="57"/>
  <c r="W20" i="57"/>
  <c r="X20" i="57"/>
  <c r="Y20" i="57"/>
  <c r="Z20" i="57"/>
  <c r="AA20" i="57"/>
  <c r="AB20" i="57"/>
  <c r="AC20" i="57"/>
  <c r="AD20" i="57"/>
  <c r="G22" i="57"/>
  <c r="G7" i="57" s="1"/>
  <c r="G5" i="57"/>
  <c r="K5" i="57"/>
  <c r="O5" i="57"/>
  <c r="S5" i="57"/>
  <c r="W5" i="57"/>
  <c r="AA5" i="57"/>
  <c r="C5" i="57"/>
  <c r="B19" i="57"/>
  <c r="A19" i="57"/>
  <c r="B44" i="57"/>
  <c r="A44" i="57"/>
  <c r="B43" i="57"/>
  <c r="A43" i="57"/>
  <c r="B41" i="57"/>
  <c r="A41" i="57"/>
  <c r="B39" i="57"/>
  <c r="B40" i="57"/>
  <c r="A39" i="57"/>
  <c r="A40" i="57"/>
  <c r="A13" i="57"/>
  <c r="B13" i="57"/>
  <c r="D5" i="57"/>
  <c r="E5" i="57"/>
  <c r="F5" i="57"/>
  <c r="H5" i="57"/>
  <c r="I5" i="57"/>
  <c r="J5" i="57"/>
  <c r="L5" i="57"/>
  <c r="M5" i="57"/>
  <c r="N5" i="57"/>
  <c r="P5" i="57"/>
  <c r="Q5" i="57"/>
  <c r="R5" i="57"/>
  <c r="T5" i="57"/>
  <c r="U5" i="57"/>
  <c r="V5" i="57"/>
  <c r="X5" i="57"/>
  <c r="Y5" i="57"/>
  <c r="Z5" i="57"/>
  <c r="AB5" i="57"/>
  <c r="AC5" i="57"/>
  <c r="AD5" i="57"/>
  <c r="B16" i="57"/>
  <c r="C6" i="57"/>
  <c r="D6" i="57"/>
  <c r="E6" i="57"/>
  <c r="F6" i="57"/>
  <c r="G6" i="57"/>
  <c r="H6" i="57"/>
  <c r="I6" i="57"/>
  <c r="J6" i="57"/>
  <c r="K6" i="57"/>
  <c r="L6" i="57"/>
  <c r="M6" i="57"/>
  <c r="N6" i="57"/>
  <c r="O6" i="57"/>
  <c r="P6" i="57"/>
  <c r="Q6" i="57"/>
  <c r="R6" i="57"/>
  <c r="S6" i="57"/>
  <c r="T6" i="57"/>
  <c r="U6" i="57"/>
  <c r="V6" i="57"/>
  <c r="W6" i="57"/>
  <c r="X6" i="57"/>
  <c r="Y6" i="57"/>
  <c r="Z6" i="57"/>
  <c r="AA6" i="57"/>
  <c r="AB6" i="57"/>
  <c r="AC6" i="57"/>
  <c r="B17" i="57"/>
  <c r="B22" i="57"/>
  <c r="B23" i="57"/>
  <c r="B25" i="57"/>
  <c r="B26" i="57"/>
  <c r="B28" i="57"/>
  <c r="B29" i="57"/>
  <c r="B31" i="57"/>
  <c r="B33" i="57"/>
  <c r="B36" i="57"/>
  <c r="A36" i="57"/>
  <c r="A33" i="57"/>
  <c r="A31" i="57"/>
  <c r="A29" i="57"/>
  <c r="A28" i="57"/>
  <c r="A26" i="57"/>
  <c r="A25" i="57"/>
  <c r="A23" i="57"/>
  <c r="A22" i="57"/>
  <c r="A17" i="57"/>
  <c r="A16" i="57"/>
  <c r="A14" i="57"/>
  <c r="B5" i="57"/>
  <c r="B6" i="57"/>
  <c r="B7" i="57"/>
  <c r="B8" i="57"/>
  <c r="B9" i="57"/>
  <c r="B10" i="57"/>
  <c r="B11" i="57"/>
  <c r="B12" i="57"/>
  <c r="A12" i="57"/>
  <c r="A11" i="57"/>
  <c r="A10" i="57"/>
  <c r="A9" i="57"/>
  <c r="A8" i="57"/>
  <c r="A7" i="57"/>
  <c r="A6" i="57"/>
  <c r="A5" i="57"/>
  <c r="B4" i="57"/>
  <c r="A4" i="57"/>
  <c r="AF42" i="36" l="1"/>
  <c r="AE83" i="36"/>
  <c r="W58" i="50"/>
  <c r="W59" i="50" s="1"/>
  <c r="V52" i="50"/>
  <c r="V56" i="50" s="1"/>
  <c r="U52" i="50"/>
  <c r="U56" i="50" s="1"/>
  <c r="N8" i="57"/>
  <c r="N21" i="57"/>
  <c r="N25" i="50" s="1"/>
  <c r="V8" i="57"/>
  <c r="V21" i="57"/>
  <c r="V25" i="50" s="1"/>
  <c r="J8" i="57"/>
  <c r="J21" i="57"/>
  <c r="J25" i="50" s="1"/>
  <c r="AC8" i="57"/>
  <c r="AC21" i="57"/>
  <c r="Y8" i="57"/>
  <c r="Y21" i="57"/>
  <c r="U8" i="57"/>
  <c r="U21" i="57"/>
  <c r="U25" i="50" s="1"/>
  <c r="Q8" i="57"/>
  <c r="Q21" i="57"/>
  <c r="Q25" i="50" s="1"/>
  <c r="M8" i="57"/>
  <c r="M21" i="57"/>
  <c r="M25" i="50" s="1"/>
  <c r="I8" i="57"/>
  <c r="I21" i="57"/>
  <c r="I25" i="50" s="1"/>
  <c r="E8" i="57"/>
  <c r="E21" i="57"/>
  <c r="E25" i="50" s="1"/>
  <c r="Z8" i="57"/>
  <c r="Z21" i="57"/>
  <c r="AB22" i="57"/>
  <c r="AB7" i="57" s="1"/>
  <c r="AB21" i="57"/>
  <c r="X22" i="57"/>
  <c r="X7" i="57" s="1"/>
  <c r="X21" i="57"/>
  <c r="X25" i="50" s="1"/>
  <c r="T22" i="57"/>
  <c r="T7" i="57" s="1"/>
  <c r="T21" i="57"/>
  <c r="T25" i="50" s="1"/>
  <c r="P22" i="57"/>
  <c r="P7" i="57" s="1"/>
  <c r="P21" i="57"/>
  <c r="P25" i="50" s="1"/>
  <c r="L22" i="57"/>
  <c r="L7" i="57" s="1"/>
  <c r="L21" i="57"/>
  <c r="L25" i="50" s="1"/>
  <c r="H22" i="57"/>
  <c r="H7" i="57" s="1"/>
  <c r="H21" i="57"/>
  <c r="H25" i="50" s="1"/>
  <c r="D22" i="57"/>
  <c r="D7" i="57" s="1"/>
  <c r="D21" i="57"/>
  <c r="D25" i="50" s="1"/>
  <c r="AD8" i="57"/>
  <c r="AD21" i="57"/>
  <c r="R8" i="57"/>
  <c r="R21" i="57"/>
  <c r="R25" i="50" s="1"/>
  <c r="F8" i="57"/>
  <c r="F21" i="57"/>
  <c r="F25" i="50" s="1"/>
  <c r="AA8" i="57"/>
  <c r="AA21" i="57"/>
  <c r="W8" i="57"/>
  <c r="W21" i="57"/>
  <c r="W25" i="50" s="1"/>
  <c r="S8" i="57"/>
  <c r="S21" i="57"/>
  <c r="S25" i="50" s="1"/>
  <c r="O8" i="57"/>
  <c r="O21" i="57"/>
  <c r="O25" i="50" s="1"/>
  <c r="K8" i="57"/>
  <c r="G8" i="57"/>
  <c r="G21" i="57"/>
  <c r="G25" i="50" s="1"/>
  <c r="C8" i="57"/>
  <c r="C21" i="57"/>
  <c r="C25" i="50" s="1"/>
  <c r="AJ59" i="57"/>
  <c r="S22" i="57"/>
  <c r="Z22" i="57"/>
  <c r="Z7" i="57" s="1"/>
  <c r="I22" i="57"/>
  <c r="I7" i="57" s="1"/>
  <c r="U22" i="57"/>
  <c r="U7" i="57" s="1"/>
  <c r="AK60" i="57"/>
  <c r="AJ55" i="57"/>
  <c r="AJ65" i="57"/>
  <c r="W22" i="57"/>
  <c r="W7" i="57" s="1"/>
  <c r="V22" i="57"/>
  <c r="V7" i="57" s="1"/>
  <c r="N22" i="57"/>
  <c r="N7" i="57" s="1"/>
  <c r="O22" i="57"/>
  <c r="O7" i="57" s="1"/>
  <c r="AD22" i="57"/>
  <c r="C22" i="57"/>
  <c r="C7" i="57" s="1"/>
  <c r="AA22" i="57"/>
  <c r="AA7" i="57" s="1"/>
  <c r="K22" i="57"/>
  <c r="K7" i="57" s="1"/>
  <c r="AK59" i="57"/>
  <c r="Y22" i="57"/>
  <c r="Y7" i="57" s="1"/>
  <c r="AC22" i="57"/>
  <c r="AC7" i="57" s="1"/>
  <c r="R22" i="57"/>
  <c r="R7" i="57" s="1"/>
  <c r="M22" i="57"/>
  <c r="M7" i="57" s="1"/>
  <c r="F22" i="57"/>
  <c r="F7" i="57" s="1"/>
  <c r="Q22" i="57"/>
  <c r="Q7" i="57" s="1"/>
  <c r="J22" i="57"/>
  <c r="J7" i="57" s="1"/>
  <c r="E22" i="57"/>
  <c r="E7" i="57" s="1"/>
  <c r="AB8" i="57"/>
  <c r="X8" i="57"/>
  <c r="T8" i="57"/>
  <c r="P8" i="57"/>
  <c r="L8" i="57"/>
  <c r="H8" i="57"/>
  <c r="D8" i="57"/>
  <c r="S7" i="57" l="1"/>
  <c r="AJ23" i="57"/>
  <c r="AK23" i="57"/>
  <c r="AG42" i="36"/>
  <c r="AF83" i="36"/>
  <c r="U58" i="50"/>
  <c r="U59" i="50" s="1"/>
  <c r="V58" i="50"/>
  <c r="V59" i="50" s="1"/>
  <c r="AK21" i="57"/>
  <c r="K25" i="50"/>
  <c r="AJ21" i="57"/>
  <c r="AD6" i="57"/>
  <c r="AH42" i="36" l="1"/>
  <c r="AG83" i="36"/>
  <c r="AA25" i="50"/>
  <c r="AE25" i="50"/>
  <c r="AI25" i="50"/>
  <c r="AM25" i="50"/>
  <c r="AQ25" i="50"/>
  <c r="AU25" i="50"/>
  <c r="AY25" i="50"/>
  <c r="BC25" i="50"/>
  <c r="BG25" i="50"/>
  <c r="BK25" i="50"/>
  <c r="AG25" i="50"/>
  <c r="AO25" i="50"/>
  <c r="AW25" i="50"/>
  <c r="BE25" i="50"/>
  <c r="Z25" i="50"/>
  <c r="AH25" i="50"/>
  <c r="AP25" i="50"/>
  <c r="AX25" i="50"/>
  <c r="BF25" i="50"/>
  <c r="AB25" i="50"/>
  <c r="AF25" i="50"/>
  <c r="AJ25" i="50"/>
  <c r="AN25" i="50"/>
  <c r="AR25" i="50"/>
  <c r="AV25" i="50"/>
  <c r="AZ25" i="50"/>
  <c r="BD25" i="50"/>
  <c r="BH25" i="50"/>
  <c r="Y25" i="50"/>
  <c r="AC25" i="50"/>
  <c r="AK25" i="50"/>
  <c r="AS25" i="50"/>
  <c r="BA25" i="50"/>
  <c r="BI25" i="50"/>
  <c r="AD25" i="50"/>
  <c r="AL25" i="50"/>
  <c r="AT25" i="50"/>
  <c r="BB25" i="50"/>
  <c r="BJ25" i="50"/>
  <c r="AD7" i="57"/>
  <c r="AI42" i="36" l="1"/>
  <c r="AI83" i="36" s="1"/>
  <c r="AH83" i="36"/>
  <c r="AJ16" i="36"/>
  <c r="AK16" i="36" s="1"/>
  <c r="AL16" i="36" s="1"/>
  <c r="AM16" i="36" s="1"/>
  <c r="AN16" i="36" s="1"/>
  <c r="AO16" i="36" s="1"/>
  <c r="AP16" i="36" s="1"/>
  <c r="AQ16" i="36" s="1"/>
  <c r="AR16" i="36" s="1"/>
  <c r="AS16" i="36" s="1"/>
  <c r="AT16" i="36" s="1"/>
  <c r="AU16" i="36" s="1"/>
  <c r="AV16" i="36" s="1"/>
  <c r="AW16" i="36" s="1"/>
  <c r="AX16" i="36" s="1"/>
  <c r="AY16" i="36" s="1"/>
  <c r="AZ16" i="36" s="1"/>
  <c r="BA16" i="36" s="1"/>
  <c r="BB16" i="36" s="1"/>
  <c r="BC16" i="36" s="1"/>
  <c r="BD16" i="36" s="1"/>
  <c r="BE16" i="36" s="1"/>
  <c r="BF16" i="36" s="1"/>
  <c r="BG16" i="36" s="1"/>
  <c r="BH16" i="36" s="1"/>
  <c r="BI16" i="36" s="1"/>
  <c r="BJ16" i="36" s="1"/>
  <c r="BK16" i="36" s="1"/>
  <c r="BL16" i="36" s="1"/>
  <c r="BM16" i="36" s="1"/>
  <c r="BN16" i="36" s="1"/>
  <c r="BO16" i="36" s="1"/>
  <c r="BP16" i="36" s="1"/>
  <c r="Y5" i="47" l="1"/>
  <c r="X4" i="50" s="1"/>
  <c r="X4" i="57" s="1"/>
  <c r="X5" i="47" l="1"/>
  <c r="W4" i="50" s="1"/>
  <c r="W4" i="57" s="1"/>
  <c r="W5" i="47" l="1"/>
  <c r="V4" i="50" s="1"/>
  <c r="V4" i="57" s="1"/>
  <c r="V5" i="47" l="1"/>
  <c r="U4" i="50" s="1"/>
  <c r="U4" i="57" s="1"/>
  <c r="D145" i="34"/>
  <c r="D146" i="34"/>
  <c r="D147" i="34"/>
  <c r="D148" i="34"/>
  <c r="D149" i="34"/>
  <c r="D150" i="34"/>
  <c r="D151" i="34"/>
  <c r="D152" i="34"/>
  <c r="D153" i="34"/>
  <c r="D154" i="34"/>
  <c r="D155" i="34"/>
  <c r="D144" i="34"/>
  <c r="E130" i="34"/>
  <c r="E131" i="34"/>
  <c r="E132" i="34"/>
  <c r="E133" i="34"/>
  <c r="E134" i="34"/>
  <c r="E124" i="34"/>
  <c r="E125" i="34"/>
  <c r="E126" i="34"/>
  <c r="E127" i="34"/>
  <c r="E128" i="34"/>
  <c r="U5" i="47" l="1"/>
  <c r="T4" i="50" s="1"/>
  <c r="T4" i="57" s="1"/>
  <c r="B6" i="46"/>
  <c r="AE89" i="36" l="1"/>
  <c r="AI89" i="36"/>
  <c r="AF89" i="36"/>
  <c r="AG89" i="36"/>
  <c r="AH89" i="36"/>
  <c r="AJ89" i="36"/>
  <c r="AD89" i="36"/>
  <c r="AE87" i="36"/>
  <c r="AQ87" i="36"/>
  <c r="BC87" i="36"/>
  <c r="BO87" i="36"/>
  <c r="AO88" i="36"/>
  <c r="BA88" i="36"/>
  <c r="BM88" i="36"/>
  <c r="AS89" i="36"/>
  <c r="BE89" i="36"/>
  <c r="AE90" i="36"/>
  <c r="AQ90" i="36"/>
  <c r="BC90" i="36"/>
  <c r="BO90" i="36"/>
  <c r="AO91" i="36"/>
  <c r="BA91" i="36"/>
  <c r="BM91" i="36"/>
  <c r="AM92" i="36"/>
  <c r="AY92" i="36"/>
  <c r="BK92" i="36"/>
  <c r="AK95" i="36"/>
  <c r="AW95" i="36"/>
  <c r="BI95" i="36"/>
  <c r="AI96" i="36"/>
  <c r="AU96" i="36"/>
  <c r="BG96" i="36"/>
  <c r="AG97" i="36"/>
  <c r="AS97" i="36"/>
  <c r="BE97" i="36"/>
  <c r="AE98" i="36"/>
  <c r="AQ98" i="36"/>
  <c r="BC98" i="36"/>
  <c r="BO98" i="36"/>
  <c r="BA95" i="36"/>
  <c r="AI98" i="36"/>
  <c r="AD96" i="36"/>
  <c r="AP96" i="36"/>
  <c r="AO89" i="36"/>
  <c r="AU92" i="36"/>
  <c r="BA97" i="36"/>
  <c r="BC89" i="36"/>
  <c r="BC97" i="36"/>
  <c r="AF87" i="36"/>
  <c r="AR87" i="36"/>
  <c r="BD87" i="36"/>
  <c r="BP87" i="36"/>
  <c r="AP88" i="36"/>
  <c r="BB88" i="36"/>
  <c r="BN88" i="36"/>
  <c r="AT89" i="36"/>
  <c r="BF89" i="36"/>
  <c r="AF90" i="36"/>
  <c r="AR90" i="36"/>
  <c r="BD90" i="36"/>
  <c r="BP90" i="36"/>
  <c r="AP91" i="36"/>
  <c r="BB91" i="36"/>
  <c r="BN91" i="36"/>
  <c r="AN92" i="36"/>
  <c r="AZ92" i="36"/>
  <c r="BL92" i="36"/>
  <c r="AL95" i="36"/>
  <c r="AX95" i="36"/>
  <c r="BJ95" i="36"/>
  <c r="AJ96" i="36"/>
  <c r="AV96" i="36"/>
  <c r="BH96" i="36"/>
  <c r="AH97" i="36"/>
  <c r="AT97" i="36"/>
  <c r="BF97" i="36"/>
  <c r="AF98" i="36"/>
  <c r="AR98" i="36"/>
  <c r="BD98" i="36"/>
  <c r="BP98" i="36"/>
  <c r="BO92" i="36"/>
  <c r="BK96" i="36"/>
  <c r="AU98" i="36"/>
  <c r="BB96" i="36"/>
  <c r="AW88" i="36"/>
  <c r="AM90" i="36"/>
  <c r="BI91" i="36"/>
  <c r="BE95" i="36"/>
  <c r="BO96" i="36"/>
  <c r="AD90" i="36"/>
  <c r="BK88" i="36"/>
  <c r="BM98" i="36"/>
  <c r="AG87" i="36"/>
  <c r="AS87" i="36"/>
  <c r="BE87" i="36"/>
  <c r="AE88" i="36"/>
  <c r="AQ88" i="36"/>
  <c r="BC88" i="36"/>
  <c r="BO88" i="36"/>
  <c r="AU89" i="36"/>
  <c r="BG89" i="36"/>
  <c r="AG90" i="36"/>
  <c r="AS90" i="36"/>
  <c r="BE90" i="36"/>
  <c r="AE91" i="36"/>
  <c r="AQ91" i="36"/>
  <c r="BC91" i="36"/>
  <c r="BO91" i="36"/>
  <c r="AO92" i="36"/>
  <c r="BA92" i="36"/>
  <c r="BM92" i="36"/>
  <c r="AM95" i="36"/>
  <c r="AY95" i="36"/>
  <c r="BK95" i="36"/>
  <c r="AK96" i="36"/>
  <c r="AW96" i="36"/>
  <c r="BI96" i="36"/>
  <c r="AI97" i="36"/>
  <c r="AU97" i="36"/>
  <c r="BG97" i="36"/>
  <c r="AG98" i="36"/>
  <c r="AS98" i="36"/>
  <c r="BE98" i="36"/>
  <c r="AD98" i="36"/>
  <c r="BC92" i="36"/>
  <c r="AW97" i="36"/>
  <c r="AL98" i="36"/>
  <c r="AD91" i="36"/>
  <c r="BK87" i="36"/>
  <c r="BK90" i="36"/>
  <c r="AG95" i="36"/>
  <c r="AO97" i="36"/>
  <c r="BK91" i="36"/>
  <c r="AS96" i="36"/>
  <c r="AH87" i="36"/>
  <c r="AT87" i="36"/>
  <c r="BF87" i="36"/>
  <c r="AF88" i="36"/>
  <c r="AR88" i="36"/>
  <c r="BD88" i="36"/>
  <c r="BP88" i="36"/>
  <c r="AV89" i="36"/>
  <c r="BH89" i="36"/>
  <c r="AH90" i="36"/>
  <c r="AT90" i="36"/>
  <c r="BF90" i="36"/>
  <c r="AF91" i="36"/>
  <c r="AR91" i="36"/>
  <c r="BD91" i="36"/>
  <c r="BP91" i="36"/>
  <c r="AP92" i="36"/>
  <c r="BB92" i="36"/>
  <c r="BN92" i="36"/>
  <c r="AN95" i="36"/>
  <c r="AZ95" i="36"/>
  <c r="BL95" i="36"/>
  <c r="AL96" i="36"/>
  <c r="AX96" i="36"/>
  <c r="BJ96" i="36"/>
  <c r="AJ97" i="36"/>
  <c r="AV97" i="36"/>
  <c r="BH97" i="36"/>
  <c r="AH98" i="36"/>
  <c r="AT98" i="36"/>
  <c r="BF98" i="36"/>
  <c r="AD97" i="36"/>
  <c r="AQ92" i="36"/>
  <c r="AK97" i="36"/>
  <c r="AX98" i="36"/>
  <c r="BJ98" i="36"/>
  <c r="AM87" i="36"/>
  <c r="AW91" i="36"/>
  <c r="AM98" i="36"/>
  <c r="AM91" i="36"/>
  <c r="AQ97" i="36"/>
  <c r="AI87" i="36"/>
  <c r="AU87" i="36"/>
  <c r="BG87" i="36"/>
  <c r="AG88" i="36"/>
  <c r="AS88" i="36"/>
  <c r="BE88" i="36"/>
  <c r="AK89" i="36"/>
  <c r="AW89" i="36"/>
  <c r="BI89" i="36"/>
  <c r="AI90" i="36"/>
  <c r="AU90" i="36"/>
  <c r="BG90" i="36"/>
  <c r="AG91" i="36"/>
  <c r="AS91" i="36"/>
  <c r="BE91" i="36"/>
  <c r="AE92" i="36"/>
  <c r="AO95" i="36"/>
  <c r="BM95" i="36"/>
  <c r="AM96" i="36"/>
  <c r="AY96" i="36"/>
  <c r="BI97" i="36"/>
  <c r="BG98" i="36"/>
  <c r="BL97" i="36"/>
  <c r="AY87" i="36"/>
  <c r="AK91" i="36"/>
  <c r="AQ96" i="36"/>
  <c r="AO90" i="36"/>
  <c r="AI95" i="36"/>
  <c r="AG96" i="36"/>
  <c r="AE97" i="36"/>
  <c r="AJ87" i="36"/>
  <c r="AV87" i="36"/>
  <c r="BH87" i="36"/>
  <c r="AH88" i="36"/>
  <c r="AT88" i="36"/>
  <c r="BF88" i="36"/>
  <c r="AL89" i="36"/>
  <c r="AX89" i="36"/>
  <c r="BJ89" i="36"/>
  <c r="AJ90" i="36"/>
  <c r="AV90" i="36"/>
  <c r="BH90" i="36"/>
  <c r="AH91" i="36"/>
  <c r="AT91" i="36"/>
  <c r="BF91" i="36"/>
  <c r="AF92" i="36"/>
  <c r="AR92" i="36"/>
  <c r="BD92" i="36"/>
  <c r="BP92" i="36"/>
  <c r="AP95" i="36"/>
  <c r="BB95" i="36"/>
  <c r="BN95" i="36"/>
  <c r="AN96" i="36"/>
  <c r="AZ96" i="36"/>
  <c r="BL96" i="36"/>
  <c r="AL97" i="36"/>
  <c r="AX97" i="36"/>
  <c r="BJ97" i="36"/>
  <c r="AJ98" i="36"/>
  <c r="AV98" i="36"/>
  <c r="BH98" i="36"/>
  <c r="AD95" i="36"/>
  <c r="BN96" i="36"/>
  <c r="BA89" i="36"/>
  <c r="AE96" i="36"/>
  <c r="BA90" i="36"/>
  <c r="BA98" i="36"/>
  <c r="AK87" i="36"/>
  <c r="AW87" i="36"/>
  <c r="BI87" i="36"/>
  <c r="AI88" i="36"/>
  <c r="AU88" i="36"/>
  <c r="BG88" i="36"/>
  <c r="AM89" i="36"/>
  <c r="AY89" i="36"/>
  <c r="BK89" i="36"/>
  <c r="AK90" i="36"/>
  <c r="AW90" i="36"/>
  <c r="BI90" i="36"/>
  <c r="AI91" i="36"/>
  <c r="AU91" i="36"/>
  <c r="BG91" i="36"/>
  <c r="AG92" i="36"/>
  <c r="AS92" i="36"/>
  <c r="BE92" i="36"/>
  <c r="AE95" i="36"/>
  <c r="AQ95" i="36"/>
  <c r="BC95" i="36"/>
  <c r="BO95" i="36"/>
  <c r="AO96" i="36"/>
  <c r="BA96" i="36"/>
  <c r="BM96" i="36"/>
  <c r="AM97" i="36"/>
  <c r="AY97" i="36"/>
  <c r="BK97" i="36"/>
  <c r="AK98" i="36"/>
  <c r="AW98" i="36"/>
  <c r="BI98" i="36"/>
  <c r="AD92" i="36"/>
  <c r="AJ91" i="36"/>
  <c r="BD95" i="36"/>
  <c r="AN97" i="36"/>
  <c r="BI88" i="36"/>
  <c r="BG92" i="36"/>
  <c r="BM97" i="36"/>
  <c r="AQ89" i="36"/>
  <c r="BO97" i="36"/>
  <c r="AL87" i="36"/>
  <c r="AX87" i="36"/>
  <c r="BJ87" i="36"/>
  <c r="AJ88" i="36"/>
  <c r="AV88" i="36"/>
  <c r="BH88" i="36"/>
  <c r="AN89" i="36"/>
  <c r="AZ89" i="36"/>
  <c r="BL89" i="36"/>
  <c r="AL90" i="36"/>
  <c r="AX90" i="36"/>
  <c r="BJ90" i="36"/>
  <c r="AV91" i="36"/>
  <c r="BH91" i="36"/>
  <c r="AH92" i="36"/>
  <c r="AT92" i="36"/>
  <c r="BF92" i="36"/>
  <c r="AF95" i="36"/>
  <c r="AR95" i="36"/>
  <c r="BP95" i="36"/>
  <c r="AZ97" i="36"/>
  <c r="AK88" i="36"/>
  <c r="AY90" i="36"/>
  <c r="AI92" i="36"/>
  <c r="AS95" i="36"/>
  <c r="BC96" i="36"/>
  <c r="BK98" i="36"/>
  <c r="AY88" i="36"/>
  <c r="AN87" i="36"/>
  <c r="AZ87" i="36"/>
  <c r="BL87" i="36"/>
  <c r="AL88" i="36"/>
  <c r="AX88" i="36"/>
  <c r="BJ88" i="36"/>
  <c r="AP89" i="36"/>
  <c r="BB89" i="36"/>
  <c r="BN89" i="36"/>
  <c r="AN90" i="36"/>
  <c r="AZ90" i="36"/>
  <c r="BL90" i="36"/>
  <c r="AL91" i="36"/>
  <c r="AX91" i="36"/>
  <c r="BJ91" i="36"/>
  <c r="AJ92" i="36"/>
  <c r="AV92" i="36"/>
  <c r="BH92" i="36"/>
  <c r="AH95" i="36"/>
  <c r="AT95" i="36"/>
  <c r="BF95" i="36"/>
  <c r="AF96" i="36"/>
  <c r="AR96" i="36"/>
  <c r="BD96" i="36"/>
  <c r="BP96" i="36"/>
  <c r="AP97" i="36"/>
  <c r="BB97" i="36"/>
  <c r="BN97" i="36"/>
  <c r="AN98" i="36"/>
  <c r="AZ98" i="36"/>
  <c r="BL98" i="36"/>
  <c r="AD88" i="36"/>
  <c r="AO87" i="36"/>
  <c r="BA87" i="36"/>
  <c r="BM87" i="36"/>
  <c r="AM88" i="36"/>
  <c r="BO89" i="36"/>
  <c r="AY91" i="36"/>
  <c r="AK92" i="36"/>
  <c r="AW92" i="36"/>
  <c r="BI92" i="36"/>
  <c r="AU95" i="36"/>
  <c r="BG95" i="36"/>
  <c r="BE96" i="36"/>
  <c r="AD87" i="36"/>
  <c r="AP87" i="36"/>
  <c r="BB87" i="36"/>
  <c r="BN87" i="36"/>
  <c r="AN88" i="36"/>
  <c r="AZ88" i="36"/>
  <c r="BL88" i="36"/>
  <c r="AR89" i="36"/>
  <c r="BD89" i="36"/>
  <c r="BP89" i="36"/>
  <c r="AP90" i="36"/>
  <c r="BB90" i="36"/>
  <c r="BN90" i="36"/>
  <c r="AN91" i="36"/>
  <c r="AZ91" i="36"/>
  <c r="BL91" i="36"/>
  <c r="AL92" i="36"/>
  <c r="AX92" i="36"/>
  <c r="BJ92" i="36"/>
  <c r="AJ95" i="36"/>
  <c r="AV95" i="36"/>
  <c r="BH95" i="36"/>
  <c r="AH96" i="36"/>
  <c r="AT96" i="36"/>
  <c r="BF96" i="36"/>
  <c r="AF97" i="36"/>
  <c r="AR97" i="36"/>
  <c r="BD97" i="36"/>
  <c r="BP97" i="36"/>
  <c r="AP98" i="36"/>
  <c r="BB98" i="36"/>
  <c r="BN98" i="36"/>
  <c r="BM89" i="36"/>
  <c r="AY98" i="36"/>
  <c r="BM90" i="36"/>
  <c r="AO98" i="36"/>
  <c r="H97" i="36"/>
  <c r="Z97" i="36"/>
  <c r="V97" i="36"/>
  <c r="R97" i="36"/>
  <c r="N97" i="36"/>
  <c r="J97" i="36"/>
  <c r="AC97" i="36"/>
  <c r="Y97" i="36"/>
  <c r="U97" i="36"/>
  <c r="Q97" i="36"/>
  <c r="M97" i="36"/>
  <c r="I97" i="36"/>
  <c r="AB97" i="36"/>
  <c r="X97" i="36"/>
  <c r="T97" i="36"/>
  <c r="P97" i="36"/>
  <c r="L97" i="36"/>
  <c r="AA97" i="36"/>
  <c r="W97" i="36"/>
  <c r="S97" i="36"/>
  <c r="O97" i="36"/>
  <c r="K97" i="36"/>
  <c r="T5" i="47"/>
  <c r="S4" i="50" s="1"/>
  <c r="S4" i="57" s="1"/>
  <c r="AJ232" i="51"/>
  <c r="AI232" i="51"/>
  <c r="AH232" i="51"/>
  <c r="AG232" i="51"/>
  <c r="AF232" i="51"/>
  <c r="AE232" i="51"/>
  <c r="AD232" i="51"/>
  <c r="AC232" i="51"/>
  <c r="AB232" i="51"/>
  <c r="AA232" i="51"/>
  <c r="Z232" i="51"/>
  <c r="Y232" i="51"/>
  <c r="X232" i="51"/>
  <c r="W232" i="51"/>
  <c r="V232" i="51"/>
  <c r="U232" i="51"/>
  <c r="T232" i="51"/>
  <c r="S232" i="51"/>
  <c r="R232" i="51"/>
  <c r="Q232" i="51"/>
  <c r="P232" i="51"/>
  <c r="O232" i="51"/>
  <c r="N232" i="51"/>
  <c r="M232" i="51"/>
  <c r="L232" i="51"/>
  <c r="K232" i="51"/>
  <c r="J232" i="51"/>
  <c r="I232" i="51"/>
  <c r="H232" i="51"/>
  <c r="G232" i="51"/>
  <c r="F232" i="51"/>
  <c r="E232" i="51"/>
  <c r="D232" i="51"/>
  <c r="C232" i="51"/>
  <c r="AJ220" i="51"/>
  <c r="AI220" i="51"/>
  <c r="AH220" i="51"/>
  <c r="AG220" i="51"/>
  <c r="AF220" i="51"/>
  <c r="AE220" i="51"/>
  <c r="AD220" i="51"/>
  <c r="AC220" i="51"/>
  <c r="AB220" i="51"/>
  <c r="AA220" i="51"/>
  <c r="Z220" i="51"/>
  <c r="Y220" i="51"/>
  <c r="X220" i="51"/>
  <c r="W220" i="51"/>
  <c r="V220" i="51"/>
  <c r="U220" i="51"/>
  <c r="T220" i="51"/>
  <c r="S220" i="51"/>
  <c r="R220" i="51"/>
  <c r="Q220" i="51"/>
  <c r="P220" i="51"/>
  <c r="O220" i="51"/>
  <c r="N220" i="51"/>
  <c r="M220" i="51"/>
  <c r="L220" i="51"/>
  <c r="K220" i="51"/>
  <c r="J220" i="51"/>
  <c r="I220" i="51"/>
  <c r="H220" i="51"/>
  <c r="G220" i="51"/>
  <c r="F220" i="51"/>
  <c r="E220" i="51"/>
  <c r="D220" i="51"/>
  <c r="C220" i="51"/>
  <c r="AJ208" i="51"/>
  <c r="AI208" i="51"/>
  <c r="AH208" i="51"/>
  <c r="AG208" i="51"/>
  <c r="AF208" i="51"/>
  <c r="AE208" i="51"/>
  <c r="AD208" i="51"/>
  <c r="AC208" i="51"/>
  <c r="AB208" i="51"/>
  <c r="AA208" i="51"/>
  <c r="Z208" i="51"/>
  <c r="Y208" i="51"/>
  <c r="X208" i="51"/>
  <c r="W208" i="51"/>
  <c r="V208" i="51"/>
  <c r="U208" i="51"/>
  <c r="T208" i="51"/>
  <c r="S208" i="51"/>
  <c r="R208" i="51"/>
  <c r="Q208" i="51"/>
  <c r="P208" i="51"/>
  <c r="O208" i="51"/>
  <c r="N208" i="51"/>
  <c r="M208" i="51"/>
  <c r="L208" i="51"/>
  <c r="K208" i="51"/>
  <c r="J208" i="51"/>
  <c r="I208" i="51"/>
  <c r="H208" i="51"/>
  <c r="G208" i="51"/>
  <c r="F208" i="51"/>
  <c r="E208" i="51"/>
  <c r="D208" i="51"/>
  <c r="C208" i="51"/>
  <c r="AJ196" i="51"/>
  <c r="AI196" i="51"/>
  <c r="AH196" i="51"/>
  <c r="AG196" i="51"/>
  <c r="AF196" i="51"/>
  <c r="AE196" i="51"/>
  <c r="AD196" i="51"/>
  <c r="AC196" i="51"/>
  <c r="AB196" i="51"/>
  <c r="AA196" i="51"/>
  <c r="Z196" i="51"/>
  <c r="Y196" i="51"/>
  <c r="X196" i="51"/>
  <c r="W196" i="51"/>
  <c r="V196" i="51"/>
  <c r="U196" i="51"/>
  <c r="T196" i="51"/>
  <c r="S196" i="51"/>
  <c r="R196" i="51"/>
  <c r="Q196" i="51"/>
  <c r="P196" i="51"/>
  <c r="O196" i="51"/>
  <c r="N196" i="51"/>
  <c r="M196" i="51"/>
  <c r="L196" i="51"/>
  <c r="K196" i="51"/>
  <c r="J196" i="51"/>
  <c r="I196" i="51"/>
  <c r="H196" i="51"/>
  <c r="G196" i="51"/>
  <c r="F196" i="51"/>
  <c r="E196" i="51"/>
  <c r="D196" i="51"/>
  <c r="C196" i="51"/>
  <c r="AJ183" i="51"/>
  <c r="AI183" i="51"/>
  <c r="AH183" i="51"/>
  <c r="AG183" i="51"/>
  <c r="AF183" i="51"/>
  <c r="AE183" i="51"/>
  <c r="AD183" i="51"/>
  <c r="AC183" i="51"/>
  <c r="AB183" i="51"/>
  <c r="AA183" i="51"/>
  <c r="Z183" i="51"/>
  <c r="Y183" i="51"/>
  <c r="X183" i="51"/>
  <c r="W183" i="51"/>
  <c r="V183" i="51"/>
  <c r="U183" i="51"/>
  <c r="T183" i="51"/>
  <c r="S183" i="51"/>
  <c r="R183" i="51"/>
  <c r="Q183" i="51"/>
  <c r="P183" i="51"/>
  <c r="O183" i="51"/>
  <c r="N183" i="51"/>
  <c r="M183" i="51"/>
  <c r="L183" i="51"/>
  <c r="K183" i="51"/>
  <c r="J183" i="51"/>
  <c r="I183" i="51"/>
  <c r="H183" i="51"/>
  <c r="G183" i="51"/>
  <c r="F183" i="51"/>
  <c r="E183" i="51"/>
  <c r="D183" i="51"/>
  <c r="C183" i="51"/>
  <c r="AJ171" i="51"/>
  <c r="AI171" i="51"/>
  <c r="AH171" i="51"/>
  <c r="AG171" i="51"/>
  <c r="AF171" i="51"/>
  <c r="AE171" i="51"/>
  <c r="AD171" i="51"/>
  <c r="AC171" i="51"/>
  <c r="AB171" i="51"/>
  <c r="AA171" i="51"/>
  <c r="Z171" i="51"/>
  <c r="Y171" i="51"/>
  <c r="X171" i="51"/>
  <c r="W171" i="51"/>
  <c r="V171" i="51"/>
  <c r="U171" i="51"/>
  <c r="T171" i="51"/>
  <c r="S171" i="51"/>
  <c r="R171" i="51"/>
  <c r="Q171" i="51"/>
  <c r="P171" i="51"/>
  <c r="O171" i="51"/>
  <c r="N171" i="51"/>
  <c r="M171" i="51"/>
  <c r="L171" i="51"/>
  <c r="K171" i="51"/>
  <c r="J171" i="51"/>
  <c r="I171" i="51"/>
  <c r="H171" i="51"/>
  <c r="G171" i="51"/>
  <c r="F171" i="51"/>
  <c r="E171" i="51"/>
  <c r="D171" i="51"/>
  <c r="C171" i="51"/>
  <c r="AJ158" i="51"/>
  <c r="AI158" i="51"/>
  <c r="AH158" i="51"/>
  <c r="AG158" i="51"/>
  <c r="AF158" i="51"/>
  <c r="AE158" i="51"/>
  <c r="AD158" i="51"/>
  <c r="AC158" i="51"/>
  <c r="AB158" i="51"/>
  <c r="AA158" i="51"/>
  <c r="Z158" i="51"/>
  <c r="Y158" i="51"/>
  <c r="X158" i="51"/>
  <c r="W158" i="51"/>
  <c r="V158" i="51"/>
  <c r="U158" i="51"/>
  <c r="T158" i="51"/>
  <c r="S158" i="51"/>
  <c r="R158" i="51"/>
  <c r="Q158" i="51"/>
  <c r="P158" i="51"/>
  <c r="O158" i="51"/>
  <c r="N158" i="51"/>
  <c r="M158" i="51"/>
  <c r="L158" i="51"/>
  <c r="K158" i="51"/>
  <c r="J158" i="51"/>
  <c r="I158" i="51"/>
  <c r="H158" i="51"/>
  <c r="G158" i="51"/>
  <c r="F158" i="51"/>
  <c r="E158" i="51"/>
  <c r="D158" i="51"/>
  <c r="C158" i="51"/>
  <c r="AJ146" i="51"/>
  <c r="AI146" i="51"/>
  <c r="AH146" i="51"/>
  <c r="AG146" i="51"/>
  <c r="AF146" i="51"/>
  <c r="AE146" i="51"/>
  <c r="AD146" i="51"/>
  <c r="AC146" i="51"/>
  <c r="AB146" i="51"/>
  <c r="AA146" i="51"/>
  <c r="Z146" i="51"/>
  <c r="Y146" i="51"/>
  <c r="X146" i="51"/>
  <c r="W146" i="51"/>
  <c r="V146" i="51"/>
  <c r="U146" i="51"/>
  <c r="T146" i="51"/>
  <c r="S146" i="51"/>
  <c r="R146" i="51"/>
  <c r="Q146" i="51"/>
  <c r="P146" i="51"/>
  <c r="O146" i="51"/>
  <c r="N146" i="51"/>
  <c r="M146" i="51"/>
  <c r="L146" i="51"/>
  <c r="K146" i="51"/>
  <c r="J146" i="51"/>
  <c r="I146" i="51"/>
  <c r="H146" i="51"/>
  <c r="G146" i="51"/>
  <c r="F146" i="51"/>
  <c r="E146" i="51"/>
  <c r="D146" i="51"/>
  <c r="C146" i="51"/>
  <c r="AJ133" i="51"/>
  <c r="AI133" i="51"/>
  <c r="AH133" i="51"/>
  <c r="AG133" i="51"/>
  <c r="AF133" i="51"/>
  <c r="AE133" i="51"/>
  <c r="AD133" i="51"/>
  <c r="AC133" i="51"/>
  <c r="AB133" i="51"/>
  <c r="AA133" i="51"/>
  <c r="Z133" i="51"/>
  <c r="Y133" i="51"/>
  <c r="X133" i="51"/>
  <c r="W133" i="51"/>
  <c r="V133" i="51"/>
  <c r="U133" i="51"/>
  <c r="T133" i="51"/>
  <c r="S133" i="51"/>
  <c r="R133" i="51"/>
  <c r="Q133" i="51"/>
  <c r="P133" i="51"/>
  <c r="O133" i="51"/>
  <c r="N133" i="51"/>
  <c r="M133" i="51"/>
  <c r="L133" i="51"/>
  <c r="K133" i="51"/>
  <c r="J133" i="51"/>
  <c r="I133" i="51"/>
  <c r="H133" i="51"/>
  <c r="G133" i="51"/>
  <c r="F133" i="51"/>
  <c r="E133" i="51"/>
  <c r="D133" i="51"/>
  <c r="C133" i="51"/>
  <c r="AJ121" i="51"/>
  <c r="AI121" i="51"/>
  <c r="AH121" i="51"/>
  <c r="AG121" i="51"/>
  <c r="AF121" i="51"/>
  <c r="AE121" i="51"/>
  <c r="AD121" i="51"/>
  <c r="AC121" i="51"/>
  <c r="AB121" i="51"/>
  <c r="AA121" i="51"/>
  <c r="Z121" i="51"/>
  <c r="Y121" i="51"/>
  <c r="X121" i="51"/>
  <c r="W121" i="51"/>
  <c r="V121" i="51"/>
  <c r="U121" i="51"/>
  <c r="T121" i="51"/>
  <c r="S121" i="51"/>
  <c r="R121" i="51"/>
  <c r="Q121" i="51"/>
  <c r="P121" i="51"/>
  <c r="O121" i="51"/>
  <c r="N121" i="51"/>
  <c r="M121" i="51"/>
  <c r="L121" i="51"/>
  <c r="K121" i="51"/>
  <c r="J121" i="51"/>
  <c r="I121" i="51"/>
  <c r="H121" i="51"/>
  <c r="G121" i="51"/>
  <c r="F121" i="51"/>
  <c r="E121" i="51"/>
  <c r="D121" i="51"/>
  <c r="C121" i="51"/>
  <c r="AJ108" i="51"/>
  <c r="AI108" i="51"/>
  <c r="AH108" i="51"/>
  <c r="AG108" i="51"/>
  <c r="AF108" i="51"/>
  <c r="AE108" i="51"/>
  <c r="AD108" i="51"/>
  <c r="AC108" i="51"/>
  <c r="AB108" i="51"/>
  <c r="AA108" i="51"/>
  <c r="Z108" i="51"/>
  <c r="Y108" i="51"/>
  <c r="X108" i="51"/>
  <c r="W108" i="51"/>
  <c r="V108" i="51"/>
  <c r="U108" i="51"/>
  <c r="T108" i="51"/>
  <c r="S108" i="51"/>
  <c r="R108" i="51"/>
  <c r="Q108" i="51"/>
  <c r="P108" i="51"/>
  <c r="O108" i="51"/>
  <c r="N108" i="51"/>
  <c r="M108" i="51"/>
  <c r="L108" i="51"/>
  <c r="K108" i="51"/>
  <c r="J108" i="51"/>
  <c r="I108" i="51"/>
  <c r="H108" i="51"/>
  <c r="G108" i="51"/>
  <c r="F108" i="51"/>
  <c r="E108" i="51"/>
  <c r="D108" i="51"/>
  <c r="C108" i="51"/>
  <c r="AJ84" i="51"/>
  <c r="AI84" i="51"/>
  <c r="AH84" i="51"/>
  <c r="AG84" i="51"/>
  <c r="AF84" i="51"/>
  <c r="AE84" i="51"/>
  <c r="AD84" i="51"/>
  <c r="AC84" i="51"/>
  <c r="AB84" i="51"/>
  <c r="AA84" i="51"/>
  <c r="Z84" i="51"/>
  <c r="Y84" i="51"/>
  <c r="X84" i="51"/>
  <c r="W84" i="51"/>
  <c r="V84" i="51"/>
  <c r="U84" i="51"/>
  <c r="T84" i="51"/>
  <c r="S84" i="51"/>
  <c r="R84" i="51"/>
  <c r="Q84" i="51"/>
  <c r="P84" i="51"/>
  <c r="O84" i="51"/>
  <c r="N84" i="51"/>
  <c r="M84" i="51"/>
  <c r="L84" i="51"/>
  <c r="K84" i="51"/>
  <c r="J84" i="51"/>
  <c r="I84" i="51"/>
  <c r="H84" i="51"/>
  <c r="G84" i="51"/>
  <c r="F84" i="51"/>
  <c r="E84" i="51"/>
  <c r="D84" i="51"/>
  <c r="C84" i="51"/>
  <c r="AJ72" i="51"/>
  <c r="AI72" i="51"/>
  <c r="AH72" i="51"/>
  <c r="AG72" i="51"/>
  <c r="AF72" i="51"/>
  <c r="AE72" i="51"/>
  <c r="AD72" i="51"/>
  <c r="AC72" i="51"/>
  <c r="AB72" i="51"/>
  <c r="AA72" i="51"/>
  <c r="Z72" i="51"/>
  <c r="Y72" i="51"/>
  <c r="X72" i="51"/>
  <c r="W72" i="51"/>
  <c r="V72" i="51"/>
  <c r="U72" i="51"/>
  <c r="T72" i="51"/>
  <c r="S72" i="51"/>
  <c r="R72" i="51"/>
  <c r="Q72" i="51"/>
  <c r="P72" i="51"/>
  <c r="O72" i="51"/>
  <c r="N72" i="51"/>
  <c r="M72" i="51"/>
  <c r="L72" i="51"/>
  <c r="K72" i="51"/>
  <c r="J72" i="51"/>
  <c r="I72" i="51"/>
  <c r="H72" i="51"/>
  <c r="G72" i="51"/>
  <c r="F72" i="51"/>
  <c r="E72" i="51"/>
  <c r="D72" i="51"/>
  <c r="C72" i="51"/>
  <c r="AJ60" i="51"/>
  <c r="AI60" i="51"/>
  <c r="AH60" i="51"/>
  <c r="AG60" i="51"/>
  <c r="AF60" i="51"/>
  <c r="AE60" i="51"/>
  <c r="AD60" i="51"/>
  <c r="AC60" i="51"/>
  <c r="AB60" i="51"/>
  <c r="AA60" i="51"/>
  <c r="Z60" i="51"/>
  <c r="Y60" i="51"/>
  <c r="X60" i="51"/>
  <c r="W60" i="51"/>
  <c r="V60" i="51"/>
  <c r="U60" i="51"/>
  <c r="T60" i="51"/>
  <c r="S60" i="51"/>
  <c r="R60" i="51"/>
  <c r="Q60" i="51"/>
  <c r="P60" i="51"/>
  <c r="O60" i="51"/>
  <c r="N60" i="51"/>
  <c r="M60" i="51"/>
  <c r="L60" i="51"/>
  <c r="K60" i="51"/>
  <c r="J60" i="51"/>
  <c r="I60" i="51"/>
  <c r="H60" i="51"/>
  <c r="G60" i="51"/>
  <c r="F60" i="51"/>
  <c r="E60" i="51"/>
  <c r="D60" i="51"/>
  <c r="C60" i="51"/>
  <c r="AJ47" i="51"/>
  <c r="AI47" i="51"/>
  <c r="AH47" i="51"/>
  <c r="AG47" i="51"/>
  <c r="AF47" i="51"/>
  <c r="AE47" i="51"/>
  <c r="AD47" i="51"/>
  <c r="AC47" i="51"/>
  <c r="AB47" i="51"/>
  <c r="AA47" i="51"/>
  <c r="Z47" i="51"/>
  <c r="Y47" i="51"/>
  <c r="X47" i="51"/>
  <c r="W47" i="51"/>
  <c r="V47" i="51"/>
  <c r="U47" i="51"/>
  <c r="T47" i="51"/>
  <c r="S47" i="51"/>
  <c r="R47" i="51"/>
  <c r="Q47" i="51"/>
  <c r="P47" i="51"/>
  <c r="O47" i="51"/>
  <c r="N47" i="51"/>
  <c r="M47" i="51"/>
  <c r="L47" i="51"/>
  <c r="K47" i="51"/>
  <c r="J47" i="51"/>
  <c r="I47" i="51"/>
  <c r="H47" i="51"/>
  <c r="G47" i="51"/>
  <c r="F47" i="51"/>
  <c r="E47" i="51"/>
  <c r="D47" i="51"/>
  <c r="C47" i="51"/>
  <c r="AJ35" i="51"/>
  <c r="AI35" i="51"/>
  <c r="AH35" i="51"/>
  <c r="AG35" i="51"/>
  <c r="AF35" i="51"/>
  <c r="AE35" i="51"/>
  <c r="AD35" i="51"/>
  <c r="AC35" i="51"/>
  <c r="AB35" i="51"/>
  <c r="AA35" i="51"/>
  <c r="Z35" i="51"/>
  <c r="Y35" i="51"/>
  <c r="X35" i="51"/>
  <c r="W35" i="51"/>
  <c r="V35" i="51"/>
  <c r="U35" i="51"/>
  <c r="T35" i="51"/>
  <c r="S35" i="51"/>
  <c r="R35" i="51"/>
  <c r="Q35" i="51"/>
  <c r="P35" i="51"/>
  <c r="O35" i="51"/>
  <c r="N35" i="51"/>
  <c r="M35" i="51"/>
  <c r="L35" i="51"/>
  <c r="K35" i="51"/>
  <c r="J35" i="51"/>
  <c r="I35" i="51"/>
  <c r="H35" i="51"/>
  <c r="G35" i="51"/>
  <c r="F35" i="51"/>
  <c r="E35" i="51"/>
  <c r="D35" i="51"/>
  <c r="C35" i="51"/>
  <c r="D23" i="51"/>
  <c r="E23" i="51"/>
  <c r="F23" i="51"/>
  <c r="G23" i="51"/>
  <c r="H23" i="51"/>
  <c r="I23" i="51"/>
  <c r="J23" i="51"/>
  <c r="K23" i="51"/>
  <c r="L23" i="51"/>
  <c r="M23" i="51"/>
  <c r="N23" i="51"/>
  <c r="O23" i="51"/>
  <c r="P23" i="51"/>
  <c r="Q23" i="51"/>
  <c r="R23" i="51"/>
  <c r="S23" i="51"/>
  <c r="T23" i="51"/>
  <c r="U23" i="51"/>
  <c r="V23" i="51"/>
  <c r="W23" i="51"/>
  <c r="X23" i="51"/>
  <c r="Y23" i="51"/>
  <c r="Z23" i="51"/>
  <c r="AA23" i="51"/>
  <c r="AB23" i="51"/>
  <c r="AC23" i="51"/>
  <c r="AD23" i="51"/>
  <c r="AE23" i="51"/>
  <c r="AF23" i="51"/>
  <c r="AG23" i="51"/>
  <c r="AH23" i="51"/>
  <c r="AI23" i="51"/>
  <c r="AJ23" i="51"/>
  <c r="C23" i="51"/>
  <c r="AJ54" i="33"/>
  <c r="AK54" i="33"/>
  <c r="AL54" i="33"/>
  <c r="AM54" i="33"/>
  <c r="AN54" i="33"/>
  <c r="AO54" i="33"/>
  <c r="AJ55" i="33"/>
  <c r="AK55" i="33"/>
  <c r="AL55" i="33"/>
  <c r="AM55" i="33"/>
  <c r="AN55" i="33"/>
  <c r="AO55" i="33"/>
  <c r="AJ56" i="33"/>
  <c r="AK56" i="33"/>
  <c r="AL56" i="33"/>
  <c r="AM56" i="33"/>
  <c r="AN56" i="33"/>
  <c r="AO56" i="33"/>
  <c r="AJ57" i="33"/>
  <c r="AK57" i="33"/>
  <c r="AL57" i="33"/>
  <c r="AM57" i="33"/>
  <c r="AN57" i="33"/>
  <c r="AO57" i="33"/>
  <c r="AJ58" i="33"/>
  <c r="AK58" i="33"/>
  <c r="AL58" i="33"/>
  <c r="AM58" i="33"/>
  <c r="AN58" i="33"/>
  <c r="AO58" i="33"/>
  <c r="AJ59" i="33"/>
  <c r="AK59" i="33"/>
  <c r="AL59" i="33"/>
  <c r="AM59" i="33"/>
  <c r="AN59" i="33"/>
  <c r="AO59" i="33"/>
  <c r="AJ60" i="33"/>
  <c r="AK60" i="33"/>
  <c r="AL60" i="33"/>
  <c r="AM60" i="33"/>
  <c r="AN60" i="33"/>
  <c r="AO60" i="33"/>
  <c r="AJ61" i="33"/>
  <c r="AK61" i="33"/>
  <c r="AL61" i="33"/>
  <c r="AM61" i="33"/>
  <c r="AN61" i="33"/>
  <c r="AO61" i="33"/>
  <c r="AJ62" i="33"/>
  <c r="AK62" i="33"/>
  <c r="AL62" i="33"/>
  <c r="AM62" i="33"/>
  <c r="AN62" i="33"/>
  <c r="AO62" i="33"/>
  <c r="AJ63" i="33"/>
  <c r="AK63" i="33"/>
  <c r="AL63" i="33"/>
  <c r="AM63" i="33"/>
  <c r="AN63" i="33"/>
  <c r="AO63" i="33"/>
  <c r="AJ64" i="33"/>
  <c r="AK64" i="33"/>
  <c r="AL64" i="33"/>
  <c r="AM64" i="33"/>
  <c r="AN64" i="33"/>
  <c r="AO64" i="33"/>
  <c r="AJ65" i="33"/>
  <c r="AK65" i="33"/>
  <c r="AL65" i="33"/>
  <c r="AM65" i="33"/>
  <c r="AN65" i="33"/>
  <c r="AO65" i="33"/>
  <c r="AJ66" i="33"/>
  <c r="AK66" i="33"/>
  <c r="AL66" i="33"/>
  <c r="AM66" i="33"/>
  <c r="AN66" i="33"/>
  <c r="AO66" i="33"/>
  <c r="AJ67" i="33"/>
  <c r="AK67" i="33"/>
  <c r="AL67" i="33"/>
  <c r="AM67" i="33"/>
  <c r="AN67" i="33"/>
  <c r="AO67" i="33"/>
  <c r="AJ68" i="33"/>
  <c r="AK68" i="33"/>
  <c r="AL68" i="33"/>
  <c r="AM68" i="33"/>
  <c r="AN68" i="33"/>
  <c r="AO68" i="33"/>
  <c r="AJ69" i="33"/>
  <c r="AK69" i="33"/>
  <c r="AL69" i="33"/>
  <c r="AM69" i="33"/>
  <c r="AN69" i="33"/>
  <c r="AO69" i="33"/>
  <c r="AJ70" i="33"/>
  <c r="AK70" i="33"/>
  <c r="AL70" i="33"/>
  <c r="AM70" i="33"/>
  <c r="AN70" i="33"/>
  <c r="AO70" i="33"/>
  <c r="AJ71" i="33"/>
  <c r="AK71" i="33"/>
  <c r="AL71" i="33"/>
  <c r="AM71" i="33"/>
  <c r="AN71" i="33"/>
  <c r="AO71" i="33"/>
  <c r="I54" i="33"/>
  <c r="J54" i="33"/>
  <c r="K54" i="33"/>
  <c r="L54" i="33"/>
  <c r="M54" i="33"/>
  <c r="N54" i="33"/>
  <c r="O54" i="33"/>
  <c r="P54" i="33"/>
  <c r="Q54" i="33"/>
  <c r="R54" i="33"/>
  <c r="S54" i="33"/>
  <c r="T54" i="33"/>
  <c r="U54" i="33"/>
  <c r="V54" i="33"/>
  <c r="W54" i="33"/>
  <c r="X54" i="33"/>
  <c r="Y54" i="33"/>
  <c r="Z54" i="33"/>
  <c r="AA54" i="33"/>
  <c r="AB54" i="33"/>
  <c r="AC54" i="33"/>
  <c r="AD54" i="33"/>
  <c r="AE54" i="33"/>
  <c r="AF54" i="33"/>
  <c r="AG54" i="33"/>
  <c r="AH54" i="33"/>
  <c r="AI54" i="33"/>
  <c r="I55" i="33"/>
  <c r="J55" i="33"/>
  <c r="K55" i="33"/>
  <c r="L55" i="33"/>
  <c r="M55" i="33"/>
  <c r="N55" i="33"/>
  <c r="O55" i="33"/>
  <c r="P55" i="33"/>
  <c r="Q55" i="33"/>
  <c r="R55" i="33"/>
  <c r="S55" i="33"/>
  <c r="T55" i="33"/>
  <c r="U55" i="33"/>
  <c r="V55" i="33"/>
  <c r="W55" i="33"/>
  <c r="X55" i="33"/>
  <c r="Y55" i="33"/>
  <c r="Z55" i="33"/>
  <c r="AA55" i="33"/>
  <c r="AB55" i="33"/>
  <c r="AC55" i="33"/>
  <c r="AD55" i="33"/>
  <c r="AE55" i="33"/>
  <c r="AF55" i="33"/>
  <c r="AG55" i="33"/>
  <c r="AH55" i="33"/>
  <c r="AI55" i="33"/>
  <c r="I56" i="33"/>
  <c r="J56" i="33"/>
  <c r="K56" i="33"/>
  <c r="L56" i="33"/>
  <c r="M56" i="33"/>
  <c r="N56" i="33"/>
  <c r="O56" i="33"/>
  <c r="P56" i="33"/>
  <c r="Q56" i="33"/>
  <c r="R56" i="33"/>
  <c r="S56" i="33"/>
  <c r="T56" i="33"/>
  <c r="U56" i="33"/>
  <c r="V56" i="33"/>
  <c r="W56" i="33"/>
  <c r="X56" i="33"/>
  <c r="Y56" i="33"/>
  <c r="Z56" i="33"/>
  <c r="AA56" i="33"/>
  <c r="AB56" i="33"/>
  <c r="AC56" i="33"/>
  <c r="AD56" i="33"/>
  <c r="AE56" i="33"/>
  <c r="AF56" i="33"/>
  <c r="AG56" i="33"/>
  <c r="AH56" i="33"/>
  <c r="AI56" i="33"/>
  <c r="I57" i="33"/>
  <c r="J57" i="33"/>
  <c r="K57" i="33"/>
  <c r="L57" i="33"/>
  <c r="M57" i="33"/>
  <c r="N57" i="33"/>
  <c r="O57" i="33"/>
  <c r="P57" i="33"/>
  <c r="Q57" i="33"/>
  <c r="R57" i="33"/>
  <c r="S57" i="33"/>
  <c r="T57" i="33"/>
  <c r="U57" i="33"/>
  <c r="V57" i="33"/>
  <c r="W57" i="33"/>
  <c r="X57" i="33"/>
  <c r="Y57" i="33"/>
  <c r="Z57" i="33"/>
  <c r="AA57" i="33"/>
  <c r="AB57" i="33"/>
  <c r="AC57" i="33"/>
  <c r="AD57" i="33"/>
  <c r="AE57" i="33"/>
  <c r="AF57" i="33"/>
  <c r="AG57" i="33"/>
  <c r="AH57" i="33"/>
  <c r="AI57" i="33"/>
  <c r="I58" i="33"/>
  <c r="J58" i="33"/>
  <c r="K58" i="33"/>
  <c r="L58" i="33"/>
  <c r="M58" i="33"/>
  <c r="N58" i="33"/>
  <c r="O58" i="33"/>
  <c r="P58" i="33"/>
  <c r="Q58" i="33"/>
  <c r="R58" i="33"/>
  <c r="S58" i="33"/>
  <c r="T58" i="33"/>
  <c r="U58" i="33"/>
  <c r="V58" i="33"/>
  <c r="W58" i="33"/>
  <c r="X58" i="33"/>
  <c r="Y58" i="33"/>
  <c r="Z58" i="33"/>
  <c r="AA58" i="33"/>
  <c r="AB58" i="33"/>
  <c r="AC58" i="33"/>
  <c r="AD58" i="33"/>
  <c r="AE58" i="33"/>
  <c r="AF58" i="33"/>
  <c r="AG58" i="33"/>
  <c r="AH58" i="33"/>
  <c r="AI58" i="33"/>
  <c r="I59" i="33"/>
  <c r="J59" i="33"/>
  <c r="K59" i="33"/>
  <c r="L59" i="33"/>
  <c r="M59" i="33"/>
  <c r="N59" i="33"/>
  <c r="O59" i="33"/>
  <c r="P59" i="33"/>
  <c r="Q59" i="33"/>
  <c r="R59" i="33"/>
  <c r="S59" i="33"/>
  <c r="T59" i="33"/>
  <c r="U59" i="33"/>
  <c r="V59" i="33"/>
  <c r="W59" i="33"/>
  <c r="X59" i="33"/>
  <c r="Y59" i="33"/>
  <c r="Z59" i="33"/>
  <c r="AA59" i="33"/>
  <c r="AB59" i="33"/>
  <c r="AC59" i="33"/>
  <c r="AD59" i="33"/>
  <c r="AE59" i="33"/>
  <c r="AF59" i="33"/>
  <c r="AG59" i="33"/>
  <c r="AH59" i="33"/>
  <c r="AI59" i="33"/>
  <c r="I60" i="33"/>
  <c r="J60" i="33"/>
  <c r="K60" i="33"/>
  <c r="L60" i="33"/>
  <c r="M60" i="33"/>
  <c r="N60" i="33"/>
  <c r="O60" i="33"/>
  <c r="P60" i="33"/>
  <c r="Q60" i="33"/>
  <c r="R60" i="33"/>
  <c r="S60" i="33"/>
  <c r="T60" i="33"/>
  <c r="U60" i="33"/>
  <c r="V60" i="33"/>
  <c r="W60" i="33"/>
  <c r="X60" i="33"/>
  <c r="Y60" i="33"/>
  <c r="Z60" i="33"/>
  <c r="AA60" i="33"/>
  <c r="AB60" i="33"/>
  <c r="AC60" i="33"/>
  <c r="AD60" i="33"/>
  <c r="AE60" i="33"/>
  <c r="AF60" i="33"/>
  <c r="AG60" i="33"/>
  <c r="AH60" i="33"/>
  <c r="AI60" i="33"/>
  <c r="I61" i="33"/>
  <c r="J61" i="33"/>
  <c r="K61" i="33"/>
  <c r="L61" i="33"/>
  <c r="M61" i="33"/>
  <c r="N61" i="33"/>
  <c r="O61" i="33"/>
  <c r="P61" i="33"/>
  <c r="Q61" i="33"/>
  <c r="R61" i="33"/>
  <c r="S61" i="33"/>
  <c r="T61" i="33"/>
  <c r="U61" i="33"/>
  <c r="V61" i="33"/>
  <c r="W61" i="33"/>
  <c r="X61" i="33"/>
  <c r="Y61" i="33"/>
  <c r="Z61" i="33"/>
  <c r="AA61" i="33"/>
  <c r="AB61" i="33"/>
  <c r="AC61" i="33"/>
  <c r="AD61" i="33"/>
  <c r="AE61" i="33"/>
  <c r="AF61" i="33"/>
  <c r="AG61" i="33"/>
  <c r="AH61" i="33"/>
  <c r="AI61" i="33"/>
  <c r="I62" i="33"/>
  <c r="J62" i="33"/>
  <c r="K62" i="33"/>
  <c r="L62" i="33"/>
  <c r="M62" i="33"/>
  <c r="N62" i="33"/>
  <c r="O62" i="33"/>
  <c r="P62" i="33"/>
  <c r="Q62" i="33"/>
  <c r="R62" i="33"/>
  <c r="S62" i="33"/>
  <c r="T62" i="33"/>
  <c r="U62" i="33"/>
  <c r="V62" i="33"/>
  <c r="W62" i="33"/>
  <c r="X62" i="33"/>
  <c r="Y62" i="33"/>
  <c r="Z62" i="33"/>
  <c r="AA62" i="33"/>
  <c r="AB62" i="33"/>
  <c r="AC62" i="33"/>
  <c r="AD62" i="33"/>
  <c r="AE62" i="33"/>
  <c r="AF62" i="33"/>
  <c r="AG62" i="33"/>
  <c r="AH62" i="33"/>
  <c r="AI62" i="33"/>
  <c r="I63" i="33"/>
  <c r="J63" i="33"/>
  <c r="K63" i="33"/>
  <c r="L63" i="33"/>
  <c r="M63" i="33"/>
  <c r="N63" i="33"/>
  <c r="O63" i="33"/>
  <c r="P63" i="33"/>
  <c r="Q63" i="33"/>
  <c r="R63" i="33"/>
  <c r="S63" i="33"/>
  <c r="T63" i="33"/>
  <c r="U63" i="33"/>
  <c r="V63" i="33"/>
  <c r="W63" i="33"/>
  <c r="X63" i="33"/>
  <c r="Y63" i="33"/>
  <c r="Z63" i="33"/>
  <c r="AA63" i="33"/>
  <c r="AB63" i="33"/>
  <c r="AC63" i="33"/>
  <c r="AD63" i="33"/>
  <c r="AE63" i="33"/>
  <c r="AF63" i="33"/>
  <c r="AG63" i="33"/>
  <c r="AH63" i="33"/>
  <c r="AI63" i="33"/>
  <c r="I64" i="33"/>
  <c r="J64" i="33"/>
  <c r="K64" i="33"/>
  <c r="L64" i="33"/>
  <c r="M64" i="33"/>
  <c r="N64" i="33"/>
  <c r="O64" i="33"/>
  <c r="P64" i="33"/>
  <c r="Q64" i="33"/>
  <c r="R64" i="33"/>
  <c r="S64" i="33"/>
  <c r="T64" i="33"/>
  <c r="U64" i="33"/>
  <c r="V64" i="33"/>
  <c r="W64" i="33"/>
  <c r="X64" i="33"/>
  <c r="Y64" i="33"/>
  <c r="Z64" i="33"/>
  <c r="AA64" i="33"/>
  <c r="AB64" i="33"/>
  <c r="AC64" i="33"/>
  <c r="AD64" i="33"/>
  <c r="AE64" i="33"/>
  <c r="AF64" i="33"/>
  <c r="AG64" i="33"/>
  <c r="AH64" i="33"/>
  <c r="AI64" i="33"/>
  <c r="I65" i="33"/>
  <c r="J65" i="33"/>
  <c r="K65" i="33"/>
  <c r="L65" i="33"/>
  <c r="M65" i="33"/>
  <c r="N65" i="33"/>
  <c r="O65" i="33"/>
  <c r="P65" i="33"/>
  <c r="Q65" i="33"/>
  <c r="R65" i="33"/>
  <c r="S65" i="33"/>
  <c r="T65" i="33"/>
  <c r="U65" i="33"/>
  <c r="V65" i="33"/>
  <c r="W65" i="33"/>
  <c r="X65" i="33"/>
  <c r="Y65" i="33"/>
  <c r="Z65" i="33"/>
  <c r="AA65" i="33"/>
  <c r="AB65" i="33"/>
  <c r="AC65" i="33"/>
  <c r="AD65" i="33"/>
  <c r="AE65" i="33"/>
  <c r="AF65" i="33"/>
  <c r="AG65" i="33"/>
  <c r="AH65" i="33"/>
  <c r="AI65" i="33"/>
  <c r="I66" i="33"/>
  <c r="J66" i="33"/>
  <c r="K66" i="33"/>
  <c r="L66" i="33"/>
  <c r="M66" i="33"/>
  <c r="N66" i="33"/>
  <c r="O66" i="33"/>
  <c r="P66" i="33"/>
  <c r="Q66" i="33"/>
  <c r="R66" i="33"/>
  <c r="S66" i="33"/>
  <c r="T66" i="33"/>
  <c r="U66" i="33"/>
  <c r="V66" i="33"/>
  <c r="W66" i="33"/>
  <c r="X66" i="33"/>
  <c r="Y66" i="33"/>
  <c r="Z66" i="33"/>
  <c r="AA66" i="33"/>
  <c r="AB66" i="33"/>
  <c r="AC66" i="33"/>
  <c r="AD66" i="33"/>
  <c r="AE66" i="33"/>
  <c r="AF66" i="33"/>
  <c r="AG66" i="33"/>
  <c r="AH66" i="33"/>
  <c r="AI66" i="33"/>
  <c r="I67" i="33"/>
  <c r="J67" i="33"/>
  <c r="K67" i="33"/>
  <c r="L67" i="33"/>
  <c r="M67" i="33"/>
  <c r="N67" i="33"/>
  <c r="O67" i="33"/>
  <c r="P67" i="33"/>
  <c r="Q67" i="33"/>
  <c r="R67" i="33"/>
  <c r="S67" i="33"/>
  <c r="T67" i="33"/>
  <c r="U67" i="33"/>
  <c r="V67" i="33"/>
  <c r="W67" i="33"/>
  <c r="X67" i="33"/>
  <c r="Y67" i="33"/>
  <c r="Z67" i="33"/>
  <c r="AA67" i="33"/>
  <c r="AB67" i="33"/>
  <c r="AC67" i="33"/>
  <c r="AD67" i="33"/>
  <c r="AE67" i="33"/>
  <c r="AF67" i="33"/>
  <c r="AG67" i="33"/>
  <c r="AH67" i="33"/>
  <c r="AI67" i="33"/>
  <c r="I68" i="33"/>
  <c r="J68" i="33"/>
  <c r="K68" i="33"/>
  <c r="L68" i="33"/>
  <c r="M68" i="33"/>
  <c r="N68" i="33"/>
  <c r="O68" i="33"/>
  <c r="P68" i="33"/>
  <c r="Q68" i="33"/>
  <c r="R68" i="33"/>
  <c r="S68" i="33"/>
  <c r="T68" i="33"/>
  <c r="U68" i="33"/>
  <c r="V68" i="33"/>
  <c r="W68" i="33"/>
  <c r="X68" i="33"/>
  <c r="Y68" i="33"/>
  <c r="Z68" i="33"/>
  <c r="AA68" i="33"/>
  <c r="AB68" i="33"/>
  <c r="AC68" i="33"/>
  <c r="AD68" i="33"/>
  <c r="AE68" i="33"/>
  <c r="AF68" i="33"/>
  <c r="AG68" i="33"/>
  <c r="AH68" i="33"/>
  <c r="AI68" i="33"/>
  <c r="I69" i="33"/>
  <c r="J69" i="33"/>
  <c r="K69" i="33"/>
  <c r="L69" i="33"/>
  <c r="M69" i="33"/>
  <c r="N69" i="33"/>
  <c r="O69" i="33"/>
  <c r="P69" i="33"/>
  <c r="Q69" i="33"/>
  <c r="R69" i="33"/>
  <c r="S69" i="33"/>
  <c r="T69" i="33"/>
  <c r="U69" i="33"/>
  <c r="V69" i="33"/>
  <c r="W69" i="33"/>
  <c r="X69" i="33"/>
  <c r="Y69" i="33"/>
  <c r="Z69" i="33"/>
  <c r="AA69" i="33"/>
  <c r="AB69" i="33"/>
  <c r="AC69" i="33"/>
  <c r="AD69" i="33"/>
  <c r="AE69" i="33"/>
  <c r="AF69" i="33"/>
  <c r="AG69" i="33"/>
  <c r="AH69" i="33"/>
  <c r="AI69" i="33"/>
  <c r="I70" i="33"/>
  <c r="J70" i="33"/>
  <c r="K70" i="33"/>
  <c r="L70" i="33"/>
  <c r="M70" i="33"/>
  <c r="N70" i="33"/>
  <c r="O70" i="33"/>
  <c r="P70" i="33"/>
  <c r="Q70" i="33"/>
  <c r="R70" i="33"/>
  <c r="S70" i="33"/>
  <c r="T70" i="33"/>
  <c r="U70" i="33"/>
  <c r="V70" i="33"/>
  <c r="W70" i="33"/>
  <c r="X70" i="33"/>
  <c r="Y70" i="33"/>
  <c r="Z70" i="33"/>
  <c r="AA70" i="33"/>
  <c r="AB70" i="33"/>
  <c r="AC70" i="33"/>
  <c r="AD70" i="33"/>
  <c r="AE70" i="33"/>
  <c r="AF70" i="33"/>
  <c r="AG70" i="33"/>
  <c r="AH70" i="33"/>
  <c r="AI70" i="33"/>
  <c r="I71" i="33"/>
  <c r="J71" i="33"/>
  <c r="K71" i="33"/>
  <c r="L71" i="33"/>
  <c r="M71" i="33"/>
  <c r="N71" i="33"/>
  <c r="O71" i="33"/>
  <c r="P71" i="33"/>
  <c r="Q71" i="33"/>
  <c r="R71" i="33"/>
  <c r="S71" i="33"/>
  <c r="T71" i="33"/>
  <c r="U71" i="33"/>
  <c r="V71" i="33"/>
  <c r="W71" i="33"/>
  <c r="X71" i="33"/>
  <c r="Y71" i="33"/>
  <c r="Z71" i="33"/>
  <c r="AA71" i="33"/>
  <c r="AB71" i="33"/>
  <c r="AC71" i="33"/>
  <c r="AD71" i="33"/>
  <c r="AE71" i="33"/>
  <c r="AF71" i="33"/>
  <c r="AG71" i="33"/>
  <c r="AH71" i="33"/>
  <c r="AI71" i="33"/>
  <c r="H71" i="33"/>
  <c r="H70" i="33"/>
  <c r="H69" i="33"/>
  <c r="H68" i="33"/>
  <c r="H67" i="33"/>
  <c r="H66" i="33"/>
  <c r="H65" i="33"/>
  <c r="H64" i="33"/>
  <c r="H63" i="33"/>
  <c r="H62" i="33"/>
  <c r="S5" i="47" l="1"/>
  <c r="R4" i="50" s="1"/>
  <c r="R4" i="57" s="1"/>
  <c r="H61" i="33"/>
  <c r="H60" i="33"/>
  <c r="H59" i="33"/>
  <c r="H58" i="33"/>
  <c r="H57" i="33"/>
  <c r="H56" i="33"/>
  <c r="H55" i="33"/>
  <c r="H54" i="33"/>
  <c r="AJ9" i="57" l="1"/>
  <c r="AK12" i="57"/>
  <c r="AJ12" i="57"/>
  <c r="AK9" i="57"/>
  <c r="R5" i="47"/>
  <c r="Q4" i="50" s="1"/>
  <c r="Q4" i="57" s="1"/>
  <c r="D48" i="50"/>
  <c r="E48" i="50"/>
  <c r="F48" i="50"/>
  <c r="G48" i="50"/>
  <c r="H48" i="50"/>
  <c r="I48" i="50"/>
  <c r="J48" i="50"/>
  <c r="K48" i="50"/>
  <c r="L48" i="50"/>
  <c r="C48" i="50"/>
  <c r="AJ42" i="36"/>
  <c r="AE29" i="50" l="1"/>
  <c r="AK42" i="36"/>
  <c r="AJ83" i="36"/>
  <c r="Y47" i="50"/>
  <c r="BI47" i="50"/>
  <c r="AE47" i="50"/>
  <c r="AM47" i="50"/>
  <c r="Z47" i="50"/>
  <c r="AI47" i="50"/>
  <c r="AA47" i="50"/>
  <c r="BC47" i="50"/>
  <c r="AD47" i="50"/>
  <c r="AQ47" i="50"/>
  <c r="AB47" i="50"/>
  <c r="BK47" i="50"/>
  <c r="AH47" i="50"/>
  <c r="AF47" i="50"/>
  <c r="AC47" i="50"/>
  <c r="AL47" i="50"/>
  <c r="AY47" i="50"/>
  <c r="AJ47" i="50"/>
  <c r="AP47" i="50"/>
  <c r="AT47" i="50"/>
  <c r="AO47" i="50"/>
  <c r="AU47" i="50"/>
  <c r="AG47" i="50"/>
  <c r="BG47" i="50"/>
  <c r="AR47" i="50"/>
  <c r="AW47" i="50"/>
  <c r="AX47" i="50"/>
  <c r="AV47" i="50"/>
  <c r="AS47" i="50"/>
  <c r="AN47" i="50"/>
  <c r="AK47" i="50"/>
  <c r="AZ47" i="50"/>
  <c r="BF47" i="50"/>
  <c r="BB47" i="50"/>
  <c r="BD47" i="50"/>
  <c r="BA47" i="50"/>
  <c r="BJ47" i="50"/>
  <c r="BH47" i="50"/>
  <c r="BE47" i="50"/>
  <c r="AG29" i="50"/>
  <c r="AR29" i="50"/>
  <c r="BJ29" i="50"/>
  <c r="BH29" i="50"/>
  <c r="BG29" i="50"/>
  <c r="BK29" i="50"/>
  <c r="AT29" i="50"/>
  <c r="BD29" i="50"/>
  <c r="AC29" i="50"/>
  <c r="AD29" i="50"/>
  <c r="AB29" i="50"/>
  <c r="AX29" i="50"/>
  <c r="BA29" i="50"/>
  <c r="Y29" i="50"/>
  <c r="AA29" i="50"/>
  <c r="AH29" i="50"/>
  <c r="AK29" i="50"/>
  <c r="AI29" i="50"/>
  <c r="AF29" i="50"/>
  <c r="AM29" i="50"/>
  <c r="BE29" i="50"/>
  <c r="AQ29" i="50"/>
  <c r="BB29" i="50"/>
  <c r="AO29" i="50"/>
  <c r="AN29" i="50"/>
  <c r="BC29" i="50"/>
  <c r="AU29" i="50"/>
  <c r="AL29" i="50"/>
  <c r="AZ29" i="50"/>
  <c r="BF29" i="50"/>
  <c r="BI29" i="50"/>
  <c r="AP29" i="50"/>
  <c r="AS29" i="50"/>
  <c r="AW29" i="50"/>
  <c r="Z29" i="50"/>
  <c r="AY29" i="50"/>
  <c r="AJ29" i="50"/>
  <c r="AV29" i="50"/>
  <c r="Q5" i="47"/>
  <c r="P4" i="50" s="1"/>
  <c r="P4" i="57" s="1"/>
  <c r="D41" i="50"/>
  <c r="E41" i="50"/>
  <c r="F41" i="50"/>
  <c r="G41" i="50"/>
  <c r="H41" i="50"/>
  <c r="I41" i="50"/>
  <c r="J41" i="50"/>
  <c r="K41" i="50"/>
  <c r="L41" i="50"/>
  <c r="C41" i="50"/>
  <c r="D36" i="50"/>
  <c r="E36" i="50"/>
  <c r="F36" i="50"/>
  <c r="G36" i="50"/>
  <c r="H36" i="50"/>
  <c r="I36" i="50"/>
  <c r="J36" i="50"/>
  <c r="K36" i="50"/>
  <c r="L36" i="50"/>
  <c r="C36" i="50"/>
  <c r="D31" i="50"/>
  <c r="E31" i="50"/>
  <c r="F31" i="50"/>
  <c r="G31" i="50"/>
  <c r="H31" i="50"/>
  <c r="I31" i="50"/>
  <c r="J31" i="50"/>
  <c r="K31" i="50"/>
  <c r="L31" i="50"/>
  <c r="C31" i="50"/>
  <c r="D22" i="50"/>
  <c r="D18" i="50" s="1"/>
  <c r="D52" i="50" s="1"/>
  <c r="D56" i="50" s="1"/>
  <c r="E22" i="50"/>
  <c r="E18" i="50" s="1"/>
  <c r="E52" i="50" s="1"/>
  <c r="E56" i="50" s="1"/>
  <c r="F22" i="50"/>
  <c r="F18" i="50" s="1"/>
  <c r="F52" i="50" s="1"/>
  <c r="F56" i="50" s="1"/>
  <c r="G22" i="50"/>
  <c r="G18" i="50" s="1"/>
  <c r="G52" i="50" s="1"/>
  <c r="G56" i="50" s="1"/>
  <c r="H22" i="50"/>
  <c r="H18" i="50" s="1"/>
  <c r="H52" i="50" s="1"/>
  <c r="H56" i="50" s="1"/>
  <c r="I22" i="50"/>
  <c r="I18" i="50" s="1"/>
  <c r="I52" i="50" s="1"/>
  <c r="I56" i="50" s="1"/>
  <c r="J22" i="50"/>
  <c r="J18" i="50" s="1"/>
  <c r="J52" i="50" s="1"/>
  <c r="J56" i="50" s="1"/>
  <c r="K22" i="50"/>
  <c r="K18" i="50" s="1"/>
  <c r="K52" i="50" s="1"/>
  <c r="K56" i="50" s="1"/>
  <c r="L22" i="50"/>
  <c r="L18" i="50" s="1"/>
  <c r="L52" i="50" s="1"/>
  <c r="L56" i="50" s="1"/>
  <c r="M52" i="50"/>
  <c r="M56" i="50" s="1"/>
  <c r="N52" i="50"/>
  <c r="N56" i="50" s="1"/>
  <c r="O52" i="50"/>
  <c r="O56" i="50" s="1"/>
  <c r="P52" i="50"/>
  <c r="P56" i="50" s="1"/>
  <c r="Q52" i="50"/>
  <c r="Q56" i="50" s="1"/>
  <c r="R52" i="50"/>
  <c r="R56" i="50" s="1"/>
  <c r="S52" i="50"/>
  <c r="S56" i="50" s="1"/>
  <c r="T52" i="50"/>
  <c r="T56" i="50" s="1"/>
  <c r="C22" i="50"/>
  <c r="C18" i="50" s="1"/>
  <c r="C52" i="50" s="1"/>
  <c r="C56" i="50" s="1"/>
  <c r="D14" i="50"/>
  <c r="E14" i="50"/>
  <c r="F14" i="50"/>
  <c r="G14" i="50"/>
  <c r="H14" i="50"/>
  <c r="I14" i="50"/>
  <c r="J14" i="50"/>
  <c r="K14" i="50"/>
  <c r="L14" i="50"/>
  <c r="C14" i="50"/>
  <c r="D6" i="50"/>
  <c r="E6" i="50"/>
  <c r="F6" i="50"/>
  <c r="G6" i="50"/>
  <c r="H6" i="50"/>
  <c r="I6" i="50"/>
  <c r="J6" i="50"/>
  <c r="K6" i="50"/>
  <c r="L6" i="50"/>
  <c r="C6" i="50"/>
  <c r="AL42" i="36" l="1"/>
  <c r="AK83" i="36"/>
  <c r="T58" i="50"/>
  <c r="T59" i="50" s="1"/>
  <c r="P58" i="50"/>
  <c r="P59" i="50" s="1"/>
  <c r="L58" i="50"/>
  <c r="L59" i="50" s="1"/>
  <c r="H58" i="50"/>
  <c r="H59" i="50" s="1"/>
  <c r="D58" i="50"/>
  <c r="D59" i="50" s="1"/>
  <c r="S58" i="50"/>
  <c r="S59" i="50" s="1"/>
  <c r="O58" i="50"/>
  <c r="O59" i="50" s="1"/>
  <c r="K58" i="50"/>
  <c r="K59" i="50" s="1"/>
  <c r="G58" i="50"/>
  <c r="G59" i="50" s="1"/>
  <c r="R58" i="50"/>
  <c r="R59" i="50" s="1"/>
  <c r="N58" i="50"/>
  <c r="N59" i="50" s="1"/>
  <c r="J58" i="50"/>
  <c r="J59" i="50" s="1"/>
  <c r="F58" i="50"/>
  <c r="F59" i="50" s="1"/>
  <c r="C58" i="50"/>
  <c r="C59" i="50" s="1"/>
  <c r="Q58" i="50"/>
  <c r="Q59" i="50" s="1"/>
  <c r="M58" i="50"/>
  <c r="M59" i="50" s="1"/>
  <c r="I58" i="50"/>
  <c r="I59" i="50" s="1"/>
  <c r="E58" i="50"/>
  <c r="E59" i="50" s="1"/>
  <c r="J19" i="50"/>
  <c r="J20" i="50" s="1"/>
  <c r="J21" i="50" s="1"/>
  <c r="F19" i="50"/>
  <c r="F20" i="50" s="1"/>
  <c r="F21" i="50" s="1"/>
  <c r="K19" i="50"/>
  <c r="K20" i="50" s="1"/>
  <c r="K21" i="50" s="1"/>
  <c r="C19" i="50"/>
  <c r="C20" i="50" s="1"/>
  <c r="C21" i="50" s="1"/>
  <c r="I19" i="50"/>
  <c r="I20" i="50" s="1"/>
  <c r="I21" i="50" s="1"/>
  <c r="E19" i="50"/>
  <c r="E20" i="50" s="1"/>
  <c r="E21" i="50" s="1"/>
  <c r="G19" i="50"/>
  <c r="G20" i="50" s="1"/>
  <c r="G21" i="50" s="1"/>
  <c r="L19" i="50"/>
  <c r="L20" i="50" s="1"/>
  <c r="L21" i="50" s="1"/>
  <c r="H19" i="50"/>
  <c r="H20" i="50" s="1"/>
  <c r="H21" i="50" s="1"/>
  <c r="D19" i="50"/>
  <c r="D20" i="50" s="1"/>
  <c r="D21" i="50" s="1"/>
  <c r="P5" i="47"/>
  <c r="O4" i="50" s="1"/>
  <c r="O4" i="57" s="1"/>
  <c r="C23" i="50"/>
  <c r="C24" i="50" s="1"/>
  <c r="K23" i="50"/>
  <c r="K24" i="50" s="1"/>
  <c r="G23" i="50"/>
  <c r="G24" i="50" s="1"/>
  <c r="L23" i="50"/>
  <c r="L24" i="50" s="1"/>
  <c r="D23" i="50"/>
  <c r="D24" i="50" s="1"/>
  <c r="J23" i="50"/>
  <c r="J24" i="50" s="1"/>
  <c r="F23" i="50"/>
  <c r="F24" i="50" s="1"/>
  <c r="H23" i="50"/>
  <c r="H24" i="50" s="1"/>
  <c r="I23" i="50"/>
  <c r="I24" i="50" s="1"/>
  <c r="E23" i="50"/>
  <c r="E24" i="50" s="1"/>
  <c r="AM42" i="36" l="1"/>
  <c r="AL83" i="36"/>
  <c r="O5" i="47"/>
  <c r="N4" i="50" s="1"/>
  <c r="N4" i="57" s="1"/>
  <c r="AN42" i="36" l="1"/>
  <c r="AM83" i="36"/>
  <c r="N5" i="47"/>
  <c r="M4" i="50" s="1"/>
  <c r="M4" i="57" s="1"/>
  <c r="G76" i="45"/>
  <c r="H76" i="45"/>
  <c r="I76" i="45"/>
  <c r="J76" i="45"/>
  <c r="K76" i="45"/>
  <c r="L76" i="45"/>
  <c r="M76" i="45"/>
  <c r="N76" i="45"/>
  <c r="O76" i="45"/>
  <c r="P76" i="45"/>
  <c r="Q76" i="45"/>
  <c r="R76" i="45"/>
  <c r="S76" i="45"/>
  <c r="T76" i="45"/>
  <c r="U76" i="45"/>
  <c r="V76" i="45"/>
  <c r="W76" i="45"/>
  <c r="X76" i="45"/>
  <c r="Y76" i="45"/>
  <c r="Z76" i="45"/>
  <c r="AA76" i="45"/>
  <c r="AB76" i="45"/>
  <c r="AC76" i="45"/>
  <c r="AD76" i="45"/>
  <c r="AE76" i="45"/>
  <c r="AF76" i="45"/>
  <c r="AG76" i="45"/>
  <c r="F76" i="45"/>
  <c r="D123" i="34"/>
  <c r="E123" i="34" s="1"/>
  <c r="B144" i="34"/>
  <c r="B145" i="34" s="1"/>
  <c r="B146" i="34" s="1"/>
  <c r="B147" i="34" s="1"/>
  <c r="B148" i="34" s="1"/>
  <c r="B149" i="34" s="1"/>
  <c r="B150" i="34" s="1"/>
  <c r="B151" i="34" s="1"/>
  <c r="B152" i="34" s="1"/>
  <c r="B153" i="34" s="1"/>
  <c r="B154" i="34" s="1"/>
  <c r="B155" i="34" s="1"/>
  <c r="H135" i="46"/>
  <c r="C132" i="46"/>
  <c r="C133" i="46" s="1"/>
  <c r="C134" i="46" s="1"/>
  <c r="C135" i="46" s="1"/>
  <c r="B132" i="46"/>
  <c r="B133" i="46" s="1"/>
  <c r="B134" i="46" s="1"/>
  <c r="B135" i="46" s="1"/>
  <c r="A132" i="46"/>
  <c r="A133" i="46" s="1"/>
  <c r="A134" i="46" s="1"/>
  <c r="A135" i="46" s="1"/>
  <c r="B87" i="36"/>
  <c r="B95" i="36" s="1"/>
  <c r="B97" i="36" s="1"/>
  <c r="A87" i="36"/>
  <c r="A93" i="36" s="1"/>
  <c r="B5" i="46"/>
  <c r="B8" i="46"/>
  <c r="X123" i="34" l="1"/>
  <c r="M123" i="34"/>
  <c r="Y123" i="34"/>
  <c r="Q124" i="34"/>
  <c r="I125" i="34"/>
  <c r="U125" i="34"/>
  <c r="M126" i="34"/>
  <c r="Y126" i="34"/>
  <c r="Q127" i="34"/>
  <c r="I128" i="34"/>
  <c r="U128" i="34"/>
  <c r="M132" i="34"/>
  <c r="Y132" i="34"/>
  <c r="Q134" i="34"/>
  <c r="AC124" i="34"/>
  <c r="AB124" i="34"/>
  <c r="R123" i="34"/>
  <c r="J127" i="34"/>
  <c r="V134" i="34"/>
  <c r="W127" i="34"/>
  <c r="N123" i="34"/>
  <c r="Z123" i="34"/>
  <c r="R124" i="34"/>
  <c r="J125" i="34"/>
  <c r="V125" i="34"/>
  <c r="N126" i="34"/>
  <c r="Z126" i="34"/>
  <c r="R127" i="34"/>
  <c r="J128" i="34"/>
  <c r="V128" i="34"/>
  <c r="N132" i="34"/>
  <c r="Z132" i="34"/>
  <c r="R134" i="34"/>
  <c r="AC125" i="34"/>
  <c r="AB123" i="34"/>
  <c r="V124" i="34"/>
  <c r="R126" i="34"/>
  <c r="J134" i="34"/>
  <c r="K124" i="34"/>
  <c r="AB125" i="34"/>
  <c r="O123" i="34"/>
  <c r="AA123" i="34"/>
  <c r="S124" i="34"/>
  <c r="K125" i="34"/>
  <c r="W125" i="34"/>
  <c r="O126" i="34"/>
  <c r="AA126" i="34"/>
  <c r="S127" i="34"/>
  <c r="K128" i="34"/>
  <c r="W128" i="34"/>
  <c r="O132" i="34"/>
  <c r="AA132" i="34"/>
  <c r="S134" i="34"/>
  <c r="AC126" i="34"/>
  <c r="AC132" i="34"/>
  <c r="J124" i="34"/>
  <c r="V127" i="34"/>
  <c r="R132" i="34"/>
  <c r="S123" i="34"/>
  <c r="AA125" i="34"/>
  <c r="S126" i="34"/>
  <c r="AA128" i="34"/>
  <c r="S132" i="34"/>
  <c r="AC123" i="34"/>
  <c r="P123" i="34"/>
  <c r="H124" i="34"/>
  <c r="T124" i="34"/>
  <c r="L125" i="34"/>
  <c r="X125" i="34"/>
  <c r="P126" i="34"/>
  <c r="H127" i="34"/>
  <c r="T127" i="34"/>
  <c r="L128" i="34"/>
  <c r="X128" i="34"/>
  <c r="P132" i="34"/>
  <c r="H134" i="34"/>
  <c r="T134" i="34"/>
  <c r="AC127" i="34"/>
  <c r="AC134" i="34"/>
  <c r="N125" i="34"/>
  <c r="Z128" i="34"/>
  <c r="AB132" i="34"/>
  <c r="O125" i="34"/>
  <c r="O128" i="34"/>
  <c r="K134" i="34"/>
  <c r="Q123" i="34"/>
  <c r="I124" i="34"/>
  <c r="U124" i="34"/>
  <c r="M125" i="34"/>
  <c r="Y125" i="34"/>
  <c r="Q126" i="34"/>
  <c r="I127" i="34"/>
  <c r="U127" i="34"/>
  <c r="M128" i="34"/>
  <c r="Y128" i="34"/>
  <c r="Q132" i="34"/>
  <c r="I134" i="34"/>
  <c r="U134" i="34"/>
  <c r="AC128" i="34"/>
  <c r="AB134" i="34"/>
  <c r="Z125" i="34"/>
  <c r="N128" i="34"/>
  <c r="W124" i="34"/>
  <c r="K127" i="34"/>
  <c r="W134" i="34"/>
  <c r="H123" i="34"/>
  <c r="T123" i="34"/>
  <c r="L124" i="34"/>
  <c r="X124" i="34"/>
  <c r="P125" i="34"/>
  <c r="H126" i="34"/>
  <c r="T126" i="34"/>
  <c r="L127" i="34"/>
  <c r="X127" i="34"/>
  <c r="P128" i="34"/>
  <c r="H132" i="34"/>
  <c r="T132" i="34"/>
  <c r="L134" i="34"/>
  <c r="X134" i="34"/>
  <c r="O124" i="34"/>
  <c r="W126" i="34"/>
  <c r="S128" i="34"/>
  <c r="AA134" i="34"/>
  <c r="L126" i="34"/>
  <c r="H128" i="34"/>
  <c r="L132" i="34"/>
  <c r="I123" i="34"/>
  <c r="U123" i="34"/>
  <c r="M124" i="34"/>
  <c r="Y124" i="34"/>
  <c r="Q125" i="34"/>
  <c r="I126" i="34"/>
  <c r="U126" i="34"/>
  <c r="M127" i="34"/>
  <c r="Y127" i="34"/>
  <c r="Q128" i="34"/>
  <c r="I132" i="34"/>
  <c r="U132" i="34"/>
  <c r="M134" i="34"/>
  <c r="Y134" i="34"/>
  <c r="AB128" i="34"/>
  <c r="AB127" i="34"/>
  <c r="K123" i="34"/>
  <c r="W123" i="34"/>
  <c r="S125" i="34"/>
  <c r="K126" i="34"/>
  <c r="O127" i="34"/>
  <c r="AA127" i="34"/>
  <c r="K132" i="34"/>
  <c r="O134" i="34"/>
  <c r="L123" i="34"/>
  <c r="P124" i="34"/>
  <c r="H125" i="34"/>
  <c r="T125" i="34"/>
  <c r="X126" i="34"/>
  <c r="T128" i="34"/>
  <c r="X132" i="34"/>
  <c r="J123" i="34"/>
  <c r="V123" i="34"/>
  <c r="N124" i="34"/>
  <c r="Z124" i="34"/>
  <c r="R125" i="34"/>
  <c r="J126" i="34"/>
  <c r="V126" i="34"/>
  <c r="N127" i="34"/>
  <c r="Z127" i="34"/>
  <c r="R128" i="34"/>
  <c r="J132" i="34"/>
  <c r="V132" i="34"/>
  <c r="N134" i="34"/>
  <c r="Z134" i="34"/>
  <c r="AA124" i="34"/>
  <c r="W132" i="34"/>
  <c r="AB126" i="34"/>
  <c r="P127" i="34"/>
  <c r="P134" i="34"/>
  <c r="AL132" i="34"/>
  <c r="BG127" i="34"/>
  <c r="BO123" i="34"/>
  <c r="BE133" i="34"/>
  <c r="BM132" i="34"/>
  <c r="AY126" i="34"/>
  <c r="AY134" i="34"/>
  <c r="AJ133" i="34"/>
  <c r="AL128" i="34"/>
  <c r="BF124" i="34"/>
  <c r="AE132" i="34"/>
  <c r="AH125" i="34"/>
  <c r="AE125" i="34"/>
  <c r="AD134" i="34"/>
  <c r="AU124" i="34"/>
  <c r="AR127" i="34"/>
  <c r="BG128" i="34"/>
  <c r="AV128" i="34"/>
  <c r="AW124" i="34"/>
  <c r="BK133" i="34"/>
  <c r="BO132" i="34"/>
  <c r="BC126" i="34"/>
  <c r="AS134" i="34"/>
  <c r="AY127" i="34"/>
  <c r="AQ126" i="34"/>
  <c r="AU134" i="34"/>
  <c r="AN132" i="34"/>
  <c r="BK127" i="34"/>
  <c r="AP124" i="34"/>
  <c r="AI132" i="34"/>
  <c r="AD124" i="34"/>
  <c r="AG126" i="34"/>
  <c r="AJ123" i="34"/>
  <c r="BN125" i="34"/>
  <c r="AV127" i="34"/>
  <c r="BK128" i="34"/>
  <c r="AN124" i="34"/>
  <c r="BC125" i="34"/>
  <c r="AZ128" i="34"/>
  <c r="AL123" i="34"/>
  <c r="BA124" i="34"/>
  <c r="BG133" i="34"/>
  <c r="AU126" i="34"/>
  <c r="AO134" i="34"/>
  <c r="BL134" i="34"/>
  <c r="AW133" i="34"/>
  <c r="BE132" i="34"/>
  <c r="BM128" i="34"/>
  <c r="BP125" i="34"/>
  <c r="AQ134" i="34"/>
  <c r="AJ132" i="34"/>
  <c r="BC127" i="34"/>
  <c r="AH124" i="34"/>
  <c r="AI127" i="34"/>
  <c r="AN123" i="34"/>
  <c r="BC124" i="34"/>
  <c r="AK126" i="34"/>
  <c r="AR124" i="34"/>
  <c r="BG125" i="34"/>
  <c r="BD128" i="34"/>
  <c r="BE124" i="34"/>
  <c r="AY123" i="34"/>
  <c r="BC133" i="34"/>
  <c r="AM126" i="34"/>
  <c r="BP126" i="34"/>
  <c r="BA132" i="34"/>
  <c r="BH125" i="34"/>
  <c r="AM134" i="34"/>
  <c r="AU127" i="34"/>
  <c r="AE124" i="34"/>
  <c r="AE134" i="34"/>
  <c r="AD126" i="34"/>
  <c r="AH127" i="34"/>
  <c r="AR123" i="34"/>
  <c r="BD127" i="34"/>
  <c r="AV124" i="34"/>
  <c r="BK125" i="34"/>
  <c r="BH128" i="34"/>
  <c r="AT123" i="34"/>
  <c r="BI124" i="34"/>
  <c r="BN134" i="34"/>
  <c r="AY133" i="34"/>
  <c r="BI128" i="34"/>
  <c r="BL125" i="34"/>
  <c r="BH126" i="34"/>
  <c r="BD134" i="34"/>
  <c r="AO133" i="34"/>
  <c r="AW128" i="34"/>
  <c r="AS125" i="34"/>
  <c r="BP133" i="34"/>
  <c r="AM127" i="34"/>
  <c r="AI124" i="34"/>
  <c r="AI134" i="34"/>
  <c r="AF127" i="34"/>
  <c r="AF128" i="34"/>
  <c r="AE133" i="34"/>
  <c r="AV123" i="34"/>
  <c r="BK124" i="34"/>
  <c r="AS126" i="34"/>
  <c r="AK123" i="34"/>
  <c r="AZ124" i="34"/>
  <c r="BO125" i="34"/>
  <c r="AW127" i="34"/>
  <c r="BL128" i="34"/>
  <c r="BM124" i="34"/>
  <c r="BJ134" i="34"/>
  <c r="AU133" i="34"/>
  <c r="AY132" i="34"/>
  <c r="BA128" i="34"/>
  <c r="BA125" i="34"/>
  <c r="BJ133" i="34"/>
  <c r="AZ134" i="34"/>
  <c r="AK133" i="34"/>
  <c r="AS132" i="34"/>
  <c r="AO128" i="34"/>
  <c r="BJ124" i="34"/>
  <c r="BL133" i="34"/>
  <c r="AG125" i="34"/>
  <c r="AG134" i="34"/>
  <c r="AZ123" i="34"/>
  <c r="BO124" i="34"/>
  <c r="AW126" i="34"/>
  <c r="AO123" i="34"/>
  <c r="AL126" i="34"/>
  <c r="AJ125" i="34"/>
  <c r="AQ133" i="34"/>
  <c r="AU132" i="34"/>
  <c r="AS128" i="34"/>
  <c r="AK125" i="34"/>
  <c r="BF133" i="34"/>
  <c r="BJ132" i="34"/>
  <c r="AR126" i="34"/>
  <c r="AV134" i="34"/>
  <c r="AO132" i="34"/>
  <c r="BN127" i="34"/>
  <c r="AT124" i="34"/>
  <c r="BH133" i="34"/>
  <c r="BP132" i="34"/>
  <c r="BD126" i="34"/>
  <c r="AE126" i="34"/>
  <c r="AG124" i="34"/>
  <c r="AF123" i="34"/>
  <c r="BD123" i="34"/>
  <c r="BA126" i="34"/>
  <c r="BP127" i="34"/>
  <c r="BH124" i="34"/>
  <c r="AP126" i="34"/>
  <c r="BF123" i="34"/>
  <c r="AN125" i="34"/>
  <c r="AM133" i="34"/>
  <c r="AK128" i="34"/>
  <c r="BB124" i="34"/>
  <c r="BB133" i="34"/>
  <c r="BF132" i="34"/>
  <c r="AJ126" i="34"/>
  <c r="AR134" i="34"/>
  <c r="AK132" i="34"/>
  <c r="BF127" i="34"/>
  <c r="BL132" i="34"/>
  <c r="AV126" i="34"/>
  <c r="AI126" i="34"/>
  <c r="AI125" i="34"/>
  <c r="AF125" i="34"/>
  <c r="BH123" i="34"/>
  <c r="AP125" i="34"/>
  <c r="AM128" i="34"/>
  <c r="AW123" i="34"/>
  <c r="BL124" i="34"/>
  <c r="AT126" i="34"/>
  <c r="BI127" i="34"/>
  <c r="AR125" i="34"/>
  <c r="AX134" i="34"/>
  <c r="AM132" i="34"/>
  <c r="BJ127" i="34"/>
  <c r="AL124" i="34"/>
  <c r="BM134" i="34"/>
  <c r="AX133" i="34"/>
  <c r="BB132" i="34"/>
  <c r="BF128" i="34"/>
  <c r="BI125" i="34"/>
  <c r="AN134" i="34"/>
  <c r="AX127" i="34"/>
  <c r="BO134" i="34"/>
  <c r="AZ133" i="34"/>
  <c r="BH132" i="34"/>
  <c r="AN126" i="34"/>
  <c r="AG127" i="34"/>
  <c r="AE127" i="34"/>
  <c r="AH134" i="34"/>
  <c r="AD133" i="34"/>
  <c r="AH126" i="34"/>
  <c r="BL123" i="34"/>
  <c r="AT125" i="34"/>
  <c r="BI126" i="34"/>
  <c r="AQ128" i="34"/>
  <c r="BA123" i="34"/>
  <c r="AY48" i="45" s="1"/>
  <c r="BP124" i="34"/>
  <c r="AX126" i="34"/>
  <c r="BM127" i="34"/>
  <c r="BN123" i="34"/>
  <c r="AV125" i="34"/>
  <c r="AT134" i="34"/>
  <c r="BB127" i="34"/>
  <c r="BC123" i="34"/>
  <c r="BI134" i="34"/>
  <c r="AT133" i="34"/>
  <c r="AX132" i="34"/>
  <c r="AX128" i="34"/>
  <c r="AW125" i="34"/>
  <c r="AJ134" i="34"/>
  <c r="AP127" i="34"/>
  <c r="BK134" i="34"/>
  <c r="AV133" i="34"/>
  <c r="BD132" i="34"/>
  <c r="BJ128" i="34"/>
  <c r="BM125" i="34"/>
  <c r="AE128" i="34"/>
  <c r="AG128" i="34"/>
  <c r="AH123" i="34"/>
  <c r="AH133" i="34"/>
  <c r="AH128" i="34"/>
  <c r="BP123" i="34"/>
  <c r="AX125" i="34"/>
  <c r="BM126" i="34"/>
  <c r="AU128" i="34"/>
  <c r="BE123" i="34"/>
  <c r="AM125" i="34"/>
  <c r="BB126" i="34"/>
  <c r="AJ128" i="34"/>
  <c r="AK124" i="34"/>
  <c r="AZ125" i="34"/>
  <c r="AP134" i="34"/>
  <c r="AT127" i="34"/>
  <c r="BE134" i="34"/>
  <c r="AP133" i="34"/>
  <c r="AT132" i="34"/>
  <c r="AP128" i="34"/>
  <c r="BN124" i="34"/>
  <c r="BM133" i="34"/>
  <c r="BO126" i="34"/>
  <c r="BG134" i="34"/>
  <c r="AR133" i="34"/>
  <c r="AZ132" i="34"/>
  <c r="BB128" i="34"/>
  <c r="BE125" i="34"/>
  <c r="AI128" i="34"/>
  <c r="AF124" i="34"/>
  <c r="AF134" i="34"/>
  <c r="AD132" i="34"/>
  <c r="AM124" i="34"/>
  <c r="BB125" i="34"/>
  <c r="AJ127" i="34"/>
  <c r="AY128" i="34"/>
  <c r="BI123" i="34"/>
  <c r="AQ125" i="34"/>
  <c r="BF126" i="34"/>
  <c r="AN128" i="34"/>
  <c r="AO124" i="34"/>
  <c r="BD125" i="34"/>
  <c r="AL134" i="34"/>
  <c r="AL127" i="34"/>
  <c r="BA134" i="34"/>
  <c r="AL133" i="34"/>
  <c r="AP132" i="34"/>
  <c r="BO127" i="34"/>
  <c r="AX124" i="34"/>
  <c r="BI133" i="34"/>
  <c r="BG126" i="34"/>
  <c r="BC134" i="34"/>
  <c r="AN133" i="34"/>
  <c r="AV132" i="34"/>
  <c r="AG132" i="34"/>
  <c r="AD125" i="34"/>
  <c r="AH132" i="34"/>
  <c r="AQ124" i="34"/>
  <c r="BC128" i="34"/>
  <c r="AU125" i="34"/>
  <c r="BJ126" i="34"/>
  <c r="AR128" i="34"/>
  <c r="AS124" i="34"/>
  <c r="AM123" i="34"/>
  <c r="BO133" i="34"/>
  <c r="BO128" i="34"/>
  <c r="BJ125" i="34"/>
  <c r="BA133" i="34"/>
  <c r="AQ123" i="34"/>
  <c r="BP128" i="34"/>
  <c r="AE123" i="34"/>
  <c r="BF125" i="34"/>
  <c r="U133" i="34"/>
  <c r="V133" i="34"/>
  <c r="AS123" i="34"/>
  <c r="BN128" i="34"/>
  <c r="BD133" i="34"/>
  <c r="AO126" i="34"/>
  <c r="AS133" i="34"/>
  <c r="AF133" i="34"/>
  <c r="AL125" i="34"/>
  <c r="AZ127" i="34"/>
  <c r="AA133" i="34"/>
  <c r="Z133" i="34"/>
  <c r="M133" i="34"/>
  <c r="BB123" i="34"/>
  <c r="BL127" i="34"/>
  <c r="BE127" i="34"/>
  <c r="BA127" i="34"/>
  <c r="AN127" i="34"/>
  <c r="AK127" i="34"/>
  <c r="AR132" i="34"/>
  <c r="BN133" i="34"/>
  <c r="Y133" i="34"/>
  <c r="T133" i="34"/>
  <c r="BL126" i="34"/>
  <c r="BG123" i="34"/>
  <c r="BM123" i="34"/>
  <c r="AP123" i="34"/>
  <c r="AN48" i="45" s="1"/>
  <c r="AI123" i="34"/>
  <c r="AG133" i="34"/>
  <c r="H133" i="34"/>
  <c r="AY124" i="34"/>
  <c r="AF132" i="34"/>
  <c r="BD124" i="34"/>
  <c r="BB134" i="34"/>
  <c r="AC133" i="34"/>
  <c r="BP134" i="34"/>
  <c r="AZ126" i="34"/>
  <c r="AU123" i="34"/>
  <c r="AO125" i="34"/>
  <c r="AT128" i="34"/>
  <c r="BK126" i="34"/>
  <c r="BJ123" i="34"/>
  <c r="BC132" i="34"/>
  <c r="AD127" i="34"/>
  <c r="BK123" i="34"/>
  <c r="K133" i="34"/>
  <c r="L133" i="34"/>
  <c r="AS127" i="34"/>
  <c r="BN132" i="34"/>
  <c r="Q133" i="34"/>
  <c r="AJ124" i="34"/>
  <c r="AI133" i="34"/>
  <c r="BH127" i="34"/>
  <c r="AW132" i="34"/>
  <c r="AO127" i="34"/>
  <c r="I133" i="34"/>
  <c r="P133" i="34"/>
  <c r="X133" i="34"/>
  <c r="AD128" i="34"/>
  <c r="AQ127" i="34"/>
  <c r="AQ132" i="34"/>
  <c r="AX123" i="34"/>
  <c r="BE126" i="34"/>
  <c r="BN126" i="34"/>
  <c r="O133" i="34"/>
  <c r="J133" i="34"/>
  <c r="AW134" i="34"/>
  <c r="AY125" i="34"/>
  <c r="BK132" i="34"/>
  <c r="BF134" i="34"/>
  <c r="BE128" i="34"/>
  <c r="AK134" i="34"/>
  <c r="S133" i="34"/>
  <c r="N133" i="34"/>
  <c r="AB133" i="34"/>
  <c r="Z48" i="45" s="1"/>
  <c r="BG124" i="34"/>
  <c r="AF126" i="34"/>
  <c r="BI132" i="34"/>
  <c r="BH134" i="34"/>
  <c r="BG132" i="34"/>
  <c r="AG123" i="34"/>
  <c r="W133" i="34"/>
  <c r="R133" i="34"/>
  <c r="H131" i="34"/>
  <c r="T131" i="34"/>
  <c r="M129" i="34"/>
  <c r="Y129" i="34"/>
  <c r="Q130" i="34"/>
  <c r="I131" i="34"/>
  <c r="U131" i="34"/>
  <c r="AJ129" i="34"/>
  <c r="AV129" i="34"/>
  <c r="BH129" i="34"/>
  <c r="AF130" i="34"/>
  <c r="AR130" i="34"/>
  <c r="BD130" i="34"/>
  <c r="BP130" i="34"/>
  <c r="V130" i="34"/>
  <c r="AK130" i="34"/>
  <c r="AA131" i="34"/>
  <c r="BN129" i="34"/>
  <c r="AI129" i="34"/>
  <c r="N129" i="34"/>
  <c r="Z129" i="34"/>
  <c r="R130" i="34"/>
  <c r="J131" i="34"/>
  <c r="V131" i="34"/>
  <c r="AK129" i="34"/>
  <c r="AW129" i="34"/>
  <c r="BI129" i="34"/>
  <c r="AG130" i="34"/>
  <c r="AS130" i="34"/>
  <c r="BE130" i="34"/>
  <c r="AC131" i="34"/>
  <c r="J130" i="34"/>
  <c r="BM129" i="34"/>
  <c r="S129" i="34"/>
  <c r="AD129" i="34"/>
  <c r="BJ130" i="34"/>
  <c r="AU129" i="34"/>
  <c r="O129" i="34"/>
  <c r="AA129" i="34"/>
  <c r="S130" i="34"/>
  <c r="K131" i="34"/>
  <c r="W131" i="34"/>
  <c r="AL129" i="34"/>
  <c r="AX129" i="34"/>
  <c r="BJ129" i="34"/>
  <c r="AH130" i="34"/>
  <c r="AT130" i="34"/>
  <c r="BF130" i="34"/>
  <c r="R129" i="34"/>
  <c r="BA129" i="34"/>
  <c r="AW130" i="34"/>
  <c r="O131" i="34"/>
  <c r="AP129" i="34"/>
  <c r="AX130" i="34"/>
  <c r="BO130" i="34"/>
  <c r="P129" i="34"/>
  <c r="H130" i="34"/>
  <c r="T130" i="34"/>
  <c r="L131" i="34"/>
  <c r="X131" i="34"/>
  <c r="AM129" i="34"/>
  <c r="AY129" i="34"/>
  <c r="BK129" i="34"/>
  <c r="AI130" i="34"/>
  <c r="AU130" i="34"/>
  <c r="BG130" i="34"/>
  <c r="Z131" i="34"/>
  <c r="AC129" i="34"/>
  <c r="K130" i="34"/>
  <c r="BB129" i="34"/>
  <c r="AB131" i="34"/>
  <c r="AE130" i="34"/>
  <c r="Q129" i="34"/>
  <c r="I130" i="34"/>
  <c r="U130" i="34"/>
  <c r="M131" i="34"/>
  <c r="Y131" i="34"/>
  <c r="AN129" i="34"/>
  <c r="AZ129" i="34"/>
  <c r="BL129" i="34"/>
  <c r="AJ130" i="34"/>
  <c r="AV130" i="34"/>
  <c r="BH130" i="34"/>
  <c r="N131" i="34"/>
  <c r="AO129" i="34"/>
  <c r="BI130" i="34"/>
  <c r="W130" i="34"/>
  <c r="AL130" i="34"/>
  <c r="H129" i="34"/>
  <c r="T129" i="34"/>
  <c r="L130" i="34"/>
  <c r="X130" i="34"/>
  <c r="P131" i="34"/>
  <c r="AE129" i="34"/>
  <c r="AQ129" i="34"/>
  <c r="BC129" i="34"/>
  <c r="BO129" i="34"/>
  <c r="AM130" i="34"/>
  <c r="AY130" i="34"/>
  <c r="BK130" i="34"/>
  <c r="AB130" i="34"/>
  <c r="O130" i="34"/>
  <c r="S131" i="34"/>
  <c r="BF129" i="34"/>
  <c r="AP130" i="34"/>
  <c r="L129" i="34"/>
  <c r="BG129" i="34"/>
  <c r="I129" i="34"/>
  <c r="U129" i="34"/>
  <c r="M130" i="34"/>
  <c r="Y130" i="34"/>
  <c r="Q131" i="34"/>
  <c r="AF129" i="34"/>
  <c r="AR129" i="34"/>
  <c r="BD129" i="34"/>
  <c r="BP129" i="34"/>
  <c r="AN130" i="34"/>
  <c r="AZ130" i="34"/>
  <c r="BL130" i="34"/>
  <c r="AB129" i="34"/>
  <c r="BA130" i="34"/>
  <c r="K129" i="34"/>
  <c r="AA130" i="34"/>
  <c r="AH129" i="34"/>
  <c r="AD130" i="34"/>
  <c r="BN130" i="34"/>
  <c r="P130" i="34"/>
  <c r="AQ130" i="34"/>
  <c r="J129" i="34"/>
  <c r="V129" i="34"/>
  <c r="N130" i="34"/>
  <c r="Z130" i="34"/>
  <c r="R131" i="34"/>
  <c r="AG129" i="34"/>
  <c r="AS129" i="34"/>
  <c r="BE129" i="34"/>
  <c r="AC130" i="34"/>
  <c r="AO130" i="34"/>
  <c r="BM130" i="34"/>
  <c r="W129" i="34"/>
  <c r="AT129" i="34"/>
  <c r="BB130" i="34"/>
  <c r="X129" i="34"/>
  <c r="BC130" i="34"/>
  <c r="BK131" i="34"/>
  <c r="AV131" i="34"/>
  <c r="BO131" i="34"/>
  <c r="AJ131" i="34"/>
  <c r="BE131" i="34"/>
  <c r="BM131" i="34"/>
  <c r="AI131" i="34"/>
  <c r="AZ131" i="34"/>
  <c r="BH131" i="34"/>
  <c r="AT131" i="34"/>
  <c r="AO131" i="34"/>
  <c r="AW131" i="34"/>
  <c r="AF131" i="34"/>
  <c r="AH131" i="34"/>
  <c r="AM131" i="34"/>
  <c r="AR131" i="34"/>
  <c r="BN131" i="34"/>
  <c r="AK131" i="34"/>
  <c r="AU131" i="34"/>
  <c r="BP131" i="34"/>
  <c r="BI131" i="34"/>
  <c r="AY131" i="34"/>
  <c r="BL131" i="34"/>
  <c r="BD131" i="34"/>
  <c r="AE131" i="34"/>
  <c r="BC131" i="34"/>
  <c r="BF131" i="34"/>
  <c r="AG131" i="34"/>
  <c r="BG131" i="34"/>
  <c r="BA131" i="34"/>
  <c r="AX131" i="34"/>
  <c r="AN131" i="34"/>
  <c r="AD131" i="34"/>
  <c r="BJ131" i="34"/>
  <c r="AQ131" i="34"/>
  <c r="AS131" i="34"/>
  <c r="AP131" i="34"/>
  <c r="AL131" i="34"/>
  <c r="BB131" i="34"/>
  <c r="AK5" i="57"/>
  <c r="AJ5" i="57"/>
  <c r="AJ7" i="57"/>
  <c r="AK7" i="57"/>
  <c r="AO42" i="36"/>
  <c r="AN83" i="36"/>
  <c r="AK11" i="57"/>
  <c r="AK10" i="57"/>
  <c r="AJ10" i="57"/>
  <c r="AJ11" i="57"/>
  <c r="AK8" i="57"/>
  <c r="AJ8" i="57"/>
  <c r="AJ6" i="57"/>
  <c r="AK6" i="57"/>
  <c r="T144" i="34"/>
  <c r="J144" i="34"/>
  <c r="O144" i="34"/>
  <c r="V144" i="34"/>
  <c r="AA144" i="34"/>
  <c r="J145" i="34"/>
  <c r="N145" i="34"/>
  <c r="R145" i="34"/>
  <c r="V145" i="34"/>
  <c r="Z145" i="34"/>
  <c r="K146" i="34"/>
  <c r="O146" i="34"/>
  <c r="S146" i="34"/>
  <c r="W146" i="34"/>
  <c r="AA146" i="34"/>
  <c r="L147" i="34"/>
  <c r="P147" i="34"/>
  <c r="T147" i="34"/>
  <c r="X147" i="34"/>
  <c r="AB147" i="34"/>
  <c r="I148" i="34"/>
  <c r="M148" i="34"/>
  <c r="Q148" i="34"/>
  <c r="U148" i="34"/>
  <c r="Y148" i="34"/>
  <c r="AC148" i="34"/>
  <c r="J149" i="34"/>
  <c r="N149" i="34"/>
  <c r="R149" i="34"/>
  <c r="V149" i="34"/>
  <c r="Z149" i="34"/>
  <c r="K150" i="34"/>
  <c r="O150" i="34"/>
  <c r="S150" i="34"/>
  <c r="W150" i="34"/>
  <c r="AA150" i="34"/>
  <c r="AE150" i="34"/>
  <c r="AI150" i="34"/>
  <c r="AM150" i="34"/>
  <c r="AQ150" i="34"/>
  <c r="AU150" i="34"/>
  <c r="AY150" i="34"/>
  <c r="BC150" i="34"/>
  <c r="BG150" i="34"/>
  <c r="BK150" i="34"/>
  <c r="BO150" i="34"/>
  <c r="K151" i="34"/>
  <c r="O151" i="34"/>
  <c r="S151" i="34"/>
  <c r="W151" i="34"/>
  <c r="AA151" i="34"/>
  <c r="AE151" i="34"/>
  <c r="AI151" i="34"/>
  <c r="AM151" i="34"/>
  <c r="AQ151" i="34"/>
  <c r="AU151" i="34"/>
  <c r="AY151" i="34"/>
  <c r="BC151" i="34"/>
  <c r="BG151" i="34"/>
  <c r="BK151" i="34"/>
  <c r="BO151" i="34"/>
  <c r="AC144" i="34"/>
  <c r="Q144" i="34"/>
  <c r="K144" i="34"/>
  <c r="P144" i="34"/>
  <c r="W144" i="34"/>
  <c r="AB144" i="34"/>
  <c r="K145" i="34"/>
  <c r="O145" i="34"/>
  <c r="S145" i="34"/>
  <c r="W145" i="34"/>
  <c r="AA145" i="34"/>
  <c r="L146" i="34"/>
  <c r="P146" i="34"/>
  <c r="T146" i="34"/>
  <c r="X146" i="34"/>
  <c r="AB146" i="34"/>
  <c r="I147" i="34"/>
  <c r="M147" i="34"/>
  <c r="Q147" i="34"/>
  <c r="U147" i="34"/>
  <c r="Y147" i="34"/>
  <c r="AC147" i="34"/>
  <c r="J148" i="34"/>
  <c r="N148" i="34"/>
  <c r="R148" i="34"/>
  <c r="V148" i="34"/>
  <c r="Z148" i="34"/>
  <c r="K149" i="34"/>
  <c r="O149" i="34"/>
  <c r="S149" i="34"/>
  <c r="W149" i="34"/>
  <c r="AA149" i="34"/>
  <c r="L150" i="34"/>
  <c r="P150" i="34"/>
  <c r="T150" i="34"/>
  <c r="X150" i="34"/>
  <c r="AB150" i="34"/>
  <c r="AF150" i="34"/>
  <c r="AJ150" i="34"/>
  <c r="AN150" i="34"/>
  <c r="AR150" i="34"/>
  <c r="AV150" i="34"/>
  <c r="AZ150" i="34"/>
  <c r="BD150" i="34"/>
  <c r="BH150" i="34"/>
  <c r="BL150" i="34"/>
  <c r="BP150" i="34"/>
  <c r="L151" i="34"/>
  <c r="P151" i="34"/>
  <c r="T151" i="34"/>
  <c r="X151" i="34"/>
  <c r="AB151" i="34"/>
  <c r="AF151" i="34"/>
  <c r="AJ151" i="34"/>
  <c r="AN151" i="34"/>
  <c r="AR151" i="34"/>
  <c r="AV151" i="34"/>
  <c r="AZ151" i="34"/>
  <c r="BD151" i="34"/>
  <c r="BH151" i="34"/>
  <c r="BL151" i="34"/>
  <c r="BP151" i="34"/>
  <c r="L152" i="34"/>
  <c r="P152" i="34"/>
  <c r="T152" i="34"/>
  <c r="X152" i="34"/>
  <c r="AB152" i="34"/>
  <c r="I153" i="34"/>
  <c r="M153" i="34"/>
  <c r="Q153" i="34"/>
  <c r="U153" i="34"/>
  <c r="Y153" i="34"/>
  <c r="AC153" i="34"/>
  <c r="J155" i="34"/>
  <c r="Y144" i="34"/>
  <c r="M144" i="34"/>
  <c r="L144" i="34"/>
  <c r="R144" i="34"/>
  <c r="X144" i="34"/>
  <c r="L145" i="34"/>
  <c r="P145" i="34"/>
  <c r="T145" i="34"/>
  <c r="X145" i="34"/>
  <c r="AB145" i="34"/>
  <c r="I146" i="34"/>
  <c r="M146" i="34"/>
  <c r="Q146" i="34"/>
  <c r="U146" i="34"/>
  <c r="Y146" i="34"/>
  <c r="AC146" i="34"/>
  <c r="J147" i="34"/>
  <c r="N147" i="34"/>
  <c r="R147" i="34"/>
  <c r="V147" i="34"/>
  <c r="Z147" i="34"/>
  <c r="K148" i="34"/>
  <c r="O148" i="34"/>
  <c r="S148" i="34"/>
  <c r="W148" i="34"/>
  <c r="AA148" i="34"/>
  <c r="L149" i="34"/>
  <c r="P149" i="34"/>
  <c r="T149" i="34"/>
  <c r="X149" i="34"/>
  <c r="AB149" i="34"/>
  <c r="I150" i="34"/>
  <c r="M150" i="34"/>
  <c r="Q150" i="34"/>
  <c r="U150" i="34"/>
  <c r="Y150" i="34"/>
  <c r="AC150" i="34"/>
  <c r="AG150" i="34"/>
  <c r="AK150" i="34"/>
  <c r="AO150" i="34"/>
  <c r="AS150" i="34"/>
  <c r="AW150" i="34"/>
  <c r="BA150" i="34"/>
  <c r="BE150" i="34"/>
  <c r="BI150" i="34"/>
  <c r="BM150" i="34"/>
  <c r="I151" i="34"/>
  <c r="M151" i="34"/>
  <c r="Q151" i="34"/>
  <c r="U151" i="34"/>
  <c r="Y151" i="34"/>
  <c r="AC151" i="34"/>
  <c r="AG151" i="34"/>
  <c r="AK151" i="34"/>
  <c r="AO151" i="34"/>
  <c r="AS151" i="34"/>
  <c r="AW151" i="34"/>
  <c r="BA151" i="34"/>
  <c r="BE151" i="34"/>
  <c r="BI151" i="34"/>
  <c r="BM151" i="34"/>
  <c r="I152" i="34"/>
  <c r="M152" i="34"/>
  <c r="Q152" i="34"/>
  <c r="U152" i="34"/>
  <c r="Y152" i="34"/>
  <c r="AC152" i="34"/>
  <c r="J153" i="34"/>
  <c r="N153" i="34"/>
  <c r="R153" i="34"/>
  <c r="V153" i="34"/>
  <c r="U144" i="34"/>
  <c r="Z144" i="34"/>
  <c r="Q145" i="34"/>
  <c r="V146" i="34"/>
  <c r="K147" i="34"/>
  <c r="AA147" i="34"/>
  <c r="P148" i="34"/>
  <c r="U149" i="34"/>
  <c r="J150" i="34"/>
  <c r="Z150" i="34"/>
  <c r="AP150" i="34"/>
  <c r="BF150" i="34"/>
  <c r="N151" i="34"/>
  <c r="AD151" i="34"/>
  <c r="AT151" i="34"/>
  <c r="BJ151" i="34"/>
  <c r="N152" i="34"/>
  <c r="V152" i="34"/>
  <c r="K153" i="34"/>
  <c r="S153" i="34"/>
  <c r="Z153" i="34"/>
  <c r="I155" i="34"/>
  <c r="N155" i="34"/>
  <c r="R155" i="34"/>
  <c r="V155" i="34"/>
  <c r="Z155" i="34"/>
  <c r="H147" i="34"/>
  <c r="H151" i="34"/>
  <c r="I144" i="34"/>
  <c r="U145" i="34"/>
  <c r="J146" i="34"/>
  <c r="Z146" i="34"/>
  <c r="O147" i="34"/>
  <c r="T148" i="34"/>
  <c r="I149" i="34"/>
  <c r="Y149" i="34"/>
  <c r="N150" i="34"/>
  <c r="AD150" i="34"/>
  <c r="AT150" i="34"/>
  <c r="BJ150" i="34"/>
  <c r="R151" i="34"/>
  <c r="AH151" i="34"/>
  <c r="AX151" i="34"/>
  <c r="BN151" i="34"/>
  <c r="O152" i="34"/>
  <c r="W152" i="34"/>
  <c r="L153" i="34"/>
  <c r="T153" i="34"/>
  <c r="AA153" i="34"/>
  <c r="K155" i="34"/>
  <c r="O155" i="34"/>
  <c r="S155" i="34"/>
  <c r="W155" i="34"/>
  <c r="AA155" i="34"/>
  <c r="H148" i="34"/>
  <c r="H152" i="34"/>
  <c r="N144" i="34"/>
  <c r="I145" i="34"/>
  <c r="Y145" i="34"/>
  <c r="N146" i="34"/>
  <c r="S147" i="34"/>
  <c r="X148" i="34"/>
  <c r="M149" i="34"/>
  <c r="AC149" i="34"/>
  <c r="R150" i="34"/>
  <c r="AH150" i="34"/>
  <c r="AX150" i="34"/>
  <c r="BN150" i="34"/>
  <c r="V151" i="34"/>
  <c r="AL151" i="34"/>
  <c r="BB151" i="34"/>
  <c r="J152" i="34"/>
  <c r="R152" i="34"/>
  <c r="Z152" i="34"/>
  <c r="O153" i="34"/>
  <c r="W153" i="34"/>
  <c r="AB153" i="34"/>
  <c r="L155" i="34"/>
  <c r="P155" i="34"/>
  <c r="T155" i="34"/>
  <c r="X155" i="34"/>
  <c r="AB155" i="34"/>
  <c r="H145" i="34"/>
  <c r="H149" i="34"/>
  <c r="H153" i="34"/>
  <c r="S144" i="34"/>
  <c r="M145" i="34"/>
  <c r="AC145" i="34"/>
  <c r="R146" i="34"/>
  <c r="W147" i="34"/>
  <c r="L148" i="34"/>
  <c r="AB148" i="34"/>
  <c r="Q149" i="34"/>
  <c r="V150" i="34"/>
  <c r="AL150" i="34"/>
  <c r="BB150" i="34"/>
  <c r="J151" i="34"/>
  <c r="Z151" i="34"/>
  <c r="AP151" i="34"/>
  <c r="BF151" i="34"/>
  <c r="K152" i="34"/>
  <c r="S152" i="34"/>
  <c r="AA152" i="34"/>
  <c r="P153" i="34"/>
  <c r="X153" i="34"/>
  <c r="M155" i="34"/>
  <c r="Q155" i="34"/>
  <c r="U155" i="34"/>
  <c r="Y155" i="34"/>
  <c r="AC155" i="34"/>
  <c r="H146" i="34"/>
  <c r="H150" i="34"/>
  <c r="H155" i="34"/>
  <c r="BG144" i="34"/>
  <c r="H154" i="34"/>
  <c r="AP152" i="34"/>
  <c r="AZ146" i="34"/>
  <c r="BC147" i="34"/>
  <c r="BP152" i="34"/>
  <c r="AU154" i="34"/>
  <c r="AQ144" i="34"/>
  <c r="BN144" i="34"/>
  <c r="AU147" i="34"/>
  <c r="AQ154" i="34"/>
  <c r="AK145" i="34"/>
  <c r="BK147" i="34"/>
  <c r="AM153" i="34"/>
  <c r="AY154" i="34"/>
  <c r="AM144" i="34"/>
  <c r="AK149" i="34"/>
  <c r="BG153" i="34"/>
  <c r="AL155" i="34"/>
  <c r="AN146" i="34"/>
  <c r="AX144" i="34"/>
  <c r="AV149" i="34"/>
  <c r="AX147" i="34"/>
  <c r="AZ145" i="34"/>
  <c r="BG149" i="34"/>
  <c r="BI147" i="34"/>
  <c r="BK145" i="34"/>
  <c r="AD155" i="34"/>
  <c r="AD154" i="34"/>
  <c r="AD149" i="34"/>
  <c r="AI153" i="34"/>
  <c r="BM146" i="34"/>
  <c r="BB152" i="34"/>
  <c r="AB154" i="34"/>
  <c r="BK155" i="34"/>
  <c r="AO149" i="34"/>
  <c r="BI153" i="34"/>
  <c r="AJ155" i="34"/>
  <c r="AZ147" i="34"/>
  <c r="BO152" i="34"/>
  <c r="AT154" i="34"/>
  <c r="BJ144" i="34"/>
  <c r="BH149" i="34"/>
  <c r="BJ147" i="34"/>
  <c r="BL145" i="34"/>
  <c r="AL152" i="34"/>
  <c r="AN148" i="34"/>
  <c r="AP146" i="34"/>
  <c r="AR144" i="34"/>
  <c r="AE144" i="34"/>
  <c r="AH155" i="34"/>
  <c r="AI155" i="34"/>
  <c r="BF145" i="34"/>
  <c r="AK152" i="34"/>
  <c r="P154" i="34"/>
  <c r="AY155" i="34"/>
  <c r="AX148" i="34"/>
  <c r="AW153" i="34"/>
  <c r="BE154" i="34"/>
  <c r="BI146" i="34"/>
  <c r="AZ152" i="34"/>
  <c r="Z154" i="34"/>
  <c r="BM155" i="34"/>
  <c r="BD149" i="34"/>
  <c r="BF147" i="34"/>
  <c r="BH145" i="34"/>
  <c r="BO149" i="34"/>
  <c r="AJ148" i="34"/>
  <c r="AL146" i="34"/>
  <c r="AN144" i="34"/>
  <c r="AF155" i="34"/>
  <c r="AF154" i="34"/>
  <c r="AE155" i="34"/>
  <c r="AO146" i="34"/>
  <c r="AR152" i="34"/>
  <c r="T154" i="34"/>
  <c r="BC155" i="34"/>
  <c r="BF148" i="34"/>
  <c r="BA153" i="34"/>
  <c r="BI154" i="34"/>
  <c r="AJ147" i="34"/>
  <c r="BE152" i="34"/>
  <c r="AL154" i="34"/>
  <c r="BB144" i="34"/>
  <c r="AU153" i="34"/>
  <c r="BA145" i="34"/>
  <c r="BB148" i="34"/>
  <c r="AY153" i="34"/>
  <c r="BK154" i="34"/>
  <c r="AV146" i="34"/>
  <c r="AS149" i="34"/>
  <c r="AP155" i="34"/>
  <c r="BJ148" i="34"/>
  <c r="BC153" i="34"/>
  <c r="BO154" i="34"/>
  <c r="AR146" i="34"/>
  <c r="BB145" i="34"/>
  <c r="AJ152" i="34"/>
  <c r="O154" i="34"/>
  <c r="BB155" i="34"/>
  <c r="BE145" i="34"/>
  <c r="BK152" i="34"/>
  <c r="BM148" i="34"/>
  <c r="BO146" i="34"/>
  <c r="AJ145" i="34"/>
  <c r="AQ149" i="34"/>
  <c r="AS147" i="34"/>
  <c r="AU145" i="34"/>
  <c r="AH147" i="34"/>
  <c r="AF149" i="34"/>
  <c r="AD145" i="34"/>
  <c r="AE149" i="34"/>
  <c r="BL147" i="34"/>
  <c r="AN153" i="34"/>
  <c r="AV154" i="34"/>
  <c r="BJ145" i="34"/>
  <c r="AN152" i="34"/>
  <c r="Q154" i="34"/>
  <c r="AZ155" i="34"/>
  <c r="AY148" i="34"/>
  <c r="AX153" i="34"/>
  <c r="BJ154" i="34"/>
  <c r="AT144" i="34"/>
  <c r="AR149" i="34"/>
  <c r="AT147" i="34"/>
  <c r="AV145" i="34"/>
  <c r="BC149" i="34"/>
  <c r="BE147" i="34"/>
  <c r="BG145" i="34"/>
  <c r="AH153" i="34"/>
  <c r="AF153" i="34"/>
  <c r="AF148" i="34"/>
  <c r="AE153" i="34"/>
  <c r="AN147" i="34"/>
  <c r="BH152" i="34"/>
  <c r="AJ154" i="34"/>
  <c r="BO155" i="34"/>
  <c r="AW149" i="34"/>
  <c r="BM153" i="34"/>
  <c r="AN155" i="34"/>
  <c r="BH147" i="34"/>
  <c r="AL153" i="34"/>
  <c r="AX154" i="34"/>
  <c r="AP144" i="34"/>
  <c r="AN149" i="34"/>
  <c r="AP147" i="34"/>
  <c r="AR145" i="34"/>
  <c r="AY149" i="34"/>
  <c r="BA147" i="34"/>
  <c r="BC145" i="34"/>
  <c r="AD153" i="34"/>
  <c r="AH152" i="34"/>
  <c r="AD147" i="34"/>
  <c r="AG152" i="34"/>
  <c r="AV147" i="34"/>
  <c r="BM152" i="34"/>
  <c r="AN154" i="34"/>
  <c r="BK144" i="34"/>
  <c r="BE149" i="34"/>
  <c r="AK146" i="34"/>
  <c r="S154" i="34"/>
  <c r="BC144" i="34"/>
  <c r="BA149" i="34"/>
  <c r="BO153" i="34"/>
  <c r="AT155" i="34"/>
  <c r="BM145" i="34"/>
  <c r="BL152" i="34"/>
  <c r="AU144" i="34"/>
  <c r="AL145" i="34"/>
  <c r="BI149" i="34"/>
  <c r="K154" i="34"/>
  <c r="AX155" i="34"/>
  <c r="BI145" i="34"/>
  <c r="AM147" i="34"/>
  <c r="BF152" i="34"/>
  <c r="AM154" i="34"/>
  <c r="AY144" i="34"/>
  <c r="AO145" i="34"/>
  <c r="AU152" i="34"/>
  <c r="AW148" i="34"/>
  <c r="AY146" i="34"/>
  <c r="BA144" i="34"/>
  <c r="BH148" i="34"/>
  <c r="BJ146" i="34"/>
  <c r="BL144" i="34"/>
  <c r="AE154" i="34"/>
  <c r="AH146" i="34"/>
  <c r="AG149" i="34"/>
  <c r="AG146" i="34"/>
  <c r="BK148" i="34"/>
  <c r="BD153" i="34"/>
  <c r="BL154" i="34"/>
  <c r="AQ147" i="34"/>
  <c r="BI152" i="34"/>
  <c r="AK154" i="34"/>
  <c r="BP155" i="34"/>
  <c r="AX149" i="34"/>
  <c r="BN153" i="34"/>
  <c r="AS155" i="34"/>
  <c r="BG152" i="34"/>
  <c r="BI148" i="34"/>
  <c r="BK146" i="34"/>
  <c r="BM144" i="34"/>
  <c r="AM149" i="34"/>
  <c r="AO147" i="34"/>
  <c r="AQ145" i="34"/>
  <c r="AF146" i="34"/>
  <c r="AH148" i="34"/>
  <c r="AI154" i="34"/>
  <c r="AG148" i="34"/>
  <c r="AM148" i="34"/>
  <c r="AR153" i="34"/>
  <c r="AZ154" i="34"/>
  <c r="AS146" i="34"/>
  <c r="AS152" i="34"/>
  <c r="U154" i="34"/>
  <c r="BD155" i="34"/>
  <c r="BG148" i="34"/>
  <c r="BB153" i="34"/>
  <c r="BN154" i="34"/>
  <c r="BC152" i="34"/>
  <c r="BE148" i="34"/>
  <c r="BG146" i="34"/>
  <c r="BI144" i="34"/>
  <c r="BP148" i="34"/>
  <c r="AK147" i="34"/>
  <c r="AM145" i="34"/>
  <c r="AF144" i="34"/>
  <c r="AD148" i="34"/>
  <c r="AG153" i="34"/>
  <c r="AI147" i="34"/>
  <c r="AU148" i="34"/>
  <c r="AV153" i="34"/>
  <c r="BD154" i="34"/>
  <c r="BH146" i="34"/>
  <c r="AX152" i="34"/>
  <c r="AT148" i="34"/>
  <c r="BF155" i="34"/>
  <c r="BA146" i="34"/>
  <c r="AV152" i="34"/>
  <c r="W154" i="34"/>
  <c r="BJ155" i="34"/>
  <c r="AW145" i="34"/>
  <c r="BK153" i="34"/>
  <c r="AJ146" i="34"/>
  <c r="BL146" i="34"/>
  <c r="BA152" i="34"/>
  <c r="AA154" i="34"/>
  <c r="BN155" i="34"/>
  <c r="AS145" i="34"/>
  <c r="BG154" i="34"/>
  <c r="AL148" i="34"/>
  <c r="AQ153" i="34"/>
  <c r="BC154" i="34"/>
  <c r="BD146" i="34"/>
  <c r="BF144" i="34"/>
  <c r="BL149" i="34"/>
  <c r="BN147" i="34"/>
  <c r="BP145" i="34"/>
  <c r="AK144" i="34"/>
  <c r="AR148" i="34"/>
  <c r="AT146" i="34"/>
  <c r="AV144" i="34"/>
  <c r="AE146" i="34"/>
  <c r="AI144" i="34"/>
  <c r="AP145" i="34"/>
  <c r="BJ149" i="34"/>
  <c r="L154" i="34"/>
  <c r="AU155" i="34"/>
  <c r="AP148" i="34"/>
  <c r="AS153" i="34"/>
  <c r="BA154" i="34"/>
  <c r="AW146" i="34"/>
  <c r="AT152" i="34"/>
  <c r="V154" i="34"/>
  <c r="BI155" i="34"/>
  <c r="AQ152" i="34"/>
  <c r="AS148" i="34"/>
  <c r="AU146" i="34"/>
  <c r="AW144" i="34"/>
  <c r="BD148" i="34"/>
  <c r="BF146" i="34"/>
  <c r="BH144" i="34"/>
  <c r="AI152" i="34"/>
  <c r="AD146" i="34"/>
  <c r="AE148" i="34"/>
  <c r="AI145" i="34"/>
  <c r="AL149" i="34"/>
  <c r="BH153" i="34"/>
  <c r="BP154" i="34"/>
  <c r="AY147" i="34"/>
  <c r="BN152" i="34"/>
  <c r="AO154" i="34"/>
  <c r="BO144" i="34"/>
  <c r="BF149" i="34"/>
  <c r="J154" i="34"/>
  <c r="AW155" i="34"/>
  <c r="AM152" i="34"/>
  <c r="AO148" i="34"/>
  <c r="AQ146" i="34"/>
  <c r="AS144" i="34"/>
  <c r="AZ148" i="34"/>
  <c r="BB146" i="34"/>
  <c r="BD144" i="34"/>
  <c r="AI148" i="34"/>
  <c r="AF145" i="34"/>
  <c r="AI146" i="34"/>
  <c r="AE145" i="34"/>
  <c r="AT149" i="34"/>
  <c r="BL153" i="34"/>
  <c r="AM155" i="34"/>
  <c r="BG147" i="34"/>
  <c r="AK153" i="34"/>
  <c r="I154" i="34"/>
  <c r="BH155" i="34"/>
  <c r="BN149" i="34"/>
  <c r="BB154" i="34"/>
  <c r="AY152" i="34"/>
  <c r="BA148" i="34"/>
  <c r="BC146" i="34"/>
  <c r="BE144" i="34"/>
  <c r="BL148" i="34"/>
  <c r="BN146" i="34"/>
  <c r="BP144" i="34"/>
  <c r="AG155" i="34"/>
  <c r="AF147" i="34"/>
  <c r="AE152" i="34"/>
  <c r="AE147" i="34"/>
  <c r="BC148" i="34"/>
  <c r="AZ153" i="34"/>
  <c r="BH154" i="34"/>
  <c r="BP146" i="34"/>
  <c r="BD152" i="34"/>
  <c r="AC154" i="34"/>
  <c r="BL155" i="34"/>
  <c r="AP149" i="34"/>
  <c r="BJ153" i="34"/>
  <c r="Y154" i="34"/>
  <c r="AX145" i="34"/>
  <c r="AP153" i="34"/>
  <c r="AK155" i="34"/>
  <c r="BP149" i="34"/>
  <c r="AK148" i="34"/>
  <c r="AM146" i="34"/>
  <c r="AO144" i="34"/>
  <c r="AV148" i="34"/>
  <c r="AX146" i="34"/>
  <c r="AZ144" i="34"/>
  <c r="AG147" i="34"/>
  <c r="AH144" i="34"/>
  <c r="AG145" i="34"/>
  <c r="AG144" i="34"/>
  <c r="BB149" i="34"/>
  <c r="BP153" i="34"/>
  <c r="AQ155" i="34"/>
  <c r="BO147" i="34"/>
  <c r="AO153" i="34"/>
  <c r="AW154" i="34"/>
  <c r="BN145" i="34"/>
  <c r="AO152" i="34"/>
  <c r="R154" i="34"/>
  <c r="BE155" i="34"/>
  <c r="BM154" i="34"/>
  <c r="BJ152" i="34"/>
  <c r="AO155" i="34"/>
  <c r="AS154" i="34"/>
  <c r="BP147" i="34"/>
  <c r="BF153" i="34"/>
  <c r="BA155" i="34"/>
  <c r="AZ149" i="34"/>
  <c r="BB147" i="34"/>
  <c r="BD145" i="34"/>
  <c r="BK149" i="34"/>
  <c r="BM147" i="34"/>
  <c r="BO145" i="34"/>
  <c r="AJ144" i="34"/>
  <c r="AH154" i="34"/>
  <c r="AF152" i="34"/>
  <c r="AG154" i="34"/>
  <c r="BE146" i="34"/>
  <c r="AW152" i="34"/>
  <c r="X154" i="34"/>
  <c r="BG155" i="34"/>
  <c r="BN148" i="34"/>
  <c r="BE153" i="34"/>
  <c r="AR147" i="34"/>
  <c r="AP154" i="34"/>
  <c r="AR155" i="34"/>
  <c r="BO148" i="34"/>
  <c r="N154" i="34"/>
  <c r="AL144" i="34"/>
  <c r="AJ149" i="34"/>
  <c r="AL147" i="34"/>
  <c r="AN145" i="34"/>
  <c r="AU149" i="34"/>
  <c r="AW147" i="34"/>
  <c r="AY145" i="34"/>
  <c r="AH149" i="34"/>
  <c r="AD152" i="34"/>
  <c r="AH145" i="34"/>
  <c r="AI149" i="34"/>
  <c r="BD147" i="34"/>
  <c r="AJ153" i="34"/>
  <c r="AR154" i="34"/>
  <c r="AT145" i="34"/>
  <c r="BM149" i="34"/>
  <c r="M154" i="34"/>
  <c r="AV155" i="34"/>
  <c r="AQ148" i="34"/>
  <c r="AT153" i="34"/>
  <c r="BF154" i="34"/>
  <c r="H144" i="34"/>
  <c r="M5" i="47"/>
  <c r="L4" i="50" s="1"/>
  <c r="L4" i="57" s="1"/>
  <c r="B93" i="36"/>
  <c r="E129" i="34"/>
  <c r="A91" i="36"/>
  <c r="A95" i="36"/>
  <c r="A97" i="36" s="1"/>
  <c r="B89" i="36"/>
  <c r="A89" i="36"/>
  <c r="B91" i="36"/>
  <c r="L48" i="45" l="1"/>
  <c r="AV48" i="45"/>
  <c r="O48" i="45"/>
  <c r="AS48" i="45"/>
  <c r="BK48" i="45"/>
  <c r="AZ48" i="45"/>
  <c r="T48" i="45"/>
  <c r="AF48" i="45"/>
  <c r="AM48" i="45"/>
  <c r="BM48" i="45"/>
  <c r="Q48" i="45"/>
  <c r="BE48" i="45"/>
  <c r="K48" i="45"/>
  <c r="S48" i="45"/>
  <c r="BG48" i="45"/>
  <c r="AP48" i="45"/>
  <c r="AW48" i="45"/>
  <c r="X48" i="45"/>
  <c r="AT48" i="45"/>
  <c r="P48" i="45"/>
  <c r="J48" i="45"/>
  <c r="AA48" i="45"/>
  <c r="R48" i="45"/>
  <c r="Y48" i="45"/>
  <c r="AC48" i="45"/>
  <c r="BA48" i="45"/>
  <c r="BJ48" i="45"/>
  <c r="AX48" i="45"/>
  <c r="U48" i="45"/>
  <c r="V48" i="45"/>
  <c r="I48" i="45"/>
  <c r="W48" i="45"/>
  <c r="AU48" i="45"/>
  <c r="BB48" i="45"/>
  <c r="AQ48" i="45"/>
  <c r="BD48" i="45"/>
  <c r="AE48" i="45"/>
  <c r="N48" i="45"/>
  <c r="BI48" i="45"/>
  <c r="AO48" i="45"/>
  <c r="BC48" i="45"/>
  <c r="AD48" i="45"/>
  <c r="G48" i="45"/>
  <c r="AH48" i="45"/>
  <c r="AI48" i="45"/>
  <c r="BL48" i="45"/>
  <c r="BF48" i="45"/>
  <c r="AJ48" i="45"/>
  <c r="H48" i="45"/>
  <c r="BH48" i="45"/>
  <c r="F48" i="45"/>
  <c r="AR48" i="45"/>
  <c r="AL48" i="45"/>
  <c r="M48" i="45"/>
  <c r="BN48" i="45"/>
  <c r="AG48" i="45"/>
  <c r="AK48" i="45"/>
  <c r="AD19" i="50"/>
  <c r="AD20" i="50" s="1"/>
  <c r="AD21" i="50" s="1"/>
  <c r="AH19" i="50"/>
  <c r="AH20" i="50" s="1"/>
  <c r="AH21" i="50" s="1"/>
  <c r="AL19" i="50"/>
  <c r="AL20" i="50" s="1"/>
  <c r="AL21" i="50" s="1"/>
  <c r="AE19" i="50"/>
  <c r="AE20" i="50" s="1"/>
  <c r="AE21" i="50" s="1"/>
  <c r="AZ19" i="50"/>
  <c r="AZ20" i="50" s="1"/>
  <c r="AZ21" i="50" s="1"/>
  <c r="AJ19" i="50"/>
  <c r="AJ20" i="50" s="1"/>
  <c r="AJ21" i="50" s="1"/>
  <c r="AU19" i="50"/>
  <c r="AU20" i="50" s="1"/>
  <c r="AU21" i="50" s="1"/>
  <c r="AX19" i="50"/>
  <c r="AX20" i="50" s="1"/>
  <c r="AX21" i="50" s="1"/>
  <c r="Y19" i="50"/>
  <c r="Y20" i="50" s="1"/>
  <c r="Y21" i="50" s="1"/>
  <c r="AV19" i="50"/>
  <c r="AV20" i="50" s="1"/>
  <c r="AV21" i="50" s="1"/>
  <c r="BA19" i="50"/>
  <c r="BA20" i="50" s="1"/>
  <c r="BA21" i="50" s="1"/>
  <c r="BE19" i="50"/>
  <c r="BE20" i="50" s="1"/>
  <c r="BE21" i="50" s="1"/>
  <c r="AK19" i="50"/>
  <c r="AK20" i="50" s="1"/>
  <c r="AK21" i="50" s="1"/>
  <c r="AQ19" i="50"/>
  <c r="AQ20" i="50" s="1"/>
  <c r="AQ21" i="50" s="1"/>
  <c r="AO19" i="50"/>
  <c r="AO20" i="50" s="1"/>
  <c r="AO21" i="50" s="1"/>
  <c r="AS19" i="50"/>
  <c r="AS20" i="50" s="1"/>
  <c r="AS21" i="50" s="1"/>
  <c r="AW19" i="50"/>
  <c r="AW20" i="50" s="1"/>
  <c r="AW21" i="50" s="1"/>
  <c r="AC19" i="50"/>
  <c r="AC20" i="50" s="1"/>
  <c r="AC21" i="50" s="1"/>
  <c r="AP19" i="50"/>
  <c r="AP20" i="50" s="1"/>
  <c r="AP21" i="50" s="1"/>
  <c r="AN19" i="50"/>
  <c r="AN20" i="50" s="1"/>
  <c r="AN21" i="50" s="1"/>
  <c r="AT19" i="50"/>
  <c r="AT20" i="50" s="1"/>
  <c r="AT21" i="50" s="1"/>
  <c r="BI19" i="50"/>
  <c r="BI20" i="50" s="1"/>
  <c r="BI21" i="50" s="1"/>
  <c r="BB19" i="50"/>
  <c r="BB20" i="50" s="1"/>
  <c r="BB21" i="50" s="1"/>
  <c r="AG19" i="50"/>
  <c r="AG20" i="50" s="1"/>
  <c r="AG21" i="50" s="1"/>
  <c r="Z19" i="50"/>
  <c r="Z20" i="50" s="1"/>
  <c r="Z21" i="50" s="1"/>
  <c r="BF19" i="50"/>
  <c r="BF20" i="50" s="1"/>
  <c r="BF21" i="50" s="1"/>
  <c r="AM19" i="50"/>
  <c r="AM20" i="50" s="1"/>
  <c r="AM21" i="50" s="1"/>
  <c r="AB19" i="50"/>
  <c r="AB20" i="50" s="1"/>
  <c r="AB21" i="50" s="1"/>
  <c r="AY19" i="50"/>
  <c r="AY20" i="50" s="1"/>
  <c r="AY21" i="50" s="1"/>
  <c r="BC19" i="50"/>
  <c r="BC20" i="50" s="1"/>
  <c r="BC21" i="50" s="1"/>
  <c r="BG19" i="50"/>
  <c r="BG20" i="50" s="1"/>
  <c r="BG21" i="50" s="1"/>
  <c r="AI19" i="50"/>
  <c r="AI20" i="50" s="1"/>
  <c r="AI21" i="50" s="1"/>
  <c r="AA19" i="50"/>
  <c r="AA20" i="50" s="1"/>
  <c r="AA21" i="50" s="1"/>
  <c r="BD19" i="50"/>
  <c r="BD20" i="50" s="1"/>
  <c r="BD21" i="50" s="1"/>
  <c r="AR19" i="50"/>
  <c r="AR20" i="50" s="1"/>
  <c r="AR21" i="50" s="1"/>
  <c r="BH19" i="50"/>
  <c r="BH20" i="50" s="1"/>
  <c r="BH21" i="50" s="1"/>
  <c r="AF19" i="50"/>
  <c r="AF20" i="50" s="1"/>
  <c r="AF21" i="50" s="1"/>
  <c r="BK19" i="50"/>
  <c r="BK20" i="50" s="1"/>
  <c r="BK21" i="50" s="1"/>
  <c r="BJ19" i="50"/>
  <c r="BJ20" i="50" s="1"/>
  <c r="BJ21" i="50" s="1"/>
  <c r="AS5" i="50"/>
  <c r="AS8" i="50" s="1"/>
  <c r="AX5" i="50"/>
  <c r="AX8" i="50" s="1"/>
  <c r="BE5" i="50"/>
  <c r="BE8" i="50" s="1"/>
  <c r="AP5" i="50"/>
  <c r="AP8" i="50" s="1"/>
  <c r="AB5" i="50"/>
  <c r="AB8" i="50" s="1"/>
  <c r="AR5" i="50"/>
  <c r="AR8" i="50" s="1"/>
  <c r="AQ5" i="50"/>
  <c r="AQ8" i="50" s="1"/>
  <c r="AV5" i="50"/>
  <c r="AV8" i="50" s="1"/>
  <c r="AW5" i="50"/>
  <c r="AW8" i="50" s="1"/>
  <c r="AL5" i="50"/>
  <c r="AL8" i="50" s="1"/>
  <c r="AG5" i="50"/>
  <c r="AG8" i="50" s="1"/>
  <c r="AM5" i="50"/>
  <c r="AM8" i="50" s="1"/>
  <c r="AM9" i="50" s="1"/>
  <c r="AR10" i="36" s="1"/>
  <c r="BD5" i="50"/>
  <c r="BD8" i="50" s="1"/>
  <c r="BH5" i="50"/>
  <c r="BH8" i="50" s="1"/>
  <c r="BJ5" i="50"/>
  <c r="BJ8" i="50" s="1"/>
  <c r="BG5" i="50"/>
  <c r="BG8" i="50" s="1"/>
  <c r="AU5" i="50"/>
  <c r="AU8" i="50" s="1"/>
  <c r="BK5" i="50"/>
  <c r="BK8" i="50" s="1"/>
  <c r="AI5" i="50"/>
  <c r="AI8" i="50" s="1"/>
  <c r="AI9" i="50" s="1"/>
  <c r="AN10" i="36" s="1"/>
  <c r="AH5" i="50"/>
  <c r="AH8" i="50" s="1"/>
  <c r="AH9" i="50" s="1"/>
  <c r="AM10" i="36" s="1"/>
  <c r="AK5" i="50"/>
  <c r="AK8" i="50" s="1"/>
  <c r="BB5" i="50"/>
  <c r="BB8" i="50" s="1"/>
  <c r="BF5" i="50"/>
  <c r="BF8" i="50" s="1"/>
  <c r="BI5" i="50"/>
  <c r="BI8" i="50" s="1"/>
  <c r="AT5" i="50"/>
  <c r="AT8" i="50" s="1"/>
  <c r="Y5" i="50"/>
  <c r="Y8" i="50" s="1"/>
  <c r="AZ5" i="50"/>
  <c r="AZ8" i="50" s="1"/>
  <c r="AE5" i="50"/>
  <c r="AE8" i="50" s="1"/>
  <c r="AY5" i="50"/>
  <c r="AY8" i="50" s="1"/>
  <c r="BC5" i="50"/>
  <c r="BC8" i="50" s="1"/>
  <c r="BA5" i="50"/>
  <c r="BA8" i="50" s="1"/>
  <c r="AO5" i="50"/>
  <c r="AO8" i="50" s="1"/>
  <c r="AO9" i="50" s="1"/>
  <c r="AT10" i="36" s="1"/>
  <c r="AN5" i="50"/>
  <c r="AN8" i="50" s="1"/>
  <c r="AN9" i="50" s="1"/>
  <c r="AS10" i="36" s="1"/>
  <c r="Z5" i="50"/>
  <c r="Z8" i="50" s="1"/>
  <c r="AC5" i="50"/>
  <c r="AC8" i="50" s="1"/>
  <c r="AA5" i="50"/>
  <c r="AA8" i="50" s="1"/>
  <c r="AD5" i="50"/>
  <c r="AF5" i="50"/>
  <c r="AF8" i="50" s="1"/>
  <c r="AJ5" i="50"/>
  <c r="AJ8" i="50" s="1"/>
  <c r="AP42" i="36"/>
  <c r="AO83" i="36"/>
  <c r="AI12" i="50"/>
  <c r="AI13" i="50" s="1"/>
  <c r="AS12" i="50"/>
  <c r="AS13" i="50" s="1"/>
  <c r="AD12" i="50"/>
  <c r="AD13" i="50" s="1"/>
  <c r="BI14" i="50"/>
  <c r="AK14" i="50"/>
  <c r="AA14" i="50"/>
  <c r="AG12" i="50"/>
  <c r="AG13" i="50" s="1"/>
  <c r="BF14" i="50"/>
  <c r="AE12" i="50"/>
  <c r="AE13" i="50" s="1"/>
  <c r="BE14" i="50"/>
  <c r="BD12" i="50"/>
  <c r="BD13" i="50" s="1"/>
  <c r="BF12" i="50"/>
  <c r="BF13" i="50" s="1"/>
  <c r="AZ12" i="50"/>
  <c r="AZ13" i="50" s="1"/>
  <c r="BA12" i="50"/>
  <c r="BA13" i="50" s="1"/>
  <c r="AD14" i="50"/>
  <c r="AP14" i="50"/>
  <c r="AI14" i="50"/>
  <c r="AF14" i="50"/>
  <c r="AV14" i="50"/>
  <c r="AY12" i="50"/>
  <c r="AY13" i="50" s="1"/>
  <c r="AR12" i="50"/>
  <c r="AR13" i="50" s="1"/>
  <c r="AP12" i="50"/>
  <c r="AP13" i="50" s="1"/>
  <c r="AQ12" i="50"/>
  <c r="AQ13" i="50" s="1"/>
  <c r="AK12" i="50"/>
  <c r="AK13" i="50" s="1"/>
  <c r="AM14" i="50"/>
  <c r="AT14" i="50"/>
  <c r="AR14" i="50"/>
  <c r="AH12" i="50"/>
  <c r="AH13" i="50" s="1"/>
  <c r="AC12" i="50"/>
  <c r="AC13" i="50" s="1"/>
  <c r="BI12" i="50"/>
  <c r="BI13" i="50" s="1"/>
  <c r="BG12" i="50"/>
  <c r="BG13" i="50" s="1"/>
  <c r="Z12" i="50"/>
  <c r="Z13" i="50" s="1"/>
  <c r="AA12" i="50"/>
  <c r="AA13" i="50" s="1"/>
  <c r="AJ12" i="50"/>
  <c r="AJ13" i="50" s="1"/>
  <c r="AU14" i="50"/>
  <c r="AX14" i="50"/>
  <c r="AZ14" i="50"/>
  <c r="AV12" i="50"/>
  <c r="AV13" i="50" s="1"/>
  <c r="BK14" i="50"/>
  <c r="Y14" i="50"/>
  <c r="AH14" i="50"/>
  <c r="BG14" i="50"/>
  <c r="AB12" i="50"/>
  <c r="AB13" i="50" s="1"/>
  <c r="AW12" i="50"/>
  <c r="AW13" i="50" s="1"/>
  <c r="AX12" i="50"/>
  <c r="AX13" i="50" s="1"/>
  <c r="AB14" i="50"/>
  <c r="BC14" i="50"/>
  <c r="BB14" i="50"/>
  <c r="BD14" i="50"/>
  <c r="AF12" i="50"/>
  <c r="AF13" i="50" s="1"/>
  <c r="AG14" i="50"/>
  <c r="BK12" i="50"/>
  <c r="BK13" i="50" s="1"/>
  <c r="BH12" i="50"/>
  <c r="BH13" i="50" s="1"/>
  <c r="BE12" i="50"/>
  <c r="BE13" i="50" s="1"/>
  <c r="AJ14" i="50"/>
  <c r="AE14" i="50"/>
  <c r="BJ14" i="50"/>
  <c r="AL14" i="50"/>
  <c r="AN12" i="50"/>
  <c r="AN13" i="50" s="1"/>
  <c r="AU12" i="50"/>
  <c r="AU13" i="50" s="1"/>
  <c r="AO12" i="50"/>
  <c r="AO13" i="50" s="1"/>
  <c r="AO14" i="50"/>
  <c r="AN14" i="50"/>
  <c r="Z14" i="50"/>
  <c r="AS14" i="50"/>
  <c r="AT12" i="50"/>
  <c r="AT13" i="50" s="1"/>
  <c r="BC12" i="50"/>
  <c r="BC13" i="50" s="1"/>
  <c r="BB12" i="50"/>
  <c r="BB13" i="50" s="1"/>
  <c r="AM12" i="50"/>
  <c r="AM13" i="50" s="1"/>
  <c r="AW14" i="50"/>
  <c r="BH14" i="50"/>
  <c r="AQ14" i="50"/>
  <c r="Y12" i="50"/>
  <c r="Y13" i="50" s="1"/>
  <c r="AL12" i="50"/>
  <c r="AL13" i="50" s="1"/>
  <c r="BJ12" i="50"/>
  <c r="BJ13" i="50" s="1"/>
  <c r="BA14" i="50"/>
  <c r="AC14" i="50"/>
  <c r="AY14" i="50"/>
  <c r="AL22" i="50"/>
  <c r="BH22" i="50"/>
  <c r="AH22" i="50"/>
  <c r="AP22" i="50"/>
  <c r="AD22" i="50"/>
  <c r="AA22" i="50"/>
  <c r="AT22" i="50"/>
  <c r="Y22" i="50"/>
  <c r="AR22" i="50"/>
  <c r="AE22" i="50"/>
  <c r="BB22" i="50"/>
  <c r="AC22" i="50"/>
  <c r="AX22" i="50"/>
  <c r="BC22" i="50"/>
  <c r="AI22" i="50"/>
  <c r="BJ22" i="50"/>
  <c r="AG22" i="50"/>
  <c r="BF22" i="50"/>
  <c r="AF22" i="50"/>
  <c r="BA22" i="50"/>
  <c r="Z22" i="50"/>
  <c r="AM22" i="50"/>
  <c r="AB22" i="50"/>
  <c r="AK22" i="50"/>
  <c r="AQ22" i="50"/>
  <c r="AO22" i="50"/>
  <c r="BD22" i="50"/>
  <c r="AU22" i="50"/>
  <c r="AJ22" i="50"/>
  <c r="AS22" i="50"/>
  <c r="AY22" i="50"/>
  <c r="AN22" i="50"/>
  <c r="AW22" i="50"/>
  <c r="BI22" i="50"/>
  <c r="BG22" i="50"/>
  <c r="AV22" i="50"/>
  <c r="BE22" i="50"/>
  <c r="BK22" i="50"/>
  <c r="AZ22" i="50"/>
  <c r="AF39" i="50"/>
  <c r="AI39" i="50"/>
  <c r="AL39" i="50"/>
  <c r="AS39" i="50"/>
  <c r="AC39" i="50"/>
  <c r="BC39" i="50"/>
  <c r="BF39" i="50"/>
  <c r="BI39" i="50"/>
  <c r="AM39" i="50"/>
  <c r="AP39" i="50"/>
  <c r="BJ39" i="50"/>
  <c r="Z39" i="50"/>
  <c r="AT39" i="50"/>
  <c r="AW39" i="50"/>
  <c r="AZ39" i="50"/>
  <c r="AQ39" i="50"/>
  <c r="AR39" i="50"/>
  <c r="AY39" i="50"/>
  <c r="AA39" i="50"/>
  <c r="AD39" i="50"/>
  <c r="AG39" i="50"/>
  <c r="AJ39" i="50"/>
  <c r="BB39" i="50"/>
  <c r="AX39" i="50"/>
  <c r="BA39" i="50"/>
  <c r="BD39" i="50"/>
  <c r="BG39" i="50"/>
  <c r="BH39" i="50"/>
  <c r="AH39" i="50"/>
  <c r="AK39" i="50"/>
  <c r="AN39" i="50"/>
  <c r="BE39" i="50"/>
  <c r="BK39" i="50"/>
  <c r="AO39" i="50"/>
  <c r="AU39" i="50"/>
  <c r="Y39" i="50"/>
  <c r="AB39" i="50"/>
  <c r="AE39" i="50"/>
  <c r="AV39" i="50"/>
  <c r="Z34" i="50"/>
  <c r="AE34" i="50"/>
  <c r="AJ34" i="50"/>
  <c r="AS34" i="50"/>
  <c r="AD34" i="50"/>
  <c r="AI34" i="50"/>
  <c r="AN34" i="50"/>
  <c r="AW34" i="50"/>
  <c r="AH34" i="50"/>
  <c r="AM34" i="50"/>
  <c r="AR34" i="50"/>
  <c r="BE34" i="50"/>
  <c r="AL34" i="50"/>
  <c r="AQ34" i="50"/>
  <c r="AV34" i="50"/>
  <c r="AP34" i="50"/>
  <c r="AU34" i="50"/>
  <c r="AZ34" i="50"/>
  <c r="AC34" i="50"/>
  <c r="BA34" i="50"/>
  <c r="AT34" i="50"/>
  <c r="AY34" i="50"/>
  <c r="BD34" i="50"/>
  <c r="AX34" i="50"/>
  <c r="BC34" i="50"/>
  <c r="BH34" i="50"/>
  <c r="BF34" i="50"/>
  <c r="AG34" i="50"/>
  <c r="BB34" i="50"/>
  <c r="BG34" i="50"/>
  <c r="Y34" i="50"/>
  <c r="BK34" i="50"/>
  <c r="BJ34" i="50"/>
  <c r="BI34" i="50"/>
  <c r="AB34" i="50"/>
  <c r="AK34" i="50"/>
  <c r="AA34" i="50"/>
  <c r="AF34" i="50"/>
  <c r="AO34" i="50"/>
  <c r="AH51" i="50"/>
  <c r="AJ61" i="57"/>
  <c r="AK61" i="57"/>
  <c r="L5" i="47"/>
  <c r="K4" i="50" s="1"/>
  <c r="K4" i="57" s="1"/>
  <c r="AO51" i="50" l="1"/>
  <c r="AI51" i="50"/>
  <c r="AN51" i="50"/>
  <c r="AM51" i="50"/>
  <c r="AD8" i="50"/>
  <c r="AD51" i="50" s="1"/>
  <c r="AB9" i="50"/>
  <c r="AG10" i="36" s="1"/>
  <c r="AB51" i="50"/>
  <c r="AA9" i="50"/>
  <c r="AF10" i="36" s="1"/>
  <c r="AA51" i="50"/>
  <c r="AE9" i="50"/>
  <c r="AJ10" i="36" s="1"/>
  <c r="AE51" i="50"/>
  <c r="AC9" i="50"/>
  <c r="AH10" i="36" s="1"/>
  <c r="AC51" i="50"/>
  <c r="Z51" i="50"/>
  <c r="Z9" i="50"/>
  <c r="AE10" i="36" s="1"/>
  <c r="Y7" i="50"/>
  <c r="AM10" i="50"/>
  <c r="AO10" i="50"/>
  <c r="AQ42" i="36"/>
  <c r="AP83" i="36"/>
  <c r="AO13" i="36"/>
  <c r="AO14" i="36"/>
  <c r="AJ23" i="50"/>
  <c r="AJ24" i="50" s="1"/>
  <c r="AL13" i="36"/>
  <c r="AL14" i="36"/>
  <c r="AG23" i="50"/>
  <c r="AG24" i="50" s="1"/>
  <c r="AI14" i="36"/>
  <c r="AD23" i="50"/>
  <c r="AD24" i="50" s="1"/>
  <c r="AI13" i="36"/>
  <c r="AX13" i="36"/>
  <c r="AX14" i="36"/>
  <c r="AS23" i="50"/>
  <c r="AS24" i="50" s="1"/>
  <c r="AZ13" i="36"/>
  <c r="AU23" i="50"/>
  <c r="AU24" i="50" s="1"/>
  <c r="AZ14" i="36"/>
  <c r="BO13" i="36"/>
  <c r="BO14" i="36"/>
  <c r="BJ23" i="50"/>
  <c r="BJ24" i="50" s="1"/>
  <c r="AU13" i="36"/>
  <c r="AP23" i="50"/>
  <c r="AP24" i="50" s="1"/>
  <c r="AU14" i="36"/>
  <c r="AZ23" i="50"/>
  <c r="AZ24" i="50" s="1"/>
  <c r="BE14" i="36"/>
  <c r="BE13" i="36"/>
  <c r="BI14" i="36"/>
  <c r="BD23" i="50"/>
  <c r="BD24" i="50" s="1"/>
  <c r="BI13" i="36"/>
  <c r="AN13" i="36"/>
  <c r="AN14" i="36"/>
  <c r="AI23" i="50"/>
  <c r="AI24" i="50" s="1"/>
  <c r="AM13" i="36"/>
  <c r="AM14" i="36"/>
  <c r="AH23" i="50"/>
  <c r="AH24" i="50" s="1"/>
  <c r="BF23" i="50"/>
  <c r="BF24" i="50" s="1"/>
  <c r="BK13" i="36"/>
  <c r="BK14" i="36"/>
  <c r="BP14" i="36"/>
  <c r="BP13" i="36"/>
  <c r="BK23" i="50"/>
  <c r="BK24" i="50" s="1"/>
  <c r="AO23" i="50"/>
  <c r="AO24" i="50" s="1"/>
  <c r="AT13" i="36"/>
  <c r="AT14" i="36"/>
  <c r="BC23" i="50"/>
  <c r="BC24" i="50" s="1"/>
  <c r="BH14" i="36"/>
  <c r="BH13" i="36"/>
  <c r="BH23" i="50"/>
  <c r="BH24" i="50" s="1"/>
  <c r="BM14" i="36"/>
  <c r="BM13" i="36"/>
  <c r="BJ13" i="36"/>
  <c r="BE23" i="50"/>
  <c r="BE24" i="50" s="1"/>
  <c r="BJ14" i="36"/>
  <c r="AQ23" i="50"/>
  <c r="AQ24" i="50" s="1"/>
  <c r="AV13" i="36"/>
  <c r="AV14" i="36"/>
  <c r="AX23" i="50"/>
  <c r="AX24" i="50" s="1"/>
  <c r="BC13" i="36"/>
  <c r="BC14" i="36"/>
  <c r="AQ14" i="36"/>
  <c r="AL23" i="50"/>
  <c r="AL24" i="50" s="1"/>
  <c r="AQ13" i="36"/>
  <c r="AF14" i="36"/>
  <c r="AF13" i="36"/>
  <c r="AA23" i="50"/>
  <c r="AA24" i="50" s="1"/>
  <c r="BA14" i="36"/>
  <c r="AV23" i="50"/>
  <c r="AV24" i="50" s="1"/>
  <c r="BA13" i="36"/>
  <c r="AK23" i="50"/>
  <c r="AK24" i="50" s="1"/>
  <c r="AP13" i="36"/>
  <c r="AP14" i="36"/>
  <c r="AH14" i="36"/>
  <c r="AC23" i="50"/>
  <c r="AC24" i="50" s="1"/>
  <c r="AH13" i="36"/>
  <c r="BG23" i="50"/>
  <c r="BG24" i="50" s="1"/>
  <c r="BL14" i="36"/>
  <c r="BL13" i="36"/>
  <c r="AB23" i="50"/>
  <c r="AB24" i="50" s="1"/>
  <c r="AG14" i="36"/>
  <c r="AG13" i="36"/>
  <c r="BG14" i="36"/>
  <c r="BG13" i="36"/>
  <c r="BB23" i="50"/>
  <c r="BB24" i="50" s="1"/>
  <c r="BN13" i="36"/>
  <c r="BI23" i="50"/>
  <c r="BI24" i="50" s="1"/>
  <c r="BN14" i="36"/>
  <c r="AM23" i="50"/>
  <c r="AM24" i="50" s="1"/>
  <c r="AR14" i="36"/>
  <c r="AR13" i="36"/>
  <c r="AJ13" i="36"/>
  <c r="AE23" i="50"/>
  <c r="AE24" i="50" s="1"/>
  <c r="AJ14" i="36"/>
  <c r="BB13" i="36"/>
  <c r="AW23" i="50"/>
  <c r="AW24" i="50" s="1"/>
  <c r="BB14" i="36"/>
  <c r="AE14" i="36"/>
  <c r="Z23" i="50"/>
  <c r="Z24" i="50" s="1"/>
  <c r="AE13" i="36"/>
  <c r="AW14" i="36"/>
  <c r="AW13" i="36"/>
  <c r="AR23" i="50"/>
  <c r="AR24" i="50" s="1"/>
  <c r="AS13" i="36"/>
  <c r="AN23" i="50"/>
  <c r="AN24" i="50" s="1"/>
  <c r="AS14" i="36"/>
  <c r="BA23" i="50"/>
  <c r="BA24" i="50" s="1"/>
  <c r="BF13" i="36"/>
  <c r="BF14" i="36"/>
  <c r="AD13" i="36"/>
  <c r="Y23" i="50"/>
  <c r="Y24" i="50" s="1"/>
  <c r="AD14" i="36"/>
  <c r="BD14" i="36"/>
  <c r="AY23" i="50"/>
  <c r="AY24" i="50" s="1"/>
  <c r="BD13" i="36"/>
  <c r="AK14" i="36"/>
  <c r="AF23" i="50"/>
  <c r="AF24" i="50" s="1"/>
  <c r="AK13" i="36"/>
  <c r="AY14" i="36"/>
  <c r="AT23" i="50"/>
  <c r="AT24" i="50" s="1"/>
  <c r="AY13" i="36"/>
  <c r="AF15" i="36"/>
  <c r="AJ15" i="36"/>
  <c r="AN15" i="36"/>
  <c r="AR15" i="36"/>
  <c r="AV15" i="36"/>
  <c r="AZ15" i="36"/>
  <c r="BD15" i="36"/>
  <c r="BH15" i="36"/>
  <c r="BL15" i="36"/>
  <c r="BP15" i="36"/>
  <c r="AS15" i="36"/>
  <c r="BA15" i="36"/>
  <c r="BI15" i="36"/>
  <c r="BM15" i="36"/>
  <c r="BN15" i="36"/>
  <c r="AG15" i="36"/>
  <c r="AK15" i="36"/>
  <c r="AO15" i="36"/>
  <c r="AW15" i="36"/>
  <c r="BE15" i="36"/>
  <c r="AD15" i="36"/>
  <c r="AH15" i="36"/>
  <c r="AL15" i="36"/>
  <c r="AP15" i="36"/>
  <c r="AT15" i="36"/>
  <c r="AX15" i="36"/>
  <c r="BB15" i="36"/>
  <c r="BF15" i="36"/>
  <c r="AE15" i="36"/>
  <c r="AI15" i="36"/>
  <c r="AM15" i="36"/>
  <c r="AQ15" i="36"/>
  <c r="AU15" i="36"/>
  <c r="AY15" i="36"/>
  <c r="BC15" i="36"/>
  <c r="BG15" i="36"/>
  <c r="BK15" i="36"/>
  <c r="BO15" i="36"/>
  <c r="BJ15" i="36"/>
  <c r="AI10" i="50"/>
  <c r="AN10" i="50"/>
  <c r="AH10" i="50"/>
  <c r="AE35" i="50"/>
  <c r="Z32" i="50"/>
  <c r="Z53" i="50" s="1"/>
  <c r="AC32" i="50"/>
  <c r="AC53" i="50" s="1"/>
  <c r="AO32" i="50"/>
  <c r="AO53" i="50" s="1"/>
  <c r="AA32" i="50"/>
  <c r="AA53" i="50" s="1"/>
  <c r="AI32" i="50"/>
  <c r="AI53" i="50" s="1"/>
  <c r="AN32" i="50"/>
  <c r="AN53" i="50" s="1"/>
  <c r="AD32" i="50"/>
  <c r="AD53" i="50" s="1"/>
  <c r="AH32" i="50"/>
  <c r="AH53" i="50" s="1"/>
  <c r="AB32" i="50"/>
  <c r="AB53" i="50" s="1"/>
  <c r="AE32" i="50"/>
  <c r="AE53" i="50" s="1"/>
  <c r="AM32" i="50"/>
  <c r="AM53" i="50" s="1"/>
  <c r="K5" i="47"/>
  <c r="J4" i="50" s="1"/>
  <c r="J4" i="57" s="1"/>
  <c r="Z10" i="50" l="1"/>
  <c r="Z15" i="57" s="1"/>
  <c r="AA10" i="50"/>
  <c r="AA15" i="57" s="1"/>
  <c r="AB10" i="50"/>
  <c r="AB15" i="57" s="1"/>
  <c r="Y51" i="50"/>
  <c r="Y9" i="50"/>
  <c r="AD10" i="36" s="1"/>
  <c r="AE10" i="50"/>
  <c r="AC10" i="50"/>
  <c r="AC15" i="57" s="1"/>
  <c r="AD9" i="50"/>
  <c r="AI10" i="36" s="1"/>
  <c r="AR42" i="36"/>
  <c r="AQ83" i="36"/>
  <c r="AE30" i="50"/>
  <c r="Z40" i="50"/>
  <c r="AN40" i="50"/>
  <c r="AB40" i="50"/>
  <c r="AA40" i="50"/>
  <c r="AH40" i="50"/>
  <c r="AI40" i="50"/>
  <c r="AE40" i="50"/>
  <c r="AO40" i="50"/>
  <c r="Y40" i="50"/>
  <c r="AM40" i="50"/>
  <c r="AC40" i="50"/>
  <c r="AD40" i="50"/>
  <c r="AF18" i="36"/>
  <c r="AF17" i="36"/>
  <c r="AI18" i="36"/>
  <c r="AI17" i="36"/>
  <c r="AJ17" i="36"/>
  <c r="AJ18" i="36"/>
  <c r="AS17" i="36"/>
  <c r="AS18" i="36"/>
  <c r="AH18" i="36"/>
  <c r="AH17" i="36"/>
  <c r="AM18" i="36"/>
  <c r="AM17" i="36"/>
  <c r="AR17" i="36"/>
  <c r="AR18" i="36"/>
  <c r="AT17" i="36"/>
  <c r="AT18" i="36"/>
  <c r="AG18" i="36"/>
  <c r="AG17" i="36"/>
  <c r="AN17" i="36"/>
  <c r="AN18" i="36"/>
  <c r="AE18" i="36"/>
  <c r="AE17" i="36"/>
  <c r="AC7" i="50"/>
  <c r="AC30" i="50"/>
  <c r="Y35" i="50"/>
  <c r="AB26" i="50"/>
  <c r="Y26" i="50"/>
  <c r="AA7" i="50"/>
  <c r="AB30" i="50"/>
  <c r="AD35" i="50"/>
  <c r="AA26" i="50"/>
  <c r="AD26" i="50"/>
  <c r="AB7" i="50"/>
  <c r="AD7" i="50"/>
  <c r="Y30" i="50"/>
  <c r="Y32" i="50"/>
  <c r="Y53" i="50" s="1"/>
  <c r="Z30" i="50"/>
  <c r="AC35" i="50"/>
  <c r="AB35" i="50"/>
  <c r="AC26" i="50"/>
  <c r="Z7" i="50"/>
  <c r="AD30" i="50"/>
  <c r="AA30" i="50"/>
  <c r="Z35" i="50"/>
  <c r="AA35" i="50"/>
  <c r="Z26" i="50"/>
  <c r="AO6" i="50"/>
  <c r="J5" i="47"/>
  <c r="I4" i="50" s="1"/>
  <c r="I4" i="57" s="1"/>
  <c r="AE26" i="50"/>
  <c r="AE7" i="50"/>
  <c r="D12" i="55"/>
  <c r="E12" i="55"/>
  <c r="F12" i="55"/>
  <c r="G12" i="55"/>
  <c r="H12" i="55"/>
  <c r="I12" i="55"/>
  <c r="J12" i="55"/>
  <c r="K12" i="55"/>
  <c r="L12" i="55"/>
  <c r="M12" i="55"/>
  <c r="N12" i="55"/>
  <c r="C12" i="55"/>
  <c r="D6" i="55"/>
  <c r="E6" i="55"/>
  <c r="F6" i="55"/>
  <c r="G6" i="55"/>
  <c r="H6" i="55"/>
  <c r="I6" i="55"/>
  <c r="J6" i="55"/>
  <c r="K6" i="55"/>
  <c r="L6" i="55"/>
  <c r="M6" i="55"/>
  <c r="N6" i="55"/>
  <c r="C6" i="55"/>
  <c r="Z28" i="55"/>
  <c r="AA28" i="55" s="1"/>
  <c r="AB28" i="55" s="1"/>
  <c r="AC28" i="55" s="1"/>
  <c r="AD28" i="55" s="1"/>
  <c r="AE28" i="55" s="1"/>
  <c r="S11" i="55"/>
  <c r="T11" i="55"/>
  <c r="U11" i="55"/>
  <c r="V11" i="55"/>
  <c r="W11" i="55"/>
  <c r="X11" i="55"/>
  <c r="Y11" i="55"/>
  <c r="Z11" i="55"/>
  <c r="AA11" i="55"/>
  <c r="AB11" i="55"/>
  <c r="AC11" i="55"/>
  <c r="AD11" i="55"/>
  <c r="AE11" i="55"/>
  <c r="R11" i="55"/>
  <c r="D24" i="55"/>
  <c r="E24" i="55"/>
  <c r="F24" i="55"/>
  <c r="G24" i="55"/>
  <c r="H24" i="55"/>
  <c r="I24" i="55"/>
  <c r="J24" i="55"/>
  <c r="K24" i="55"/>
  <c r="L24" i="55"/>
  <c r="M24" i="55"/>
  <c r="N24" i="55"/>
  <c r="Q24" i="55"/>
  <c r="C24" i="55"/>
  <c r="D37" i="55"/>
  <c r="E37" i="55"/>
  <c r="F37" i="55"/>
  <c r="G37" i="55"/>
  <c r="H37" i="55"/>
  <c r="I37" i="55"/>
  <c r="J37" i="55"/>
  <c r="K37" i="55"/>
  <c r="L37" i="55"/>
  <c r="M37" i="55"/>
  <c r="N37" i="55"/>
  <c r="C37" i="55"/>
  <c r="D31" i="55"/>
  <c r="E31" i="55"/>
  <c r="F31" i="55"/>
  <c r="G31" i="55"/>
  <c r="H31" i="55"/>
  <c r="I31" i="55"/>
  <c r="J31" i="55"/>
  <c r="K31" i="55"/>
  <c r="L31" i="55"/>
  <c r="M31" i="55"/>
  <c r="N31" i="55"/>
  <c r="C31" i="55"/>
  <c r="D18" i="55"/>
  <c r="E18" i="55"/>
  <c r="F18" i="55"/>
  <c r="G18" i="55"/>
  <c r="H18" i="55"/>
  <c r="I18" i="55"/>
  <c r="J18" i="55"/>
  <c r="K18" i="55"/>
  <c r="L18" i="55"/>
  <c r="M18" i="55"/>
  <c r="N18" i="55"/>
  <c r="O18" i="55"/>
  <c r="P18" i="55"/>
  <c r="Q18" i="55"/>
  <c r="R18" i="55"/>
  <c r="S18" i="55"/>
  <c r="C18" i="55"/>
  <c r="D38" i="55"/>
  <c r="E38" i="55"/>
  <c r="F38" i="55"/>
  <c r="G38" i="55"/>
  <c r="H38" i="55"/>
  <c r="I38" i="55"/>
  <c r="J38" i="55"/>
  <c r="K38" i="55"/>
  <c r="L38" i="55"/>
  <c r="M38" i="55"/>
  <c r="N38" i="55"/>
  <c r="O38" i="55"/>
  <c r="P38" i="55"/>
  <c r="Q38" i="55"/>
  <c r="R38" i="55"/>
  <c r="S38" i="55"/>
  <c r="T38" i="55"/>
  <c r="C38" i="55"/>
  <c r="D32" i="55"/>
  <c r="E32" i="55"/>
  <c r="F32" i="55"/>
  <c r="G32" i="55"/>
  <c r="H32" i="55"/>
  <c r="I32" i="55"/>
  <c r="J32" i="55"/>
  <c r="K32" i="55"/>
  <c r="L32" i="55"/>
  <c r="M32" i="55"/>
  <c r="N32" i="55"/>
  <c r="O32" i="55"/>
  <c r="P32" i="55"/>
  <c r="Q32" i="55"/>
  <c r="R32" i="55"/>
  <c r="S32" i="55"/>
  <c r="T32" i="55"/>
  <c r="U32" i="55"/>
  <c r="C32" i="55"/>
  <c r="D25" i="55"/>
  <c r="E25" i="55"/>
  <c r="F25" i="55"/>
  <c r="G25" i="55"/>
  <c r="H25" i="55"/>
  <c r="I25" i="55"/>
  <c r="J25" i="55"/>
  <c r="K25" i="55"/>
  <c r="L25" i="55"/>
  <c r="M25" i="55"/>
  <c r="N25" i="55"/>
  <c r="O25" i="55"/>
  <c r="P25" i="55"/>
  <c r="Q25" i="55"/>
  <c r="R25" i="55"/>
  <c r="S25" i="55"/>
  <c r="T25" i="55"/>
  <c r="U25" i="55"/>
  <c r="C25" i="55"/>
  <c r="D19" i="55"/>
  <c r="E19" i="55"/>
  <c r="F19" i="55"/>
  <c r="G19" i="55"/>
  <c r="H19" i="55"/>
  <c r="I19" i="55"/>
  <c r="J19" i="55"/>
  <c r="K19" i="55"/>
  <c r="L19" i="55"/>
  <c r="M19" i="55"/>
  <c r="N19" i="55"/>
  <c r="O19" i="55"/>
  <c r="P19" i="55"/>
  <c r="Q19" i="55"/>
  <c r="R19" i="55"/>
  <c r="S19" i="55"/>
  <c r="T19" i="55"/>
  <c r="C19" i="55"/>
  <c r="D13" i="55"/>
  <c r="E13" i="55"/>
  <c r="F13" i="55"/>
  <c r="G13" i="55"/>
  <c r="H13" i="55"/>
  <c r="I13" i="55"/>
  <c r="J13" i="55"/>
  <c r="K13" i="55"/>
  <c r="L13" i="55"/>
  <c r="M13" i="55"/>
  <c r="N13" i="55"/>
  <c r="O13" i="55"/>
  <c r="P13" i="55"/>
  <c r="Q13" i="55"/>
  <c r="R13" i="55"/>
  <c r="S13" i="55"/>
  <c r="T13" i="55"/>
  <c r="U13" i="55"/>
  <c r="C13" i="55"/>
  <c r="D7" i="55"/>
  <c r="E7" i="55"/>
  <c r="F7" i="55"/>
  <c r="G7" i="55"/>
  <c r="H7" i="55"/>
  <c r="I7" i="55"/>
  <c r="J7" i="55"/>
  <c r="K7" i="55"/>
  <c r="L7" i="55"/>
  <c r="M7" i="55"/>
  <c r="N7" i="55"/>
  <c r="O7" i="55"/>
  <c r="P7" i="55"/>
  <c r="Q7" i="55"/>
  <c r="R7" i="55"/>
  <c r="S7" i="55"/>
  <c r="T7" i="55"/>
  <c r="U7" i="55"/>
  <c r="C7" i="55"/>
  <c r="AD10" i="50" l="1"/>
  <c r="AD15" i="57" s="1"/>
  <c r="Y10" i="50"/>
  <c r="Y15" i="57" s="1"/>
  <c r="AS42" i="36"/>
  <c r="AR83" i="36"/>
  <c r="AD17" i="36"/>
  <c r="AD18" i="36"/>
  <c r="O24" i="55"/>
  <c r="S24" i="55"/>
  <c r="R24" i="55"/>
  <c r="P24" i="55"/>
  <c r="I5" i="47"/>
  <c r="H4" i="50" s="1"/>
  <c r="H4" i="57" s="1"/>
  <c r="D35" i="50"/>
  <c r="E35" i="50"/>
  <c r="F35" i="50"/>
  <c r="G35" i="50"/>
  <c r="H35" i="50"/>
  <c r="I35" i="50"/>
  <c r="J35" i="50"/>
  <c r="K35" i="50"/>
  <c r="L35" i="50"/>
  <c r="C35" i="50"/>
  <c r="D40" i="50"/>
  <c r="E40" i="50"/>
  <c r="F40" i="50"/>
  <c r="G40" i="50"/>
  <c r="H40" i="50"/>
  <c r="I40" i="50"/>
  <c r="J40" i="50"/>
  <c r="K40" i="50"/>
  <c r="L40" i="50"/>
  <c r="C40" i="50"/>
  <c r="D30" i="50"/>
  <c r="E30" i="50"/>
  <c r="F30" i="50"/>
  <c r="G30" i="50"/>
  <c r="H30" i="50"/>
  <c r="I30" i="50"/>
  <c r="J30" i="50"/>
  <c r="K30" i="50"/>
  <c r="L30" i="50"/>
  <c r="C30" i="50"/>
  <c r="D26" i="50"/>
  <c r="E26" i="50"/>
  <c r="F26" i="50"/>
  <c r="G26" i="50"/>
  <c r="H26" i="50"/>
  <c r="I26" i="50"/>
  <c r="J26" i="50"/>
  <c r="K26" i="50"/>
  <c r="L26" i="50"/>
  <c r="C26" i="50"/>
  <c r="D13" i="50"/>
  <c r="E13" i="50"/>
  <c r="F13" i="50"/>
  <c r="G13" i="50"/>
  <c r="H13" i="50"/>
  <c r="I13" i="50"/>
  <c r="J13" i="50"/>
  <c r="K13" i="50"/>
  <c r="L13" i="50"/>
  <c r="C13" i="50"/>
  <c r="D7" i="50"/>
  <c r="E7" i="50"/>
  <c r="F7" i="50"/>
  <c r="G7" i="50"/>
  <c r="H7" i="50"/>
  <c r="I7" i="50"/>
  <c r="J7" i="50"/>
  <c r="K7" i="50"/>
  <c r="L7" i="50"/>
  <c r="C7" i="50"/>
  <c r="AJ15" i="57" l="1"/>
  <c r="AK15" i="57"/>
  <c r="AT42" i="36"/>
  <c r="AS83" i="36"/>
  <c r="H5" i="47"/>
  <c r="G4" i="50" s="1"/>
  <c r="G4" i="57" s="1"/>
  <c r="U38" i="55"/>
  <c r="AT11" i="50" l="1"/>
  <c r="AZ11" i="50"/>
  <c r="BC11" i="50"/>
  <c r="BJ11" i="50"/>
  <c r="BA11" i="50"/>
  <c r="Z11" i="50"/>
  <c r="AE8" i="36" s="1"/>
  <c r="AE11" i="50"/>
  <c r="AJ8" i="36" s="1"/>
  <c r="AG11" i="50"/>
  <c r="AY11" i="50"/>
  <c r="BE11" i="50"/>
  <c r="AW11" i="50"/>
  <c r="AU11" i="50"/>
  <c r="AM11" i="50"/>
  <c r="AR9" i="36" s="1"/>
  <c r="AD11" i="50"/>
  <c r="AI8" i="36" s="1"/>
  <c r="AA11" i="50"/>
  <c r="AF8" i="36" s="1"/>
  <c r="BH11" i="50"/>
  <c r="AL11" i="50"/>
  <c r="AN11" i="50"/>
  <c r="AS8" i="36" s="1"/>
  <c r="BF11" i="50"/>
  <c r="AQ11" i="50"/>
  <c r="AS11" i="50"/>
  <c r="AV11" i="50"/>
  <c r="AK11" i="50"/>
  <c r="AB11" i="50"/>
  <c r="AG9" i="36" s="1"/>
  <c r="AC11" i="50"/>
  <c r="AH8" i="36" s="1"/>
  <c r="Y11" i="50"/>
  <c r="AD9" i="36" s="1"/>
  <c r="BG11" i="50"/>
  <c r="AP11" i="50"/>
  <c r="AX11" i="50"/>
  <c r="BD11" i="50"/>
  <c r="BK11" i="50"/>
  <c r="AF11" i="50"/>
  <c r="BB11" i="50"/>
  <c r="AO11" i="50"/>
  <c r="AT8" i="36" s="1"/>
  <c r="AJ11" i="50"/>
  <c r="AH11" i="50"/>
  <c r="AM8" i="36" s="1"/>
  <c r="BI11" i="50"/>
  <c r="AR11" i="50"/>
  <c r="AI11" i="50"/>
  <c r="AN8" i="36" s="1"/>
  <c r="AU42" i="36"/>
  <c r="AT83" i="36"/>
  <c r="G5" i="47"/>
  <c r="F4" i="50" s="1"/>
  <c r="F4" i="57" s="1"/>
  <c r="AD8" i="36" l="1"/>
  <c r="AJ9" i="36"/>
  <c r="AI9" i="36"/>
  <c r="AS9" i="36"/>
  <c r="AE9" i="36"/>
  <c r="AM9" i="36"/>
  <c r="AG8" i="36"/>
  <c r="AN9" i="36"/>
  <c r="AH9" i="36"/>
  <c r="AR8" i="36"/>
  <c r="AF9" i="36"/>
  <c r="AT9" i="36"/>
  <c r="AV42" i="36"/>
  <c r="AU83" i="36"/>
  <c r="F5" i="47"/>
  <c r="E4" i="50" s="1"/>
  <c r="E4" i="57" s="1"/>
  <c r="U19" i="55"/>
  <c r="AW42" i="36" l="1"/>
  <c r="AV83" i="36"/>
  <c r="E5" i="47"/>
  <c r="D4" i="50" s="1"/>
  <c r="D4" i="57" s="1"/>
  <c r="A63" i="46"/>
  <c r="A64" i="46" s="1"/>
  <c r="A65" i="46" s="1"/>
  <c r="A66" i="46" s="1"/>
  <c r="A67" i="46" s="1"/>
  <c r="A68" i="46" s="1"/>
  <c r="B63" i="46"/>
  <c r="B64" i="46" s="1"/>
  <c r="B65" i="46" s="1"/>
  <c r="B66" i="46" s="1"/>
  <c r="B67" i="46" s="1"/>
  <c r="B68" i="46" s="1"/>
  <c r="C64" i="46"/>
  <c r="C65" i="46" s="1"/>
  <c r="C66" i="46" s="1"/>
  <c r="F64" i="46"/>
  <c r="F65" i="46" s="1"/>
  <c r="F66" i="46" s="1"/>
  <c r="F67" i="46" s="1"/>
  <c r="F68" i="46" s="1"/>
  <c r="F69" i="46" s="1"/>
  <c r="F70" i="46" s="1"/>
  <c r="F71" i="46" s="1"/>
  <c r="F72" i="46" s="1"/>
  <c r="F73" i="46" s="1"/>
  <c r="F74" i="46" s="1"/>
  <c r="F75" i="46" s="1"/>
  <c r="F76" i="46" s="1"/>
  <c r="F77" i="46" s="1"/>
  <c r="F78" i="46" s="1"/>
  <c r="F79" i="46" s="1"/>
  <c r="F80" i="46" s="1"/>
  <c r="F115" i="46"/>
  <c r="F116" i="46" s="1"/>
  <c r="F117" i="46" s="1"/>
  <c r="F118" i="46" s="1"/>
  <c r="F119" i="46" s="1"/>
  <c r="F120" i="46" s="1"/>
  <c r="F121" i="46" s="1"/>
  <c r="F122" i="46" s="1"/>
  <c r="F123" i="46" s="1"/>
  <c r="F124" i="46" s="1"/>
  <c r="F125" i="46" s="1"/>
  <c r="F126" i="46" s="1"/>
  <c r="F127" i="46" s="1"/>
  <c r="F128" i="46" s="1"/>
  <c r="F129" i="46" s="1"/>
  <c r="F130" i="46" s="1"/>
  <c r="C41" i="46"/>
  <c r="C42" i="46" s="1"/>
  <c r="C43" i="46" s="1"/>
  <c r="C44" i="46" s="1"/>
  <c r="C45" i="46" s="1"/>
  <c r="C46" i="46" s="1"/>
  <c r="C47" i="46" s="1"/>
  <c r="B41" i="46"/>
  <c r="A41" i="46"/>
  <c r="C25" i="46"/>
  <c r="C24" i="46"/>
  <c r="C23" i="46"/>
  <c r="C22" i="46"/>
  <c r="A18" i="46"/>
  <c r="D18" i="46"/>
  <c r="C18" i="46"/>
  <c r="AX42" i="36" l="1"/>
  <c r="AW83" i="36"/>
  <c r="B59" i="46"/>
  <c r="B60" i="46" s="1"/>
  <c r="B61" i="46" s="1"/>
  <c r="B42" i="46"/>
  <c r="B43" i="46" s="1"/>
  <c r="B44" i="46" s="1"/>
  <c r="B45" i="46" s="1"/>
  <c r="B46" i="46" s="1"/>
  <c r="B47" i="46" s="1"/>
  <c r="C54" i="46"/>
  <c r="C55" i="46" s="1"/>
  <c r="C56" i="46" s="1"/>
  <c r="C57" i="46" s="1"/>
  <c r="C58" i="46" s="1"/>
  <c r="C48" i="46"/>
  <c r="C49" i="46" s="1"/>
  <c r="C50" i="46" s="1"/>
  <c r="C51" i="46" s="1"/>
  <c r="C52" i="46" s="1"/>
  <c r="C53" i="46" s="1"/>
  <c r="A59" i="46"/>
  <c r="A60" i="46" s="1"/>
  <c r="A61" i="46" s="1"/>
  <c r="A42" i="46"/>
  <c r="A43" i="46" s="1"/>
  <c r="A44" i="46" s="1"/>
  <c r="A45" i="46" s="1"/>
  <c r="A46" i="46" s="1"/>
  <c r="A47" i="46" s="1"/>
  <c r="B29" i="46"/>
  <c r="B30" i="46" s="1"/>
  <c r="B31" i="46" s="1"/>
  <c r="B32" i="46" s="1"/>
  <c r="B33" i="46" s="1"/>
  <c r="B34" i="46" s="1"/>
  <c r="B62" i="46"/>
  <c r="A29" i="46"/>
  <c r="A30" i="46" s="1"/>
  <c r="A31" i="46" s="1"/>
  <c r="A32" i="46" s="1"/>
  <c r="A33" i="46" s="1"/>
  <c r="A34" i="46" s="1"/>
  <c r="A62" i="46"/>
  <c r="B69" i="46"/>
  <c r="B70" i="46" s="1"/>
  <c r="B71" i="46" s="1"/>
  <c r="B72" i="46" s="1"/>
  <c r="B73" i="46" s="1"/>
  <c r="B74" i="46" s="1"/>
  <c r="B75" i="46" s="1"/>
  <c r="B76" i="46" s="1"/>
  <c r="B77" i="46" s="1"/>
  <c r="B78" i="46" s="1"/>
  <c r="B79" i="46" s="1"/>
  <c r="B80" i="46" s="1"/>
  <c r="B81" i="46" s="1"/>
  <c r="B82" i="46" s="1"/>
  <c r="B83" i="46" s="1"/>
  <c r="B84" i="46" s="1"/>
  <c r="B85" i="46" s="1"/>
  <c r="B86" i="46" s="1"/>
  <c r="B87" i="46" s="1"/>
  <c r="B88" i="46" s="1"/>
  <c r="B89" i="46" s="1"/>
  <c r="B90" i="46" s="1"/>
  <c r="B91" i="46" s="1"/>
  <c r="B92" i="46" s="1"/>
  <c r="B93" i="46" s="1"/>
  <c r="B94" i="46" s="1"/>
  <c r="B95" i="46" s="1"/>
  <c r="B96" i="46" s="1"/>
  <c r="B97" i="46" s="1"/>
  <c r="B98" i="46" s="1"/>
  <c r="B99" i="46" s="1"/>
  <c r="B100" i="46" s="1"/>
  <c r="B101" i="46" s="1"/>
  <c r="B102" i="46" s="1"/>
  <c r="B103" i="46" s="1"/>
  <c r="B104" i="46" s="1"/>
  <c r="B105" i="46" s="1"/>
  <c r="B106" i="46" s="1"/>
  <c r="B107" i="46" s="1"/>
  <c r="B108" i="46" s="1"/>
  <c r="B109" i="46" s="1"/>
  <c r="B110" i="46" s="1"/>
  <c r="B111" i="46" s="1"/>
  <c r="B112" i="46" s="1"/>
  <c r="B113" i="46" s="1"/>
  <c r="B114" i="46" s="1"/>
  <c r="B115" i="46" s="1"/>
  <c r="B116" i="46" s="1"/>
  <c r="B117" i="46" s="1"/>
  <c r="B118" i="46" s="1"/>
  <c r="B119" i="46" s="1"/>
  <c r="B120" i="46" s="1"/>
  <c r="B121" i="46" s="1"/>
  <c r="B122" i="46" s="1"/>
  <c r="B123" i="46" s="1"/>
  <c r="B124" i="46" s="1"/>
  <c r="B125" i="46" s="1"/>
  <c r="B126" i="46" s="1"/>
  <c r="B127" i="46" s="1"/>
  <c r="B128" i="46" s="1"/>
  <c r="B129" i="46" s="1"/>
  <c r="B130" i="46" s="1"/>
  <c r="B35" i="46"/>
  <c r="B36" i="46" s="1"/>
  <c r="B37" i="46" s="1"/>
  <c r="B38" i="46" s="1"/>
  <c r="B39" i="46" s="1"/>
  <c r="B40" i="46" s="1"/>
  <c r="A69" i="46"/>
  <c r="A70" i="46" s="1"/>
  <c r="A71" i="46" s="1"/>
  <c r="A72" i="46" s="1"/>
  <c r="A73" i="46" s="1"/>
  <c r="A74" i="46" s="1"/>
  <c r="A75" i="46" s="1"/>
  <c r="A76" i="46" s="1"/>
  <c r="A77" i="46" s="1"/>
  <c r="A78" i="46" s="1"/>
  <c r="A79" i="46" s="1"/>
  <c r="A80" i="46" s="1"/>
  <c r="A81" i="46" s="1"/>
  <c r="A82" i="46" s="1"/>
  <c r="A83" i="46" s="1"/>
  <c r="A84" i="46" s="1"/>
  <c r="A85" i="46" s="1"/>
  <c r="A86" i="46" s="1"/>
  <c r="A87" i="46" s="1"/>
  <c r="A88" i="46" s="1"/>
  <c r="A89" i="46" s="1"/>
  <c r="A90" i="46" s="1"/>
  <c r="A91" i="46" s="1"/>
  <c r="A92" i="46" s="1"/>
  <c r="A93" i="46" s="1"/>
  <c r="A94" i="46" s="1"/>
  <c r="A95" i="46" s="1"/>
  <c r="A96" i="46" s="1"/>
  <c r="A97" i="46" s="1"/>
  <c r="A98" i="46" s="1"/>
  <c r="A99" i="46" s="1"/>
  <c r="A100" i="46" s="1"/>
  <c r="A101" i="46" s="1"/>
  <c r="A102" i="46" s="1"/>
  <c r="A103" i="46" s="1"/>
  <c r="A104" i="46" s="1"/>
  <c r="A105" i="46" s="1"/>
  <c r="A106" i="46" s="1"/>
  <c r="A107" i="46" s="1"/>
  <c r="A108" i="46" s="1"/>
  <c r="A109" i="46" s="1"/>
  <c r="A110" i="46" s="1"/>
  <c r="A111" i="46" s="1"/>
  <c r="A112" i="46" s="1"/>
  <c r="A113" i="46" s="1"/>
  <c r="A114" i="46" s="1"/>
  <c r="A115" i="46" s="1"/>
  <c r="A116" i="46" s="1"/>
  <c r="A117" i="46" s="1"/>
  <c r="A118" i="46" s="1"/>
  <c r="A119" i="46" s="1"/>
  <c r="A120" i="46" s="1"/>
  <c r="A121" i="46" s="1"/>
  <c r="A122" i="46" s="1"/>
  <c r="A123" i="46" s="1"/>
  <c r="A124" i="46" s="1"/>
  <c r="A125" i="46" s="1"/>
  <c r="A126" i="46" s="1"/>
  <c r="A127" i="46" s="1"/>
  <c r="A128" i="46" s="1"/>
  <c r="A129" i="46" s="1"/>
  <c r="A130" i="46" s="1"/>
  <c r="A35" i="46"/>
  <c r="A36" i="46" s="1"/>
  <c r="A37" i="46" s="1"/>
  <c r="A38" i="46" s="1"/>
  <c r="A39" i="46" s="1"/>
  <c r="A40" i="46" s="1"/>
  <c r="A19" i="46"/>
  <c r="A20" i="46" s="1"/>
  <c r="A21" i="46" s="1"/>
  <c r="C19" i="46"/>
  <c r="C27" i="46"/>
  <c r="A22" i="46"/>
  <c r="C26" i="46"/>
  <c r="D5" i="47"/>
  <c r="C4" i="50" s="1"/>
  <c r="C4" i="57" s="1"/>
  <c r="C67" i="46"/>
  <c r="AY42" i="36" l="1"/>
  <c r="AX83" i="36"/>
  <c r="A48" i="46"/>
  <c r="A49" i="46" s="1"/>
  <c r="A50" i="46" s="1"/>
  <c r="A51" i="46" s="1"/>
  <c r="A52" i="46" s="1"/>
  <c r="A53" i="46" s="1"/>
  <c r="A54" i="46"/>
  <c r="A55" i="46" s="1"/>
  <c r="A56" i="46" s="1"/>
  <c r="A57" i="46" s="1"/>
  <c r="A58" i="46" s="1"/>
  <c r="B54" i="46"/>
  <c r="B55" i="46" s="1"/>
  <c r="B56" i="46" s="1"/>
  <c r="B57" i="46" s="1"/>
  <c r="B58" i="46" s="1"/>
  <c r="B48" i="46"/>
  <c r="B49" i="46" s="1"/>
  <c r="B50" i="46" s="1"/>
  <c r="B51" i="46" s="1"/>
  <c r="B52" i="46" s="1"/>
  <c r="B53" i="46" s="1"/>
  <c r="A23" i="46"/>
  <c r="A7" i="58" s="1"/>
  <c r="A8" i="58" s="1"/>
  <c r="C68" i="46"/>
  <c r="AZ42" i="36" l="1"/>
  <c r="AY83" i="36"/>
  <c r="A24" i="46"/>
  <c r="C69" i="46"/>
  <c r="BA42" i="36" l="1"/>
  <c r="AZ83" i="36"/>
  <c r="A25" i="46"/>
  <c r="C70" i="46"/>
  <c r="BB42" i="36" l="1"/>
  <c r="BA83" i="36"/>
  <c r="A26" i="46"/>
  <c r="C71" i="46"/>
  <c r="BC42" i="36" l="1"/>
  <c r="BB83" i="36"/>
  <c r="A27" i="46"/>
  <c r="C72" i="46"/>
  <c r="BD42" i="36" l="1"/>
  <c r="BC83" i="36"/>
  <c r="C73" i="46"/>
  <c r="BE42" i="36" l="1"/>
  <c r="BD83" i="36"/>
  <c r="C74" i="46"/>
  <c r="BF42" i="36" l="1"/>
  <c r="BE83" i="36"/>
  <c r="C75" i="46"/>
  <c r="BG42" i="36" l="1"/>
  <c r="BF83" i="36"/>
  <c r="C76" i="46"/>
  <c r="BH42" i="36" l="1"/>
  <c r="BG83" i="36"/>
  <c r="C77" i="46"/>
  <c r="BI42" i="36" l="1"/>
  <c r="BH83" i="36"/>
  <c r="C78" i="46"/>
  <c r="BJ42" i="36" l="1"/>
  <c r="BI83" i="36"/>
  <c r="C79" i="46"/>
  <c r="BK42" i="36" l="1"/>
  <c r="BJ83" i="36"/>
  <c r="C80" i="46"/>
  <c r="BL42" i="36" l="1"/>
  <c r="BK83" i="36"/>
  <c r="D61" i="45"/>
  <c r="D62" i="45"/>
  <c r="D63" i="45"/>
  <c r="D65" i="45"/>
  <c r="BM42" i="36" l="1"/>
  <c r="BL83" i="36"/>
  <c r="AL32" i="50"/>
  <c r="AL53" i="50" s="1"/>
  <c r="BE32" i="50"/>
  <c r="BE53" i="50" s="1"/>
  <c r="AW32" i="50"/>
  <c r="AW53" i="50" s="1"/>
  <c r="AF32" i="50"/>
  <c r="AF53" i="50" s="1"/>
  <c r="BH32" i="50"/>
  <c r="BH53" i="50" s="1"/>
  <c r="BD32" i="50"/>
  <c r="BD53" i="50" s="1"/>
  <c r="AZ32" i="50"/>
  <c r="AZ53" i="50" s="1"/>
  <c r="AV32" i="50"/>
  <c r="AV53" i="50" s="1"/>
  <c r="AR32" i="50"/>
  <c r="AR53" i="50" s="1"/>
  <c r="AK32" i="50"/>
  <c r="AK53" i="50" s="1"/>
  <c r="BA32" i="50"/>
  <c r="BA53" i="50" s="1"/>
  <c r="BG32" i="50"/>
  <c r="BG53" i="50" s="1"/>
  <c r="AY32" i="50"/>
  <c r="AY53" i="50" s="1"/>
  <c r="AU32" i="50"/>
  <c r="AU53" i="50" s="1"/>
  <c r="AQ32" i="50"/>
  <c r="AQ53" i="50" s="1"/>
  <c r="AJ32" i="50"/>
  <c r="AJ53" i="50" s="1"/>
  <c r="BI32" i="50"/>
  <c r="BI53" i="50" s="1"/>
  <c r="AS32" i="50"/>
  <c r="AS53" i="50" s="1"/>
  <c r="BK32" i="50"/>
  <c r="BK53" i="50" s="1"/>
  <c r="BC32" i="50"/>
  <c r="BC53" i="50" s="1"/>
  <c r="BJ32" i="50"/>
  <c r="BJ53" i="50" s="1"/>
  <c r="BF32" i="50"/>
  <c r="BF53" i="50" s="1"/>
  <c r="BB32" i="50"/>
  <c r="BB53" i="50" s="1"/>
  <c r="AX32" i="50"/>
  <c r="AX53" i="50" s="1"/>
  <c r="AT32" i="50"/>
  <c r="AT53" i="50" s="1"/>
  <c r="AP32" i="50"/>
  <c r="AP53" i="50" s="1"/>
  <c r="AG32" i="50"/>
  <c r="AG53" i="50" s="1"/>
  <c r="BN42" i="36" l="1"/>
  <c r="BM83" i="36"/>
  <c r="BF40" i="50"/>
  <c r="BD40" i="50"/>
  <c r="AP40" i="50"/>
  <c r="AJ40" i="50"/>
  <c r="AK40" i="50"/>
  <c r="AG40" i="50"/>
  <c r="AT40" i="50"/>
  <c r="BB40" i="50"/>
  <c r="BE40" i="50"/>
  <c r="AU40" i="50"/>
  <c r="AY40" i="50"/>
  <c r="BK40" i="50"/>
  <c r="AL40" i="50"/>
  <c r="AW40" i="50"/>
  <c r="AX40" i="50"/>
  <c r="BH40" i="50"/>
  <c r="AV40" i="50"/>
  <c r="BJ40" i="50"/>
  <c r="BG40" i="50"/>
  <c r="BI40" i="50"/>
  <c r="AQ40" i="50"/>
  <c r="BC40" i="50"/>
  <c r="AF40" i="50"/>
  <c r="AR40" i="50"/>
  <c r="AZ40" i="50"/>
  <c r="BA40" i="50"/>
  <c r="AS40" i="50"/>
  <c r="AY17" i="36"/>
  <c r="AY18" i="36"/>
  <c r="BP18" i="36"/>
  <c r="BP17" i="36"/>
  <c r="AV18" i="36"/>
  <c r="AV17" i="36"/>
  <c r="BF18" i="36"/>
  <c r="BF17" i="36"/>
  <c r="BE17" i="36"/>
  <c r="BE18" i="36"/>
  <c r="BB17" i="36"/>
  <c r="BB18" i="36"/>
  <c r="AU17" i="36"/>
  <c r="AU18" i="36"/>
  <c r="BC18" i="36"/>
  <c r="BC17" i="36"/>
  <c r="BK18" i="36"/>
  <c r="BK17" i="36"/>
  <c r="BH17" i="36"/>
  <c r="BH18" i="36"/>
  <c r="AX18" i="36"/>
  <c r="AX17" i="36"/>
  <c r="AO17" i="36"/>
  <c r="AO18" i="36"/>
  <c r="AZ18" i="36"/>
  <c r="AZ17" i="36"/>
  <c r="BL18" i="36"/>
  <c r="BL17" i="36"/>
  <c r="AP18" i="36"/>
  <c r="AP17" i="36"/>
  <c r="BA18" i="36"/>
  <c r="BA17" i="36"/>
  <c r="BI18" i="36"/>
  <c r="BI17" i="36"/>
  <c r="AK18" i="36"/>
  <c r="AK17" i="36"/>
  <c r="BJ17" i="36"/>
  <c r="BJ18" i="36"/>
  <c r="AL17" i="36"/>
  <c r="AL18" i="36"/>
  <c r="BG17" i="36"/>
  <c r="BG18" i="36"/>
  <c r="BO17" i="36"/>
  <c r="BO18" i="36"/>
  <c r="BN17" i="36"/>
  <c r="BN18" i="36"/>
  <c r="BD17" i="36"/>
  <c r="BD18" i="36"/>
  <c r="AW17" i="36"/>
  <c r="AW18" i="36"/>
  <c r="BM17" i="36"/>
  <c r="BM18" i="36"/>
  <c r="AQ18" i="36"/>
  <c r="AQ17" i="36"/>
  <c r="E36" i="45"/>
  <c r="E37" i="45" s="1"/>
  <c r="E38" i="45" s="1"/>
  <c r="E39" i="45" s="1"/>
  <c r="E40" i="45" s="1"/>
  <c r="BF9" i="50" l="1"/>
  <c r="BK10" i="36" s="1"/>
  <c r="AK9" i="50"/>
  <c r="AP10" i="36" s="1"/>
  <c r="AG9" i="50"/>
  <c r="AL10" i="36" s="1"/>
  <c r="BB9" i="50"/>
  <c r="BG10" i="36" s="1"/>
  <c r="AW9" i="50"/>
  <c r="BB10" i="36" s="1"/>
  <c r="AZ9" i="50"/>
  <c r="BE10" i="36" s="1"/>
  <c r="BA9" i="50"/>
  <c r="BF10" i="36" s="1"/>
  <c r="AQ9" i="50"/>
  <c r="AV10" i="36" s="1"/>
  <c r="BJ9" i="50"/>
  <c r="BO10" i="36" s="1"/>
  <c r="BD9" i="50"/>
  <c r="BI10" i="36" s="1"/>
  <c r="BC9" i="50"/>
  <c r="BH10" i="36" s="1"/>
  <c r="BI9" i="50"/>
  <c r="BN10" i="36" s="1"/>
  <c r="AP9" i="50"/>
  <c r="AU10" i="36" s="1"/>
  <c r="AF9" i="50"/>
  <c r="AK10" i="36" s="1"/>
  <c r="AV9" i="50"/>
  <c r="BA10" i="36" s="1"/>
  <c r="BG9" i="50"/>
  <c r="BL10" i="36" s="1"/>
  <c r="AJ9" i="50"/>
  <c r="AO10" i="36" s="1"/>
  <c r="AX9" i="50"/>
  <c r="BC10" i="36" s="1"/>
  <c r="BE9" i="50"/>
  <c r="BJ10" i="36" s="1"/>
  <c r="AU9" i="50"/>
  <c r="AZ10" i="36" s="1"/>
  <c r="AS9" i="50"/>
  <c r="AX10" i="36" s="1"/>
  <c r="AL9" i="50"/>
  <c r="AQ10" i="36" s="1"/>
  <c r="BH9" i="50"/>
  <c r="BM10" i="36" s="1"/>
  <c r="AR9" i="50"/>
  <c r="AW10" i="36" s="1"/>
  <c r="AY9" i="50"/>
  <c r="BD10" i="36" s="1"/>
  <c r="BK9" i="50"/>
  <c r="BP10" i="36" s="1"/>
  <c r="AT9" i="50"/>
  <c r="AY10" i="36" s="1"/>
  <c r="BO42" i="36"/>
  <c r="BN83" i="36"/>
  <c r="BI51" i="50"/>
  <c r="AF51" i="50"/>
  <c r="BG51" i="50"/>
  <c r="AX51" i="50"/>
  <c r="AL51" i="50"/>
  <c r="AR51" i="50"/>
  <c r="BK51" i="50"/>
  <c r="BF51" i="50"/>
  <c r="BE51" i="50"/>
  <c r="BD51" i="50"/>
  <c r="AK51" i="50"/>
  <c r="AU51" i="50"/>
  <c r="BC51" i="50"/>
  <c r="AG51" i="50"/>
  <c r="AP51" i="50"/>
  <c r="AV51" i="50"/>
  <c r="AJ51" i="50"/>
  <c r="AS51" i="50"/>
  <c r="BH51" i="50"/>
  <c r="AY51" i="50"/>
  <c r="AT51" i="50"/>
  <c r="BB51" i="50"/>
  <c r="AW51" i="50"/>
  <c r="AZ51" i="50"/>
  <c r="BA51" i="50"/>
  <c r="AQ51" i="50"/>
  <c r="BJ51" i="50"/>
  <c r="AQ6" i="50"/>
  <c r="E29" i="45"/>
  <c r="E30" i="45" s="1"/>
  <c r="E31" i="45" s="1"/>
  <c r="E32" i="45" s="1"/>
  <c r="E33" i="45" s="1"/>
  <c r="AX10" i="50" l="1"/>
  <c r="AW10" i="50"/>
  <c r="BB8" i="36" s="1"/>
  <c r="BJ10" i="50"/>
  <c r="BO8" i="36" s="1"/>
  <c r="AJ10" i="50"/>
  <c r="AO8" i="36" s="1"/>
  <c r="BP42" i="36"/>
  <c r="BP83" i="36" s="1"/>
  <c r="BO83" i="36"/>
  <c r="AY10" i="50"/>
  <c r="BD8" i="36" s="1"/>
  <c r="BH10" i="50"/>
  <c r="BM9" i="36" s="1"/>
  <c r="AS10" i="50"/>
  <c r="AX8" i="36" s="1"/>
  <c r="BC9" i="36"/>
  <c r="BC8" i="36"/>
  <c r="BB10" i="50"/>
  <c r="AU10" i="50"/>
  <c r="AT10" i="50"/>
  <c r="AK10" i="50"/>
  <c r="AV10" i="50"/>
  <c r="BD10" i="50"/>
  <c r="BF10" i="50"/>
  <c r="AG10" i="50"/>
  <c r="AQ10" i="50"/>
  <c r="BE10" i="50"/>
  <c r="BI10" i="50"/>
  <c r="AZ10" i="50"/>
  <c r="BG10" i="50"/>
  <c r="AP10" i="50"/>
  <c r="BC10" i="50"/>
  <c r="BA10" i="50"/>
  <c r="AL10" i="50"/>
  <c r="BK10" i="50"/>
  <c r="AF10" i="50"/>
  <c r="AR10" i="50"/>
  <c r="BA13" i="55"/>
  <c r="BA32" i="55"/>
  <c r="AW13" i="55"/>
  <c r="AW32" i="55"/>
  <c r="AS13" i="55"/>
  <c r="AS32" i="55"/>
  <c r="AO13" i="55"/>
  <c r="AO32" i="55"/>
  <c r="AK13" i="55"/>
  <c r="AK32" i="55"/>
  <c r="AG13" i="55"/>
  <c r="AG32" i="55"/>
  <c r="AC13" i="55"/>
  <c r="AC32" i="55"/>
  <c r="Y32" i="55"/>
  <c r="AV32" i="55"/>
  <c r="AV13" i="55"/>
  <c r="AR32" i="55"/>
  <c r="AR13" i="55"/>
  <c r="AN32" i="55"/>
  <c r="AN13" i="55"/>
  <c r="AJ32" i="55"/>
  <c r="AJ13" i="55"/>
  <c r="AF32" i="55"/>
  <c r="AF13" i="55"/>
  <c r="AB32" i="55"/>
  <c r="AB13" i="55"/>
  <c r="X32" i="55"/>
  <c r="AY13" i="55"/>
  <c r="AY32" i="55"/>
  <c r="AU13" i="55"/>
  <c r="AU32" i="55"/>
  <c r="AQ13" i="55"/>
  <c r="AQ32" i="55"/>
  <c r="AM13" i="55"/>
  <c r="AM32" i="55"/>
  <c r="AI13" i="55"/>
  <c r="AI32" i="55"/>
  <c r="AE32" i="55"/>
  <c r="AA13" i="55"/>
  <c r="AA32" i="55"/>
  <c r="W13" i="55"/>
  <c r="W32" i="55"/>
  <c r="AZ32" i="55"/>
  <c r="AZ13" i="55"/>
  <c r="AX13" i="55"/>
  <c r="AX32" i="55"/>
  <c r="AT13" i="55"/>
  <c r="AT32" i="55"/>
  <c r="AP13" i="55"/>
  <c r="AP32" i="55"/>
  <c r="AL13" i="55"/>
  <c r="AL32" i="55"/>
  <c r="AH13" i="55"/>
  <c r="AH32" i="55"/>
  <c r="AD13" i="55"/>
  <c r="AD32" i="55"/>
  <c r="Z13" i="55"/>
  <c r="Z32" i="55"/>
  <c r="V19" i="55"/>
  <c r="V32" i="55"/>
  <c r="BB9" i="36" l="1"/>
  <c r="BO9" i="36"/>
  <c r="AO9" i="36"/>
  <c r="BD9" i="36"/>
  <c r="BM8" i="36"/>
  <c r="AX9" i="36"/>
  <c r="AU9" i="36"/>
  <c r="AU8" i="36"/>
  <c r="BI8" i="36"/>
  <c r="BI9" i="36"/>
  <c r="AQ8" i="36"/>
  <c r="AQ9" i="36"/>
  <c r="BL9" i="36"/>
  <c r="BL8" i="36"/>
  <c r="AV9" i="36"/>
  <c r="AV8" i="36"/>
  <c r="BA8" i="36"/>
  <c r="BA9" i="36"/>
  <c r="AW8" i="36"/>
  <c r="AW9" i="36"/>
  <c r="BF8" i="36"/>
  <c r="BF9" i="36"/>
  <c r="BE9" i="36"/>
  <c r="BE8" i="36"/>
  <c r="AL8" i="36"/>
  <c r="AL9" i="36"/>
  <c r="AP8" i="36"/>
  <c r="AP9" i="36"/>
  <c r="BP9" i="36"/>
  <c r="BP8" i="36"/>
  <c r="BJ8" i="36"/>
  <c r="BJ9" i="36"/>
  <c r="AZ9" i="36"/>
  <c r="AZ8" i="36"/>
  <c r="AK9" i="36"/>
  <c r="AK8" i="36"/>
  <c r="BH9" i="36"/>
  <c r="BH8" i="36"/>
  <c r="BN8" i="36"/>
  <c r="BN9" i="36"/>
  <c r="BK9" i="36"/>
  <c r="BK8" i="36"/>
  <c r="AY8" i="36"/>
  <c r="AY9" i="36"/>
  <c r="BG8" i="36"/>
  <c r="BG9" i="36"/>
  <c r="AE13" i="55"/>
  <c r="Y13" i="55"/>
  <c r="X13" i="55"/>
  <c r="V13" i="55"/>
  <c r="AO7" i="55"/>
  <c r="AQ7" i="55"/>
  <c r="AF7" i="55"/>
  <c r="AV7" i="55"/>
  <c r="AC7" i="55"/>
  <c r="AS7" i="55"/>
  <c r="AT7" i="55"/>
  <c r="AZ7" i="55"/>
  <c r="AM7" i="55"/>
  <c r="AB7" i="55"/>
  <c r="AR7" i="55"/>
  <c r="V7" i="55"/>
  <c r="AH7" i="55"/>
  <c r="AX7" i="55"/>
  <c r="AA7" i="55"/>
  <c r="AL7" i="55"/>
  <c r="AE7" i="55"/>
  <c r="AU7" i="55"/>
  <c r="X7" i="55"/>
  <c r="AJ7" i="55"/>
  <c r="AG7" i="55"/>
  <c r="AW7" i="55"/>
  <c r="AD7" i="55"/>
  <c r="Z7" i="55"/>
  <c r="AP7" i="55"/>
  <c r="W7" i="55"/>
  <c r="AI7" i="55"/>
  <c r="AY7" i="55"/>
  <c r="AN7" i="55"/>
  <c r="Y7" i="55"/>
  <c r="AK7" i="55"/>
  <c r="BA7" i="55"/>
  <c r="AH38" i="55"/>
  <c r="AX38" i="55"/>
  <c r="AA38" i="55"/>
  <c r="AQ38" i="55"/>
  <c r="X38" i="55"/>
  <c r="AN38" i="55"/>
  <c r="Y38" i="55"/>
  <c r="AO38" i="55"/>
  <c r="V38" i="55"/>
  <c r="AL38" i="55"/>
  <c r="AZ38" i="55"/>
  <c r="AE38" i="55"/>
  <c r="AU38" i="55"/>
  <c r="AB38" i="55"/>
  <c r="AR38" i="55"/>
  <c r="AC38" i="55"/>
  <c r="AS38" i="55"/>
  <c r="Z38" i="55"/>
  <c r="AP38" i="55"/>
  <c r="AI38" i="55"/>
  <c r="AY38" i="55"/>
  <c r="AF38" i="55"/>
  <c r="AV38" i="55"/>
  <c r="AG38" i="55"/>
  <c r="AW38" i="55"/>
  <c r="AD38" i="55"/>
  <c r="AT38" i="55"/>
  <c r="W38" i="55"/>
  <c r="AM38" i="55"/>
  <c r="AJ38" i="55"/>
  <c r="AK38" i="55"/>
  <c r="BA38" i="55"/>
  <c r="Z19" i="55"/>
  <c r="AE19" i="55"/>
  <c r="AM19" i="55"/>
  <c r="AU19" i="55"/>
  <c r="X19" i="55"/>
  <c r="AG19" i="55"/>
  <c r="AO19" i="55"/>
  <c r="AW19" i="55"/>
  <c r="AD19" i="55"/>
  <c r="AT19" i="55"/>
  <c r="AZ19" i="55"/>
  <c r="AF19" i="55"/>
  <c r="AN19" i="55"/>
  <c r="AV19" i="55"/>
  <c r="AA19" i="55"/>
  <c r="AI19" i="55"/>
  <c r="AQ19" i="55"/>
  <c r="AY19" i="55"/>
  <c r="AC19" i="55"/>
  <c r="AK19" i="55"/>
  <c r="AS19" i="55"/>
  <c r="BA19" i="55"/>
  <c r="AP19" i="55"/>
  <c r="AX19" i="55"/>
  <c r="W19" i="55"/>
  <c r="AB19" i="55"/>
  <c r="AJ19" i="55"/>
  <c r="AR19" i="55"/>
  <c r="Y19" i="55"/>
  <c r="AL25" i="55"/>
  <c r="AR25" i="55"/>
  <c r="AL19" i="55"/>
  <c r="AA25" i="55"/>
  <c r="AI25" i="55"/>
  <c r="AQ25" i="55"/>
  <c r="AY25" i="55"/>
  <c r="X25" i="55"/>
  <c r="AD25" i="55"/>
  <c r="AT25" i="55"/>
  <c r="AB25" i="55"/>
  <c r="AJ25" i="55"/>
  <c r="AG25" i="55"/>
  <c r="AW25" i="55"/>
  <c r="Z25" i="55"/>
  <c r="AH25" i="55"/>
  <c r="AP25" i="55"/>
  <c r="AX25" i="55"/>
  <c r="AZ25" i="55"/>
  <c r="W25" i="55"/>
  <c r="AF25" i="55"/>
  <c r="AN25" i="55"/>
  <c r="AV25" i="55"/>
  <c r="AC25" i="55"/>
  <c r="AK25" i="55"/>
  <c r="AS25" i="55"/>
  <c r="BA25" i="55"/>
  <c r="AO25" i="55"/>
  <c r="V25" i="55"/>
  <c r="AH19" i="55"/>
  <c r="AE25" i="55"/>
  <c r="AM25" i="55"/>
  <c r="AU25" i="55"/>
  <c r="Y25" i="55"/>
  <c r="AF26" i="50"/>
  <c r="AN26" i="50"/>
  <c r="AR30" i="50"/>
  <c r="BD26" i="50"/>
  <c r="AF35" i="50"/>
  <c r="AF7" i="50"/>
  <c r="AJ26" i="50"/>
  <c r="AN30" i="50"/>
  <c r="AR26" i="50"/>
  <c r="AV30" i="50"/>
  <c r="AZ26" i="50"/>
  <c r="BD30" i="50"/>
  <c r="BH26" i="50"/>
  <c r="AO35" i="50"/>
  <c r="AO7" i="50"/>
  <c r="AW35" i="50"/>
  <c r="AW7" i="50"/>
  <c r="BE35" i="50"/>
  <c r="BE7" i="50"/>
  <c r="AH7" i="50"/>
  <c r="AL30" i="50"/>
  <c r="AL26" i="50"/>
  <c r="AT30" i="50"/>
  <c r="AT26" i="50"/>
  <c r="BB30" i="50"/>
  <c r="BB26" i="50"/>
  <c r="AI35" i="50"/>
  <c r="AQ30" i="50"/>
  <c r="AQ7" i="50"/>
  <c r="AY30" i="50"/>
  <c r="AY7" i="50"/>
  <c r="BG30" i="50"/>
  <c r="BG7" i="50"/>
  <c r="AN7" i="50"/>
  <c r="AV35" i="50"/>
  <c r="AV7" i="50"/>
  <c r="BD35" i="50"/>
  <c r="BD7" i="50"/>
  <c r="BJ7" i="50"/>
  <c r="AG26" i="50"/>
  <c r="AK30" i="50"/>
  <c r="AO26" i="50"/>
  <c r="AS30" i="50"/>
  <c r="AW26" i="50"/>
  <c r="BA30" i="50"/>
  <c r="BE26" i="50"/>
  <c r="BI30" i="50"/>
  <c r="AH30" i="50"/>
  <c r="AL35" i="50"/>
  <c r="AP7" i="50"/>
  <c r="AT35" i="50"/>
  <c r="AX7" i="50"/>
  <c r="BB35" i="50"/>
  <c r="BF7" i="50"/>
  <c r="AI26" i="50"/>
  <c r="AQ35" i="50"/>
  <c r="AQ26" i="50"/>
  <c r="AY35" i="50"/>
  <c r="AY26" i="50"/>
  <c r="BG35" i="50"/>
  <c r="BG26" i="50"/>
  <c r="AZ30" i="50"/>
  <c r="BJ30" i="50"/>
  <c r="BJ26" i="50"/>
  <c r="AG30" i="50"/>
  <c r="AK35" i="50"/>
  <c r="AK7" i="50"/>
  <c r="AS35" i="50"/>
  <c r="AS7" i="50"/>
  <c r="BA35" i="50"/>
  <c r="BA7" i="50"/>
  <c r="BI35" i="50"/>
  <c r="BI7" i="50"/>
  <c r="AH35" i="50"/>
  <c r="AH26" i="50"/>
  <c r="AP30" i="50"/>
  <c r="AP26" i="50"/>
  <c r="AX30" i="50"/>
  <c r="AX26" i="50"/>
  <c r="BF30" i="50"/>
  <c r="BF26" i="50"/>
  <c r="AM30" i="50"/>
  <c r="AM7" i="50"/>
  <c r="AU30" i="50"/>
  <c r="AU7" i="50"/>
  <c r="BC30" i="50"/>
  <c r="BC7" i="50"/>
  <c r="BK30" i="50"/>
  <c r="BK7" i="50"/>
  <c r="AN35" i="50"/>
  <c r="AJ30" i="50"/>
  <c r="AV26" i="50"/>
  <c r="BH30" i="50"/>
  <c r="AF30" i="50"/>
  <c r="AJ35" i="50"/>
  <c r="AJ7" i="50"/>
  <c r="AR35" i="50"/>
  <c r="AR7" i="50"/>
  <c r="AZ35" i="50"/>
  <c r="AZ7" i="50"/>
  <c r="BH35" i="50"/>
  <c r="BH7" i="50"/>
  <c r="BJ35" i="50"/>
  <c r="AG35" i="50"/>
  <c r="AG7" i="50"/>
  <c r="AK26" i="50"/>
  <c r="AO30" i="50"/>
  <c r="AS26" i="50"/>
  <c r="AW30" i="50"/>
  <c r="BA26" i="50"/>
  <c r="BE30" i="50"/>
  <c r="BI26" i="50"/>
  <c r="AL7" i="50"/>
  <c r="AP35" i="50"/>
  <c r="AT7" i="50"/>
  <c r="AX35" i="50"/>
  <c r="BB7" i="50"/>
  <c r="BF35" i="50"/>
  <c r="AI30" i="50"/>
  <c r="AI7" i="50"/>
  <c r="AM35" i="50"/>
  <c r="AM26" i="50"/>
  <c r="AU35" i="50"/>
  <c r="AU26" i="50"/>
  <c r="BC35" i="50"/>
  <c r="BC26" i="50"/>
  <c r="BK35" i="50"/>
  <c r="BK26" i="50"/>
  <c r="B52" i="45" l="1"/>
  <c r="B49" i="45"/>
  <c r="B43" i="45"/>
  <c r="B65" i="45" s="1"/>
  <c r="E194" i="33"/>
  <c r="E82" i="36"/>
  <c r="C83" i="36"/>
  <c r="C84" i="36" s="1"/>
  <c r="C85" i="36" s="1"/>
  <c r="E85" i="36" s="1"/>
  <c r="C172" i="34"/>
  <c r="C173" i="34" s="1"/>
  <c r="C174" i="34" s="1"/>
  <c r="C175" i="34" s="1"/>
  <c r="C176" i="34" s="1"/>
  <c r="C177" i="34" s="1"/>
  <c r="C178" i="34" s="1"/>
  <c r="C179" i="34" s="1"/>
  <c r="C180" i="34" s="1"/>
  <c r="C181" i="34" s="1"/>
  <c r="C182" i="34" s="1"/>
  <c r="C183" i="34" s="1"/>
  <c r="C184" i="34" s="1"/>
  <c r="C185" i="34" s="1"/>
  <c r="C186" i="34" s="1"/>
  <c r="C187" i="34" s="1"/>
  <c r="F204" i="33"/>
  <c r="F205" i="33" s="1"/>
  <c r="F206" i="33" s="1"/>
  <c r="F207" i="33" s="1"/>
  <c r="F208" i="33" s="1"/>
  <c r="F209" i="33" s="1"/>
  <c r="F210" i="33" s="1"/>
  <c r="F211" i="33" s="1"/>
  <c r="F212" i="33" s="1"/>
  <c r="F213" i="33" s="1"/>
  <c r="F214" i="33" s="1"/>
  <c r="F215" i="33" s="1"/>
  <c r="F216" i="33" s="1"/>
  <c r="F217" i="33" s="1"/>
  <c r="F218" i="33" s="1"/>
  <c r="F219" i="33" s="1"/>
  <c r="F220" i="33" s="1"/>
  <c r="F221" i="33" s="1"/>
  <c r="E204" i="33"/>
  <c r="C205" i="33"/>
  <c r="E205" i="33" s="1"/>
  <c r="E203" i="33"/>
  <c r="A203" i="33"/>
  <c r="A204" i="33" s="1"/>
  <c r="A205" i="33" s="1"/>
  <c r="A206" i="33" s="1"/>
  <c r="A207" i="33" s="1"/>
  <c r="A208" i="33" s="1"/>
  <c r="A209" i="33" s="1"/>
  <c r="A210" i="33" s="1"/>
  <c r="A211" i="33" s="1"/>
  <c r="A212" i="33" s="1"/>
  <c r="A213" i="33" s="1"/>
  <c r="A214" i="33" s="1"/>
  <c r="A215" i="33" s="1"/>
  <c r="A216" i="33" s="1"/>
  <c r="A217" i="33" s="1"/>
  <c r="A218" i="33" s="1"/>
  <c r="A219" i="33" s="1"/>
  <c r="A220" i="33" s="1"/>
  <c r="A221" i="33" s="1"/>
  <c r="B203" i="33"/>
  <c r="B204" i="33" s="1"/>
  <c r="B205" i="33" s="1"/>
  <c r="B206" i="33" s="1"/>
  <c r="B207" i="33" s="1"/>
  <c r="B208" i="33" s="1"/>
  <c r="B209" i="33" s="1"/>
  <c r="B210" i="33" s="1"/>
  <c r="B211" i="33" s="1"/>
  <c r="B212" i="33" s="1"/>
  <c r="B213" i="33" s="1"/>
  <c r="B214" i="33" s="1"/>
  <c r="B215" i="33" s="1"/>
  <c r="B216" i="33" s="1"/>
  <c r="B217" i="33" s="1"/>
  <c r="B218" i="33" s="1"/>
  <c r="B219" i="33" s="1"/>
  <c r="B220" i="33" s="1"/>
  <c r="B221" i="33" s="1"/>
  <c r="C156" i="34"/>
  <c r="C157" i="34" s="1"/>
  <c r="C158" i="34" s="1"/>
  <c r="C159" i="34" s="1"/>
  <c r="C160" i="34" s="1"/>
  <c r="C161" i="34" s="1"/>
  <c r="C162" i="34" s="1"/>
  <c r="C163" i="34" s="1"/>
  <c r="C164" i="34" s="1"/>
  <c r="C165" i="34" s="1"/>
  <c r="C166" i="34" s="1"/>
  <c r="C167" i="34" s="1"/>
  <c r="C168" i="34" s="1"/>
  <c r="C169" i="34" s="1"/>
  <c r="C170" i="34" s="1"/>
  <c r="C171" i="34" s="1"/>
  <c r="B156" i="34"/>
  <c r="B157" i="34" s="1"/>
  <c r="B158" i="34" s="1"/>
  <c r="B159" i="34" s="1"/>
  <c r="B160" i="34" s="1"/>
  <c r="B161" i="34" s="1"/>
  <c r="B162" i="34" s="1"/>
  <c r="B163" i="34" s="1"/>
  <c r="B164" i="34" s="1"/>
  <c r="B165" i="34" s="1"/>
  <c r="B166" i="34" s="1"/>
  <c r="B167" i="34" s="1"/>
  <c r="B168" i="34" s="1"/>
  <c r="B169" i="34" s="1"/>
  <c r="B170" i="34" s="1"/>
  <c r="B171" i="34" s="1"/>
  <c r="B172" i="34" s="1"/>
  <c r="B173" i="34" s="1"/>
  <c r="B174" i="34" s="1"/>
  <c r="B175" i="34" s="1"/>
  <c r="B176" i="34" s="1"/>
  <c r="B177" i="34" s="1"/>
  <c r="B178" i="34" s="1"/>
  <c r="B179" i="34" s="1"/>
  <c r="B180" i="34" s="1"/>
  <c r="B181" i="34" s="1"/>
  <c r="B182" i="34" s="1"/>
  <c r="B183" i="34" s="1"/>
  <c r="B184" i="34" s="1"/>
  <c r="B185" i="34" s="1"/>
  <c r="B186" i="34" s="1"/>
  <c r="B187" i="34" s="1"/>
  <c r="D140" i="34"/>
  <c r="D141" i="34"/>
  <c r="D142" i="34"/>
  <c r="D139" i="34"/>
  <c r="C139" i="34"/>
  <c r="C135" i="34"/>
  <c r="E135" i="34" s="1"/>
  <c r="B135" i="34"/>
  <c r="B136" i="34" s="1"/>
  <c r="B137" i="34" s="1"/>
  <c r="B138" i="34" s="1"/>
  <c r="B139" i="34" s="1"/>
  <c r="B140" i="34" s="1"/>
  <c r="B141" i="34" s="1"/>
  <c r="B142" i="34" s="1"/>
  <c r="B143" i="34" s="1"/>
  <c r="E200" i="33"/>
  <c r="C201" i="33"/>
  <c r="E201" i="33" s="1"/>
  <c r="G197" i="33"/>
  <c r="G198" i="33" s="1"/>
  <c r="G199" i="33" s="1"/>
  <c r="F197" i="33"/>
  <c r="F198" i="33" s="1"/>
  <c r="F199" i="33" s="1"/>
  <c r="F200" i="33" s="1"/>
  <c r="F201" i="33" s="1"/>
  <c r="E199" i="33"/>
  <c r="E198" i="33"/>
  <c r="E197" i="33"/>
  <c r="E196" i="33"/>
  <c r="B196" i="33"/>
  <c r="B197" i="33" s="1"/>
  <c r="B198" i="33" s="1"/>
  <c r="B199" i="33" s="1"/>
  <c r="B200" i="33" s="1"/>
  <c r="B201" i="33" s="1"/>
  <c r="A196" i="33"/>
  <c r="A197" i="33" s="1"/>
  <c r="A198" i="33" s="1"/>
  <c r="A199" i="33" s="1"/>
  <c r="A200" i="33" s="1"/>
  <c r="A201" i="33" s="1"/>
  <c r="C54" i="45"/>
  <c r="C53" i="45"/>
  <c r="B53" i="45"/>
  <c r="B54" i="45" s="1"/>
  <c r="C51" i="45"/>
  <c r="C50" i="45"/>
  <c r="B50" i="45"/>
  <c r="B51" i="45" s="1"/>
  <c r="C46" i="45"/>
  <c r="C47" i="45"/>
  <c r="C48" i="45"/>
  <c r="E45" i="45"/>
  <c r="E46" i="45" s="1"/>
  <c r="E47" i="45" s="1"/>
  <c r="E48" i="45" s="1"/>
  <c r="E50" i="45" s="1"/>
  <c r="E51" i="45" s="1"/>
  <c r="D45" i="45"/>
  <c r="D46" i="45" s="1"/>
  <c r="D47" i="45" s="1"/>
  <c r="D48" i="45" s="1"/>
  <c r="D50" i="45" s="1"/>
  <c r="D51" i="45" s="1"/>
  <c r="C45" i="45"/>
  <c r="C44" i="45"/>
  <c r="B44" i="45"/>
  <c r="E42" i="45"/>
  <c r="D42" i="45"/>
  <c r="B42" i="45"/>
  <c r="B41" i="45"/>
  <c r="G89" i="34"/>
  <c r="G91" i="34" s="1"/>
  <c r="G92" i="34" s="1"/>
  <c r="G93" i="34" s="1"/>
  <c r="G94" i="34" s="1"/>
  <c r="G95" i="34" s="1"/>
  <c r="G96" i="34" s="1"/>
  <c r="G97" i="34" s="1"/>
  <c r="G98" i="34" s="1"/>
  <c r="G99" i="34" s="1"/>
  <c r="G100" i="34" s="1"/>
  <c r="G101" i="34" s="1"/>
  <c r="G102" i="34" s="1"/>
  <c r="G103" i="34" s="1"/>
  <c r="G104" i="34" s="1"/>
  <c r="G105" i="34" s="1"/>
  <c r="G106" i="34" s="1"/>
  <c r="G107" i="34" s="1"/>
  <c r="G108" i="34" s="1"/>
  <c r="G109" i="34" s="1"/>
  <c r="G110" i="34" s="1"/>
  <c r="G111" i="34" s="1"/>
  <c r="G112" i="34" s="1"/>
  <c r="G113" i="34" s="1"/>
  <c r="G114" i="34" s="1"/>
  <c r="G115" i="34" s="1"/>
  <c r="G116" i="34" s="1"/>
  <c r="G117" i="34" s="1"/>
  <c r="G118" i="34" s="1"/>
  <c r="G119" i="34" s="1"/>
  <c r="G120" i="34" s="1"/>
  <c r="G121" i="34" s="1"/>
  <c r="G122" i="34" s="1"/>
  <c r="F89" i="34"/>
  <c r="F90" i="34" s="1"/>
  <c r="C92" i="34"/>
  <c r="C93" i="34" s="1"/>
  <c r="C94" i="34" s="1"/>
  <c r="C95" i="34" s="1"/>
  <c r="C96" i="34" s="1"/>
  <c r="C97" i="34" s="1"/>
  <c r="C98" i="34" s="1"/>
  <c r="C99" i="34" s="1"/>
  <c r="C100" i="34" s="1"/>
  <c r="C101" i="34" s="1"/>
  <c r="C102" i="34" s="1"/>
  <c r="C103" i="34" s="1"/>
  <c r="C104" i="34" s="1"/>
  <c r="C105" i="34" s="1"/>
  <c r="C106" i="34" s="1"/>
  <c r="B88" i="34"/>
  <c r="B89" i="34" s="1"/>
  <c r="B91" i="34" s="1"/>
  <c r="B92" i="34" s="1"/>
  <c r="B93" i="34" s="1"/>
  <c r="B94" i="34" s="1"/>
  <c r="B95" i="34" s="1"/>
  <c r="B96" i="34" s="1"/>
  <c r="B97" i="34" s="1"/>
  <c r="B98" i="34" s="1"/>
  <c r="B99" i="34" s="1"/>
  <c r="B100" i="34" s="1"/>
  <c r="B101" i="34" s="1"/>
  <c r="B102" i="34" s="1"/>
  <c r="B103" i="34" s="1"/>
  <c r="B104" i="34" s="1"/>
  <c r="B105" i="34" s="1"/>
  <c r="B106" i="34" s="1"/>
  <c r="B107" i="34" s="1"/>
  <c r="B108" i="34" s="1"/>
  <c r="B109" i="34" s="1"/>
  <c r="B110" i="34" s="1"/>
  <c r="B111" i="34" s="1"/>
  <c r="B112" i="34" s="1"/>
  <c r="B113" i="34" s="1"/>
  <c r="B114" i="34" s="1"/>
  <c r="B115" i="34" s="1"/>
  <c r="B116" i="34" s="1"/>
  <c r="B117" i="34" s="1"/>
  <c r="B118" i="34" s="1"/>
  <c r="B119" i="34" s="1"/>
  <c r="B120" i="34" s="1"/>
  <c r="B121" i="34" s="1"/>
  <c r="B122" i="34" s="1"/>
  <c r="B123" i="34" s="1"/>
  <c r="B124" i="34" s="1"/>
  <c r="B125" i="34" s="1"/>
  <c r="B126" i="34" s="1"/>
  <c r="B127" i="34" s="1"/>
  <c r="B128" i="34" s="1"/>
  <c r="B129" i="34" s="1"/>
  <c r="B130" i="34" s="1"/>
  <c r="B131" i="34" s="1"/>
  <c r="B132" i="34" s="1"/>
  <c r="B133" i="34" s="1"/>
  <c r="B134" i="34" s="1"/>
  <c r="E188" i="33"/>
  <c r="D189" i="33"/>
  <c r="D190" i="33" s="1"/>
  <c r="F51" i="36"/>
  <c r="F52" i="36" s="1"/>
  <c r="F53" i="36" s="1"/>
  <c r="F54" i="36" s="1"/>
  <c r="F55" i="36" s="1"/>
  <c r="F56" i="36" s="1"/>
  <c r="F57" i="36" s="1"/>
  <c r="F58" i="36" s="1"/>
  <c r="F59" i="36" s="1"/>
  <c r="F60" i="36" s="1"/>
  <c r="F61" i="36" s="1"/>
  <c r="F62" i="36" s="1"/>
  <c r="F63" i="36" s="1"/>
  <c r="F64" i="36" s="1"/>
  <c r="F65" i="36" s="1"/>
  <c r="F66" i="36" s="1"/>
  <c r="F67" i="36" s="1"/>
  <c r="F68" i="36" s="1"/>
  <c r="F69" i="36" s="1"/>
  <c r="F70" i="36" s="1"/>
  <c r="F71" i="36" s="1"/>
  <c r="F72" i="36" s="1"/>
  <c r="F73" i="36" s="1"/>
  <c r="F74" i="36" s="1"/>
  <c r="F75" i="36" s="1"/>
  <c r="F76" i="36" s="1"/>
  <c r="F77" i="36" s="1"/>
  <c r="F78" i="36" s="1"/>
  <c r="F79" i="36" s="1"/>
  <c r="F80" i="36" s="1"/>
  <c r="F81" i="36" s="1"/>
  <c r="F82" i="36" s="1"/>
  <c r="F83" i="36" s="1"/>
  <c r="F84" i="36" s="1"/>
  <c r="F85" i="36" s="1"/>
  <c r="B50" i="36"/>
  <c r="B51" i="36" s="1"/>
  <c r="B52" i="36" s="1"/>
  <c r="B53" i="36" s="1"/>
  <c r="B54" i="36" s="1"/>
  <c r="B55" i="36" s="1"/>
  <c r="B56" i="36" s="1"/>
  <c r="B57" i="36" s="1"/>
  <c r="B58" i="36" s="1"/>
  <c r="B59" i="36" s="1"/>
  <c r="B60" i="36" s="1"/>
  <c r="B61" i="36" s="1"/>
  <c r="B62" i="36" s="1"/>
  <c r="B63" i="36" s="1"/>
  <c r="B64" i="36" s="1"/>
  <c r="B65" i="36" s="1"/>
  <c r="B66" i="36" s="1"/>
  <c r="B67" i="36" s="1"/>
  <c r="B68" i="36" s="1"/>
  <c r="B69" i="36" s="1"/>
  <c r="B70" i="36" s="1"/>
  <c r="B71" i="36" s="1"/>
  <c r="B72" i="36" s="1"/>
  <c r="B73" i="36" s="1"/>
  <c r="B74" i="36" s="1"/>
  <c r="B75" i="36" s="1"/>
  <c r="B76" i="36" s="1"/>
  <c r="B77" i="36" s="1"/>
  <c r="B78" i="36" s="1"/>
  <c r="B79" i="36" s="1"/>
  <c r="B80" i="36" s="1"/>
  <c r="B81" i="36" s="1"/>
  <c r="B82" i="36" s="1"/>
  <c r="B83" i="36" s="1"/>
  <c r="B84" i="36" s="1"/>
  <c r="B85" i="36" s="1"/>
  <c r="A50" i="36"/>
  <c r="A51" i="36" s="1"/>
  <c r="A52" i="36" s="1"/>
  <c r="A53" i="36" s="1"/>
  <c r="A54" i="36" s="1"/>
  <c r="A55" i="36" s="1"/>
  <c r="A56" i="36" s="1"/>
  <c r="A57" i="36" s="1"/>
  <c r="A58" i="36" s="1"/>
  <c r="A59" i="36" s="1"/>
  <c r="A60" i="36" s="1"/>
  <c r="A61" i="36" s="1"/>
  <c r="A62" i="36" s="1"/>
  <c r="A63" i="36" s="1"/>
  <c r="A64" i="36" s="1"/>
  <c r="A65" i="36" s="1"/>
  <c r="A66" i="36" s="1"/>
  <c r="A67" i="36" s="1"/>
  <c r="A68" i="36" s="1"/>
  <c r="A69" i="36" s="1"/>
  <c r="A70" i="36" s="1"/>
  <c r="A71" i="36" s="1"/>
  <c r="A72" i="36" s="1"/>
  <c r="A73" i="36" s="1"/>
  <c r="A74" i="36" s="1"/>
  <c r="A75" i="36" s="1"/>
  <c r="A76" i="36" s="1"/>
  <c r="A77" i="36" s="1"/>
  <c r="A78" i="36" s="1"/>
  <c r="A79" i="36" s="1"/>
  <c r="A80" i="36" s="1"/>
  <c r="A81" i="36" s="1"/>
  <c r="A82" i="36" s="1"/>
  <c r="A83" i="36" s="1"/>
  <c r="A84" i="36" s="1"/>
  <c r="A85" i="36" s="1"/>
  <c r="C165" i="33"/>
  <c r="C166" i="33" s="1"/>
  <c r="C167" i="33" s="1"/>
  <c r="D165" i="33"/>
  <c r="D177" i="33" s="1"/>
  <c r="E177" i="33" s="1"/>
  <c r="D166" i="33"/>
  <c r="D178" i="33" s="1"/>
  <c r="E178" i="33" s="1"/>
  <c r="D167" i="33"/>
  <c r="D179" i="33" s="1"/>
  <c r="E179" i="33" s="1"/>
  <c r="D168" i="33"/>
  <c r="D180" i="33" s="1"/>
  <c r="E180" i="33" s="1"/>
  <c r="D169" i="33"/>
  <c r="D181" i="33" s="1"/>
  <c r="E181" i="33" s="1"/>
  <c r="D170" i="33"/>
  <c r="D182" i="33" s="1"/>
  <c r="E182" i="33" s="1"/>
  <c r="D171" i="33"/>
  <c r="D183" i="33" s="1"/>
  <c r="E183" i="33" s="1"/>
  <c r="D172" i="33"/>
  <c r="D184" i="33" s="1"/>
  <c r="E184" i="33" s="1"/>
  <c r="D173" i="33"/>
  <c r="D185" i="33" s="1"/>
  <c r="E185" i="33" s="1"/>
  <c r="D174" i="33"/>
  <c r="D186" i="33" s="1"/>
  <c r="E186" i="33" s="1"/>
  <c r="D175" i="33"/>
  <c r="D187" i="33" s="1"/>
  <c r="E187" i="33" s="1"/>
  <c r="F164" i="33"/>
  <c r="F176" i="33" s="1"/>
  <c r="F188" i="33" s="1"/>
  <c r="G164" i="33"/>
  <c r="G176" i="33" s="1"/>
  <c r="D164" i="33"/>
  <c r="E164" i="33" s="1"/>
  <c r="H163" i="33"/>
  <c r="H162" i="33"/>
  <c r="H161" i="33"/>
  <c r="H160" i="33"/>
  <c r="H159" i="33"/>
  <c r="H158" i="33"/>
  <c r="H157" i="33"/>
  <c r="H156" i="33"/>
  <c r="H155" i="33"/>
  <c r="H154" i="33"/>
  <c r="H153" i="33"/>
  <c r="G154" i="33"/>
  <c r="G166" i="33" s="1"/>
  <c r="G178" i="33" s="1"/>
  <c r="G153" i="33"/>
  <c r="G165" i="33" s="1"/>
  <c r="G177" i="33" s="1"/>
  <c r="F153" i="33"/>
  <c r="F165" i="33" s="1"/>
  <c r="F177" i="33" s="1"/>
  <c r="F189" i="33" s="1"/>
  <c r="E152" i="33"/>
  <c r="C153" i="33"/>
  <c r="C154" i="33" s="1"/>
  <c r="C155" i="33" s="1"/>
  <c r="C156" i="33" s="1"/>
  <c r="C157" i="33" s="1"/>
  <c r="C158" i="33" s="1"/>
  <c r="C159" i="33" s="1"/>
  <c r="C160" i="33" s="1"/>
  <c r="C161" i="33" s="1"/>
  <c r="C162" i="33" s="1"/>
  <c r="C163" i="33" s="1"/>
  <c r="E163" i="33" s="1"/>
  <c r="H152" i="33"/>
  <c r="B152" i="33"/>
  <c r="B153" i="33" s="1"/>
  <c r="B154" i="33" s="1"/>
  <c r="B155" i="33" s="1"/>
  <c r="B156" i="33" s="1"/>
  <c r="B157" i="33" s="1"/>
  <c r="B158" i="33" s="1"/>
  <c r="B159" i="33" s="1"/>
  <c r="B160" i="33" s="1"/>
  <c r="B161" i="33" s="1"/>
  <c r="B162" i="33" s="1"/>
  <c r="B163" i="33" s="1"/>
  <c r="B164" i="33" s="1"/>
  <c r="B165" i="33" s="1"/>
  <c r="B166" i="33" s="1"/>
  <c r="B167" i="33" s="1"/>
  <c r="B168" i="33" s="1"/>
  <c r="B169" i="33" s="1"/>
  <c r="B170" i="33" s="1"/>
  <c r="B171" i="33" s="1"/>
  <c r="B172" i="33" s="1"/>
  <c r="B173" i="33" s="1"/>
  <c r="B174" i="33" s="1"/>
  <c r="B175" i="33" s="1"/>
  <c r="B176" i="33" s="1"/>
  <c r="B177" i="33" s="1"/>
  <c r="B178" i="33" s="1"/>
  <c r="B179" i="33" s="1"/>
  <c r="B180" i="33" s="1"/>
  <c r="B181" i="33" s="1"/>
  <c r="B182" i="33" s="1"/>
  <c r="B183" i="33" s="1"/>
  <c r="B184" i="33" s="1"/>
  <c r="B185" i="33" s="1"/>
  <c r="B186" i="33" s="1"/>
  <c r="B187" i="33" s="1"/>
  <c r="B188" i="33" s="1"/>
  <c r="B189" i="33" s="1"/>
  <c r="B190" i="33" s="1"/>
  <c r="B191" i="33" s="1"/>
  <c r="B192" i="33" s="1"/>
  <c r="B193" i="33" s="1"/>
  <c r="B194" i="33" s="1"/>
  <c r="E47" i="36"/>
  <c r="E48" i="36"/>
  <c r="B45" i="36"/>
  <c r="A45" i="36"/>
  <c r="A46" i="36" s="1"/>
  <c r="B87" i="34"/>
  <c r="B150" i="33"/>
  <c r="E46" i="36"/>
  <c r="B46" i="36"/>
  <c r="B47" i="36"/>
  <c r="B48" i="36" s="1"/>
  <c r="B86" i="34"/>
  <c r="B149" i="33"/>
  <c r="A149" i="33"/>
  <c r="A150" i="33" s="1"/>
  <c r="A152" i="33" s="1"/>
  <c r="A153" i="33" s="1"/>
  <c r="A154" i="33" s="1"/>
  <c r="A155" i="33" s="1"/>
  <c r="A156" i="33" s="1"/>
  <c r="A157" i="33" s="1"/>
  <c r="A158" i="33" s="1"/>
  <c r="A159" i="33" s="1"/>
  <c r="A160" i="33" s="1"/>
  <c r="A161" i="33" s="1"/>
  <c r="A162" i="33" s="1"/>
  <c r="A163" i="33" s="1"/>
  <c r="A164" i="33" s="1"/>
  <c r="A165" i="33" s="1"/>
  <c r="A166" i="33" s="1"/>
  <c r="A167" i="33" s="1"/>
  <c r="A168" i="33" s="1"/>
  <c r="A169" i="33" s="1"/>
  <c r="A170" i="33" s="1"/>
  <c r="A171" i="33" s="1"/>
  <c r="A172" i="33" s="1"/>
  <c r="A173" i="33" s="1"/>
  <c r="A174" i="33" s="1"/>
  <c r="A175" i="33" s="1"/>
  <c r="A176" i="33" s="1"/>
  <c r="A177" i="33" s="1"/>
  <c r="A178" i="33" s="1"/>
  <c r="A179" i="33" s="1"/>
  <c r="A180" i="33" s="1"/>
  <c r="A181" i="33" s="1"/>
  <c r="A182" i="33" s="1"/>
  <c r="A183" i="33" s="1"/>
  <c r="A184" i="33" s="1"/>
  <c r="A185" i="33" s="1"/>
  <c r="A186" i="33" s="1"/>
  <c r="A187" i="33" s="1"/>
  <c r="A188" i="33" s="1"/>
  <c r="A189" i="33" s="1"/>
  <c r="A190" i="33" s="1"/>
  <c r="A191" i="33" s="1"/>
  <c r="A192" i="33" s="1"/>
  <c r="A193" i="33" s="1"/>
  <c r="A194" i="33" s="1"/>
  <c r="E45" i="36"/>
  <c r="A41" i="36"/>
  <c r="A42" i="36" s="1"/>
  <c r="A43" i="36" s="1"/>
  <c r="D64" i="45" l="1"/>
  <c r="C38" i="62"/>
  <c r="B63" i="45"/>
  <c r="A37" i="62"/>
  <c r="B37" i="62" s="1"/>
  <c r="B45" i="45"/>
  <c r="B46" i="45" s="1"/>
  <c r="B47" i="45" s="1"/>
  <c r="B48" i="45" s="1"/>
  <c r="A39" i="62"/>
  <c r="B39" i="62" s="1"/>
  <c r="B64" i="45"/>
  <c r="A38" i="62"/>
  <c r="B38" i="62" s="1"/>
  <c r="B66" i="45"/>
  <c r="A40" i="62"/>
  <c r="B40" i="62" s="1"/>
  <c r="B67" i="45"/>
  <c r="A41" i="62"/>
  <c r="B41" i="62" s="1"/>
  <c r="E153" i="33"/>
  <c r="G135" i="34"/>
  <c r="G136" i="34" s="1"/>
  <c r="G137" i="34" s="1"/>
  <c r="G138" i="34" s="1"/>
  <c r="G139" i="34" s="1"/>
  <c r="G140" i="34" s="1"/>
  <c r="G141" i="34" s="1"/>
  <c r="G142" i="34" s="1"/>
  <c r="G143" i="34" s="1"/>
  <c r="G144" i="34" s="1"/>
  <c r="G123" i="34"/>
  <c r="G124" i="34" s="1"/>
  <c r="G125" i="34" s="1"/>
  <c r="G126" i="34" s="1"/>
  <c r="G127" i="34" s="1"/>
  <c r="G128" i="34" s="1"/>
  <c r="G129" i="34" s="1"/>
  <c r="G130" i="34" s="1"/>
  <c r="G131" i="34" s="1"/>
  <c r="G132" i="34" s="1"/>
  <c r="G133" i="34" s="1"/>
  <c r="G134" i="34" s="1"/>
  <c r="F91" i="34"/>
  <c r="F92" i="34" s="1"/>
  <c r="F93" i="34" s="1"/>
  <c r="F94" i="34" s="1"/>
  <c r="F95" i="34" s="1"/>
  <c r="F96" i="34" s="1"/>
  <c r="F97" i="34" s="1"/>
  <c r="F98" i="34" s="1"/>
  <c r="F99" i="34" s="1"/>
  <c r="F100" i="34" s="1"/>
  <c r="F101" i="34" s="1"/>
  <c r="F102" i="34" s="1"/>
  <c r="F103" i="34" s="1"/>
  <c r="F104" i="34" s="1"/>
  <c r="F105" i="34" s="1"/>
  <c r="F106" i="34" s="1"/>
  <c r="F107" i="34" s="1"/>
  <c r="F108" i="34" s="1"/>
  <c r="F109" i="34" s="1"/>
  <c r="F110" i="34" s="1"/>
  <c r="F111" i="34" s="1"/>
  <c r="F112" i="34" s="1"/>
  <c r="F113" i="34" s="1"/>
  <c r="F114" i="34" s="1"/>
  <c r="F115" i="34" s="1"/>
  <c r="F116" i="34" s="1"/>
  <c r="F117" i="34" s="1"/>
  <c r="F118" i="34" s="1"/>
  <c r="F119" i="34" s="1"/>
  <c r="F120" i="34" s="1"/>
  <c r="F121" i="34" s="1"/>
  <c r="F122" i="34" s="1"/>
  <c r="F135" i="34" s="1"/>
  <c r="F136" i="34" s="1"/>
  <c r="F137" i="34" s="1"/>
  <c r="F138" i="34" s="1"/>
  <c r="F139" i="34" s="1"/>
  <c r="F140" i="34" s="1"/>
  <c r="F141" i="34" s="1"/>
  <c r="F142" i="34" s="1"/>
  <c r="F143" i="34" s="1"/>
  <c r="F144" i="34" s="1"/>
  <c r="E139" i="34"/>
  <c r="G90" i="34"/>
  <c r="B90" i="34"/>
  <c r="D176" i="33"/>
  <c r="E176" i="33" s="1"/>
  <c r="E165" i="33"/>
  <c r="E166" i="33"/>
  <c r="D53" i="45"/>
  <c r="D54" i="45" s="1"/>
  <c r="D52" i="45"/>
  <c r="E53" i="45"/>
  <c r="E54" i="45" s="1"/>
  <c r="E52" i="45"/>
  <c r="E84" i="36"/>
  <c r="E49" i="45"/>
  <c r="D49" i="45"/>
  <c r="C136" i="34"/>
  <c r="E136" i="34" s="1"/>
  <c r="C140" i="34"/>
  <c r="E83" i="36"/>
  <c r="D191" i="33"/>
  <c r="E190" i="33"/>
  <c r="C168" i="33"/>
  <c r="C169" i="33" s="1"/>
  <c r="E167" i="33"/>
  <c r="E160" i="33"/>
  <c r="E156" i="33"/>
  <c r="F154" i="33"/>
  <c r="E189" i="33"/>
  <c r="E159" i="33"/>
  <c r="E155" i="33"/>
  <c r="E161" i="33"/>
  <c r="E157" i="33"/>
  <c r="E162" i="33"/>
  <c r="E158" i="33"/>
  <c r="E154" i="33"/>
  <c r="G155" i="33"/>
  <c r="A47" i="36"/>
  <c r="A48" i="36" s="1"/>
  <c r="E168" i="33"/>
  <c r="D67" i="45" l="1"/>
  <c r="C41" i="62"/>
  <c r="D66" i="45"/>
  <c r="C40" i="62"/>
  <c r="G145" i="34"/>
  <c r="G146" i="34" s="1"/>
  <c r="G147" i="34" s="1"/>
  <c r="G148" i="34" s="1"/>
  <c r="G149" i="34" s="1"/>
  <c r="G150" i="34" s="1"/>
  <c r="G151" i="34" s="1"/>
  <c r="G152" i="34" s="1"/>
  <c r="G153" i="34" s="1"/>
  <c r="G154" i="34" s="1"/>
  <c r="G155" i="34" s="1"/>
  <c r="G156" i="34" s="1"/>
  <c r="G157" i="34" s="1"/>
  <c r="G158" i="34" s="1"/>
  <c r="G159" i="34" s="1"/>
  <c r="G160" i="34" s="1"/>
  <c r="G161" i="34" s="1"/>
  <c r="G162" i="34" s="1"/>
  <c r="G163" i="34" s="1"/>
  <c r="G164" i="34" s="1"/>
  <c r="G165" i="34" s="1"/>
  <c r="G166" i="34" s="1"/>
  <c r="G167" i="34" s="1"/>
  <c r="G168" i="34" s="1"/>
  <c r="G169" i="34" s="1"/>
  <c r="G170" i="34" s="1"/>
  <c r="G171" i="34" s="1"/>
  <c r="G172" i="34" s="1"/>
  <c r="G173" i="34" s="1"/>
  <c r="G174" i="34" s="1"/>
  <c r="G175" i="34" s="1"/>
  <c r="G176" i="34" s="1"/>
  <c r="G177" i="34" s="1"/>
  <c r="G178" i="34" s="1"/>
  <c r="G179" i="34" s="1"/>
  <c r="G180" i="34" s="1"/>
  <c r="G181" i="34" s="1"/>
  <c r="G182" i="34" s="1"/>
  <c r="G183" i="34" s="1"/>
  <c r="G184" i="34" s="1"/>
  <c r="G185" i="34" s="1"/>
  <c r="G186" i="34" s="1"/>
  <c r="G187" i="34" s="1"/>
  <c r="F145" i="34"/>
  <c r="F146" i="34" s="1"/>
  <c r="F147" i="34" s="1"/>
  <c r="F148" i="34" s="1"/>
  <c r="F149" i="34" s="1"/>
  <c r="F150" i="34" s="1"/>
  <c r="F151" i="34" s="1"/>
  <c r="F152" i="34" s="1"/>
  <c r="F153" i="34" s="1"/>
  <c r="F154" i="34" s="1"/>
  <c r="F155" i="34" s="1"/>
  <c r="F156" i="34" s="1"/>
  <c r="F157" i="34" s="1"/>
  <c r="F158" i="34" s="1"/>
  <c r="F159" i="34" s="1"/>
  <c r="F160" i="34" s="1"/>
  <c r="F161" i="34" s="1"/>
  <c r="F162" i="34" s="1"/>
  <c r="F163" i="34" s="1"/>
  <c r="F164" i="34" s="1"/>
  <c r="F165" i="34" s="1"/>
  <c r="F166" i="34" s="1"/>
  <c r="F167" i="34" s="1"/>
  <c r="F168" i="34" s="1"/>
  <c r="F169" i="34" s="1"/>
  <c r="F170" i="34" s="1"/>
  <c r="F171" i="34" s="1"/>
  <c r="F172" i="34" s="1"/>
  <c r="F173" i="34" s="1"/>
  <c r="F174" i="34" s="1"/>
  <c r="F175" i="34" s="1"/>
  <c r="F176" i="34" s="1"/>
  <c r="F177" i="34" s="1"/>
  <c r="F178" i="34" s="1"/>
  <c r="F179" i="34" s="1"/>
  <c r="F180" i="34" s="1"/>
  <c r="F181" i="34" s="1"/>
  <c r="F182" i="34" s="1"/>
  <c r="F183" i="34" s="1"/>
  <c r="F184" i="34" s="1"/>
  <c r="F185" i="34" s="1"/>
  <c r="F186" i="34" s="1"/>
  <c r="F187" i="34" s="1"/>
  <c r="C137" i="34"/>
  <c r="E137" i="34" s="1"/>
  <c r="E140" i="34"/>
  <c r="C141" i="34"/>
  <c r="G156" i="33"/>
  <c r="G167" i="33"/>
  <c r="G179" i="33" s="1"/>
  <c r="F155" i="33"/>
  <c r="F166" i="33"/>
  <c r="F178" i="33" s="1"/>
  <c r="F190" i="33" s="1"/>
  <c r="D192" i="33"/>
  <c r="E191" i="33"/>
  <c r="E169" i="33"/>
  <c r="C170" i="33"/>
  <c r="C138" i="34" l="1"/>
  <c r="E138" i="34" s="1"/>
  <c r="C142" i="34"/>
  <c r="E141" i="34"/>
  <c r="F156" i="33"/>
  <c r="F167" i="33"/>
  <c r="F179" i="33" s="1"/>
  <c r="F191" i="33" s="1"/>
  <c r="D193" i="33"/>
  <c r="E193" i="33" s="1"/>
  <c r="E192" i="33"/>
  <c r="G157" i="33"/>
  <c r="G168" i="33"/>
  <c r="G180" i="33" s="1"/>
  <c r="C171" i="33"/>
  <c r="E170" i="33"/>
  <c r="C143" i="34" l="1"/>
  <c r="C144" i="34" s="1"/>
  <c r="C145" i="34" s="1"/>
  <c r="E142" i="34"/>
  <c r="G158" i="33"/>
  <c r="G169" i="33"/>
  <c r="G181" i="33" s="1"/>
  <c r="F157" i="33"/>
  <c r="F168" i="33"/>
  <c r="F180" i="33" s="1"/>
  <c r="F192" i="33" s="1"/>
  <c r="E171" i="33"/>
  <c r="C172" i="33"/>
  <c r="C146" i="34" l="1"/>
  <c r="E145" i="34"/>
  <c r="E144" i="34"/>
  <c r="E143" i="34"/>
  <c r="F158" i="33"/>
  <c r="F169" i="33"/>
  <c r="F181" i="33" s="1"/>
  <c r="F193" i="33" s="1"/>
  <c r="G159" i="33"/>
  <c r="G170" i="33"/>
  <c r="G182" i="33" s="1"/>
  <c r="E172" i="33"/>
  <c r="C173" i="33"/>
  <c r="C147" i="34" l="1"/>
  <c r="E146" i="34"/>
  <c r="G160" i="33"/>
  <c r="G171" i="33"/>
  <c r="G183" i="33" s="1"/>
  <c r="F159" i="33"/>
  <c r="F170" i="33"/>
  <c r="F182" i="33" s="1"/>
  <c r="F194" i="33" s="1"/>
  <c r="C174" i="33"/>
  <c r="E173" i="33"/>
  <c r="C148" i="34" l="1"/>
  <c r="E147" i="34"/>
  <c r="F160" i="33"/>
  <c r="F171" i="33"/>
  <c r="F183" i="33" s="1"/>
  <c r="G161" i="33"/>
  <c r="G172" i="33"/>
  <c r="G184" i="33" s="1"/>
  <c r="C175" i="33"/>
  <c r="E175" i="33" s="1"/>
  <c r="E174" i="33"/>
  <c r="C149" i="34" l="1"/>
  <c r="E148" i="34"/>
  <c r="G162" i="33"/>
  <c r="G173" i="33"/>
  <c r="G185" i="33" s="1"/>
  <c r="F161" i="33"/>
  <c r="F172" i="33"/>
  <c r="F184" i="33" s="1"/>
  <c r="C150" i="34" l="1"/>
  <c r="E149" i="34"/>
  <c r="F162" i="33"/>
  <c r="F173" i="33"/>
  <c r="F185" i="33" s="1"/>
  <c r="G163" i="33"/>
  <c r="G175" i="33" s="1"/>
  <c r="G187" i="33" s="1"/>
  <c r="G174" i="33"/>
  <c r="G186" i="33" s="1"/>
  <c r="C151" i="34" l="1"/>
  <c r="E150" i="34"/>
  <c r="F163" i="33"/>
  <c r="F175" i="33" s="1"/>
  <c r="F187" i="33" s="1"/>
  <c r="F174" i="33"/>
  <c r="F186" i="33" s="1"/>
  <c r="C152" i="34" l="1"/>
  <c r="E151" i="34"/>
  <c r="C153" i="34" l="1"/>
  <c r="E152" i="34"/>
  <c r="G71" i="34"/>
  <c r="G72" i="34" s="1"/>
  <c r="G73" i="34" s="1"/>
  <c r="G74" i="34" s="1"/>
  <c r="G75" i="34" s="1"/>
  <c r="G76" i="34" s="1"/>
  <c r="G77" i="34" s="1"/>
  <c r="G78" i="34" s="1"/>
  <c r="G79" i="34" s="1"/>
  <c r="G80" i="34" s="1"/>
  <c r="G81" i="34" s="1"/>
  <c r="G82" i="34" s="1"/>
  <c r="G83" i="34" s="1"/>
  <c r="G84" i="34" s="1"/>
  <c r="G85" i="34" s="1"/>
  <c r="F71" i="34"/>
  <c r="F72" i="34" s="1"/>
  <c r="F73" i="34" s="1"/>
  <c r="F74" i="34" s="1"/>
  <c r="F75" i="34" s="1"/>
  <c r="F76" i="34" s="1"/>
  <c r="F77" i="34" s="1"/>
  <c r="F78" i="34" s="1"/>
  <c r="F79" i="34" s="1"/>
  <c r="F80" i="34" s="1"/>
  <c r="F81" i="34" s="1"/>
  <c r="F82" i="34" s="1"/>
  <c r="F83" i="34" s="1"/>
  <c r="F84" i="34" s="1"/>
  <c r="F85" i="34" s="1"/>
  <c r="B70" i="34"/>
  <c r="B71" i="34" s="1"/>
  <c r="B72" i="34" s="1"/>
  <c r="B73" i="34" s="1"/>
  <c r="B74" i="34" s="1"/>
  <c r="B75" i="34" s="1"/>
  <c r="B76" i="34" s="1"/>
  <c r="B77" i="34" s="1"/>
  <c r="B78" i="34" s="1"/>
  <c r="B79" i="34" s="1"/>
  <c r="B80" i="34" s="1"/>
  <c r="B81" i="34" s="1"/>
  <c r="B82" i="34" s="1"/>
  <c r="B83" i="34" s="1"/>
  <c r="B84" i="34" s="1"/>
  <c r="B85" i="34" s="1"/>
  <c r="C69" i="34"/>
  <c r="C85" i="34" s="1"/>
  <c r="C67" i="34"/>
  <c r="C68" i="34" s="1"/>
  <c r="C84" i="34" s="1"/>
  <c r="C66" i="34"/>
  <c r="C82" i="34" s="1"/>
  <c r="C63" i="34"/>
  <c r="C79" i="34" s="1"/>
  <c r="C58" i="34"/>
  <c r="C59" i="34" s="1"/>
  <c r="C154" i="34" l="1"/>
  <c r="E153" i="34"/>
  <c r="C83" i="34"/>
  <c r="C75" i="34"/>
  <c r="C60" i="34"/>
  <c r="C61" i="34" s="1"/>
  <c r="C62" i="34" s="1"/>
  <c r="C78" i="34" s="1"/>
  <c r="C74" i="34"/>
  <c r="C64" i="34"/>
  <c r="C155" i="34" l="1"/>
  <c r="E155" i="34" s="1"/>
  <c r="E154" i="34"/>
  <c r="C76" i="34"/>
  <c r="C77" i="34"/>
  <c r="C65" i="34"/>
  <c r="C81" i="34" s="1"/>
  <c r="C80" i="34"/>
  <c r="B34" i="45"/>
  <c r="B62" i="45" s="1"/>
  <c r="B27" i="45"/>
  <c r="B61" i="45" s="1"/>
  <c r="A27" i="45"/>
  <c r="A61" i="45" s="1"/>
  <c r="D36" i="45"/>
  <c r="C36" i="45"/>
  <c r="A32" i="62" s="1"/>
  <c r="B32" i="62" s="1"/>
  <c r="C37" i="45"/>
  <c r="A33" i="62" s="1"/>
  <c r="B33" i="62" s="1"/>
  <c r="C38" i="45"/>
  <c r="A34" i="62" s="1"/>
  <c r="B34" i="62" s="1"/>
  <c r="C39" i="45"/>
  <c r="A35" i="62" s="1"/>
  <c r="B35" i="62" s="1"/>
  <c r="C40" i="45"/>
  <c r="A36" i="62" s="1"/>
  <c r="B36" i="62" s="1"/>
  <c r="C35" i="45"/>
  <c r="A31" i="62" s="1"/>
  <c r="B31" i="62" s="1"/>
  <c r="B35" i="45"/>
  <c r="B36" i="45" s="1"/>
  <c r="B37" i="45" s="1"/>
  <c r="B38" i="45" s="1"/>
  <c r="B39" i="45" s="1"/>
  <c r="B40" i="45" s="1"/>
  <c r="D29" i="45"/>
  <c r="C29" i="45"/>
  <c r="A26" i="62" s="1"/>
  <c r="B26" i="62" s="1"/>
  <c r="C30" i="45"/>
  <c r="A27" i="62" s="1"/>
  <c r="B27" i="62" s="1"/>
  <c r="C31" i="45"/>
  <c r="A28" i="62" s="1"/>
  <c r="B28" i="62" s="1"/>
  <c r="C32" i="45"/>
  <c r="A29" i="62" s="1"/>
  <c r="B29" i="62" s="1"/>
  <c r="C33" i="45"/>
  <c r="A30" i="62" s="1"/>
  <c r="B30" i="62" s="1"/>
  <c r="C28" i="45"/>
  <c r="A25" i="62" s="1"/>
  <c r="B25" i="62" s="1"/>
  <c r="B28" i="45"/>
  <c r="B29" i="45" s="1"/>
  <c r="B30" i="45" s="1"/>
  <c r="B31" i="45" s="1"/>
  <c r="B32" i="45" s="1"/>
  <c r="B33" i="45" s="1"/>
  <c r="A28" i="45"/>
  <c r="A29" i="45" s="1"/>
  <c r="A30" i="45" s="1"/>
  <c r="A31" i="45" s="1"/>
  <c r="A32" i="45" s="1"/>
  <c r="A33" i="45" s="1"/>
  <c r="A35" i="45" s="1"/>
  <c r="A36" i="45" s="1"/>
  <c r="A37" i="45" s="1"/>
  <c r="A38" i="45" s="1"/>
  <c r="A39" i="45" s="1"/>
  <c r="A40" i="45" s="1"/>
  <c r="A41" i="45" s="1"/>
  <c r="G55" i="34"/>
  <c r="G56" i="34" s="1"/>
  <c r="G57" i="34" s="1"/>
  <c r="G58" i="34" s="1"/>
  <c r="G59" i="34" s="1"/>
  <c r="G60" i="34" s="1"/>
  <c r="G61" i="34" s="1"/>
  <c r="G62" i="34" s="1"/>
  <c r="G63" i="34" s="1"/>
  <c r="G64" i="34" s="1"/>
  <c r="G65" i="34" s="1"/>
  <c r="G66" i="34" s="1"/>
  <c r="G67" i="34" s="1"/>
  <c r="G68" i="34" s="1"/>
  <c r="G69" i="34" s="1"/>
  <c r="F55" i="34"/>
  <c r="F56" i="34" s="1"/>
  <c r="F57" i="34" s="1"/>
  <c r="F58" i="34" s="1"/>
  <c r="F59" i="34" s="1"/>
  <c r="F60" i="34" s="1"/>
  <c r="F61" i="34" s="1"/>
  <c r="F62" i="34" s="1"/>
  <c r="F63" i="34" s="1"/>
  <c r="F64" i="34" s="1"/>
  <c r="F65" i="34" s="1"/>
  <c r="F66" i="34" s="1"/>
  <c r="F67" i="34" s="1"/>
  <c r="F68" i="34" s="1"/>
  <c r="F69" i="34" s="1"/>
  <c r="C54" i="34"/>
  <c r="B54" i="34"/>
  <c r="B55" i="34" s="1"/>
  <c r="B56" i="34" s="1"/>
  <c r="B57" i="34" s="1"/>
  <c r="B58" i="34" s="1"/>
  <c r="B59" i="34" s="1"/>
  <c r="B60" i="34" s="1"/>
  <c r="B61" i="34" s="1"/>
  <c r="B62" i="34" s="1"/>
  <c r="B63" i="34" s="1"/>
  <c r="B64" i="34" s="1"/>
  <c r="B65" i="34" s="1"/>
  <c r="B66" i="34" s="1"/>
  <c r="B67" i="34" s="1"/>
  <c r="B68" i="34" s="1"/>
  <c r="B69" i="34" s="1"/>
  <c r="A54" i="34"/>
  <c r="A55" i="34" s="1"/>
  <c r="A56" i="34" s="1"/>
  <c r="A57" i="34" s="1"/>
  <c r="A58" i="34" s="1"/>
  <c r="A59" i="34" s="1"/>
  <c r="A60" i="34" s="1"/>
  <c r="A61" i="34" s="1"/>
  <c r="A62" i="34" s="1"/>
  <c r="A63" i="34" s="1"/>
  <c r="A64" i="34" s="1"/>
  <c r="A65" i="34" s="1"/>
  <c r="A66" i="34" s="1"/>
  <c r="A67" i="34" s="1"/>
  <c r="A68" i="34" s="1"/>
  <c r="A69" i="34" s="1"/>
  <c r="A70" i="34" s="1"/>
  <c r="A71" i="34" s="1"/>
  <c r="A72" i="34" s="1"/>
  <c r="A73" i="34" s="1"/>
  <c r="A74" i="34" s="1"/>
  <c r="A75" i="34" s="1"/>
  <c r="A76" i="34" s="1"/>
  <c r="A77" i="34" s="1"/>
  <c r="A78" i="34" s="1"/>
  <c r="A79" i="34" s="1"/>
  <c r="A80" i="34" s="1"/>
  <c r="A81" i="34" s="1"/>
  <c r="A82" i="34" s="1"/>
  <c r="A83" i="34" s="1"/>
  <c r="A84" i="34" s="1"/>
  <c r="A85" i="34" s="1"/>
  <c r="A86" i="34" s="1"/>
  <c r="A87" i="34" s="1"/>
  <c r="A88" i="34" s="1"/>
  <c r="A89" i="34" s="1"/>
  <c r="D37" i="45" l="1"/>
  <c r="C32" i="62"/>
  <c r="D30" i="45"/>
  <c r="C26" i="62"/>
  <c r="A91" i="34"/>
  <c r="A92" i="34" s="1"/>
  <c r="A93" i="34" s="1"/>
  <c r="A94" i="34" s="1"/>
  <c r="A95" i="34" s="1"/>
  <c r="A96" i="34" s="1"/>
  <c r="A97" i="34" s="1"/>
  <c r="A98" i="34" s="1"/>
  <c r="A99" i="34" s="1"/>
  <c r="A100" i="34" s="1"/>
  <c r="A101" i="34" s="1"/>
  <c r="A102" i="34" s="1"/>
  <c r="A103" i="34" s="1"/>
  <c r="A104" i="34" s="1"/>
  <c r="A105" i="34" s="1"/>
  <c r="A106" i="34" s="1"/>
  <c r="A107" i="34" s="1"/>
  <c r="A108" i="34" s="1"/>
  <c r="A109" i="34" s="1"/>
  <c r="A110" i="34" s="1"/>
  <c r="A111" i="34" s="1"/>
  <c r="A112" i="34" s="1"/>
  <c r="A113" i="34" s="1"/>
  <c r="A114" i="34" s="1"/>
  <c r="A115" i="34" s="1"/>
  <c r="A116" i="34" s="1"/>
  <c r="A117" i="34" s="1"/>
  <c r="A118" i="34" s="1"/>
  <c r="A119" i="34" s="1"/>
  <c r="A120" i="34" s="1"/>
  <c r="A121" i="34" s="1"/>
  <c r="A122" i="34" s="1"/>
  <c r="A90" i="34"/>
  <c r="A42" i="45"/>
  <c r="A64" i="45" s="1"/>
  <c r="A63" i="45"/>
  <c r="C70" i="34"/>
  <c r="C55" i="34"/>
  <c r="A34" i="45"/>
  <c r="A62" i="45" s="1"/>
  <c r="F133" i="33"/>
  <c r="F134" i="33" s="1"/>
  <c r="F135" i="33" s="1"/>
  <c r="F136" i="33" s="1"/>
  <c r="F137" i="33" s="1"/>
  <c r="F138" i="33" s="1"/>
  <c r="F139" i="33" s="1"/>
  <c r="F140" i="33" s="1"/>
  <c r="F141" i="33" s="1"/>
  <c r="F142" i="33" s="1"/>
  <c r="F144" i="33" s="1"/>
  <c r="F145" i="33" s="1"/>
  <c r="F146" i="33" s="1"/>
  <c r="F147" i="33" s="1"/>
  <c r="F143" i="33" s="1"/>
  <c r="F117" i="33"/>
  <c r="F118" i="33" s="1"/>
  <c r="F119" i="33" s="1"/>
  <c r="F120" i="33" s="1"/>
  <c r="F121" i="33" s="1"/>
  <c r="F122" i="33" s="1"/>
  <c r="F123" i="33" s="1"/>
  <c r="F124" i="33" s="1"/>
  <c r="F125" i="33" s="1"/>
  <c r="F126" i="33" s="1"/>
  <c r="F128" i="33" s="1"/>
  <c r="F129" i="33" s="1"/>
  <c r="F130" i="33" s="1"/>
  <c r="F131" i="33" s="1"/>
  <c r="F127" i="33" s="1"/>
  <c r="E117" i="33"/>
  <c r="E118" i="33" s="1"/>
  <c r="E119" i="33" s="1"/>
  <c r="E120" i="33" s="1"/>
  <c r="E121" i="33" s="1"/>
  <c r="E122" i="33" s="1"/>
  <c r="E123" i="33" s="1"/>
  <c r="E124" i="33" s="1"/>
  <c r="E125" i="33" s="1"/>
  <c r="E126" i="33" s="1"/>
  <c r="E128" i="33" s="1"/>
  <c r="E129" i="33" s="1"/>
  <c r="E130" i="33" s="1"/>
  <c r="E131" i="33" s="1"/>
  <c r="E127" i="33" s="1"/>
  <c r="E132" i="33" s="1"/>
  <c r="E133" i="33" s="1"/>
  <c r="E134" i="33" s="1"/>
  <c r="E135" i="33" s="1"/>
  <c r="E136" i="33" s="1"/>
  <c r="E137" i="33" s="1"/>
  <c r="E138" i="33" s="1"/>
  <c r="E139" i="33" s="1"/>
  <c r="E140" i="33" s="1"/>
  <c r="E141" i="33" s="1"/>
  <c r="E142" i="33" s="1"/>
  <c r="E144" i="33" s="1"/>
  <c r="E145" i="33" s="1"/>
  <c r="E146" i="33" s="1"/>
  <c r="E147" i="33" s="1"/>
  <c r="E143" i="33" s="1"/>
  <c r="E85" i="33"/>
  <c r="E86" i="33" s="1"/>
  <c r="E87" i="33" s="1"/>
  <c r="E88" i="33" s="1"/>
  <c r="E89" i="33" s="1"/>
  <c r="E90" i="33" s="1"/>
  <c r="E91" i="33" s="1"/>
  <c r="E92" i="33" s="1"/>
  <c r="E93" i="33" s="1"/>
  <c r="E94" i="33" s="1"/>
  <c r="E96" i="33" s="1"/>
  <c r="E97" i="33" s="1"/>
  <c r="E98" i="33" s="1"/>
  <c r="E99" i="33" s="1"/>
  <c r="E95" i="33" s="1"/>
  <c r="E101" i="33" s="1"/>
  <c r="E102" i="33" s="1"/>
  <c r="E103" i="33" s="1"/>
  <c r="E104" i="33" s="1"/>
  <c r="E105" i="33" s="1"/>
  <c r="E106" i="33" s="1"/>
  <c r="E107" i="33" s="1"/>
  <c r="E108" i="33" s="1"/>
  <c r="E109" i="33" s="1"/>
  <c r="E110" i="33" s="1"/>
  <c r="E112" i="33" s="1"/>
  <c r="E113" i="33" s="1"/>
  <c r="E114" i="33" s="1"/>
  <c r="E115" i="33" s="1"/>
  <c r="E111" i="33" s="1"/>
  <c r="B100" i="33"/>
  <c r="B101" i="33" s="1"/>
  <c r="B102" i="33" s="1"/>
  <c r="B103" i="33" s="1"/>
  <c r="B104" i="33" s="1"/>
  <c r="B105" i="33" s="1"/>
  <c r="B106" i="33" s="1"/>
  <c r="B107" i="33" s="1"/>
  <c r="B108" i="33" s="1"/>
  <c r="B109" i="33" s="1"/>
  <c r="B110" i="33" s="1"/>
  <c r="B112" i="33" s="1"/>
  <c r="B113" i="33" s="1"/>
  <c r="B114" i="33" s="1"/>
  <c r="B115" i="33" s="1"/>
  <c r="D95" i="33"/>
  <c r="D85" i="33"/>
  <c r="D86" i="33"/>
  <c r="D87" i="33"/>
  <c r="D88" i="33"/>
  <c r="D89" i="33"/>
  <c r="D90" i="33"/>
  <c r="D91" i="33"/>
  <c r="D92" i="33"/>
  <c r="D93" i="33"/>
  <c r="D94" i="33"/>
  <c r="D96" i="33"/>
  <c r="D97" i="33"/>
  <c r="D98" i="33"/>
  <c r="D99" i="33"/>
  <c r="D84" i="33"/>
  <c r="B84" i="33"/>
  <c r="B85" i="33" s="1"/>
  <c r="B86" i="33" s="1"/>
  <c r="B87" i="33" s="1"/>
  <c r="B88" i="33" s="1"/>
  <c r="B89" i="33" s="1"/>
  <c r="B90" i="33" s="1"/>
  <c r="B91" i="33" s="1"/>
  <c r="B92" i="33" s="1"/>
  <c r="B93" i="33" s="1"/>
  <c r="B94" i="33" s="1"/>
  <c r="B96" i="33" s="1"/>
  <c r="B97" i="33" s="1"/>
  <c r="B98" i="33" s="1"/>
  <c r="B99" i="33" s="1"/>
  <c r="B95" i="33" s="1"/>
  <c r="A84" i="33"/>
  <c r="A85" i="33" s="1"/>
  <c r="A86" i="33" s="1"/>
  <c r="A87" i="33" s="1"/>
  <c r="A88" i="33" s="1"/>
  <c r="A89" i="33" s="1"/>
  <c r="A90" i="33" s="1"/>
  <c r="A91" i="33" s="1"/>
  <c r="A92" i="33" s="1"/>
  <c r="A93" i="33" s="1"/>
  <c r="A94" i="33" s="1"/>
  <c r="A96" i="33" s="1"/>
  <c r="A97" i="33" s="1"/>
  <c r="A98" i="33" s="1"/>
  <c r="A99" i="33" s="1"/>
  <c r="A95" i="33" s="1"/>
  <c r="A100" i="33" s="1"/>
  <c r="A101" i="33" s="1"/>
  <c r="A102" i="33" s="1"/>
  <c r="A103" i="33" s="1"/>
  <c r="A104" i="33" s="1"/>
  <c r="A105" i="33" s="1"/>
  <c r="A106" i="33" s="1"/>
  <c r="A107" i="33" s="1"/>
  <c r="A108" i="33" s="1"/>
  <c r="A109" i="33" s="1"/>
  <c r="A110" i="33" s="1"/>
  <c r="A112" i="33" s="1"/>
  <c r="A113" i="33" s="1"/>
  <c r="A114" i="33" s="1"/>
  <c r="A115" i="33" s="1"/>
  <c r="B73" i="33"/>
  <c r="B74" i="33" s="1"/>
  <c r="B75" i="33" s="1"/>
  <c r="B76" i="33" s="1"/>
  <c r="B77" i="33" s="1"/>
  <c r="B78" i="33" s="1"/>
  <c r="B79" i="33" s="1"/>
  <c r="B80" i="33" s="1"/>
  <c r="B81" i="33" s="1"/>
  <c r="B82" i="33" s="1"/>
  <c r="A73" i="33"/>
  <c r="A74" i="33" s="1"/>
  <c r="A75" i="33" s="1"/>
  <c r="A76" i="33" s="1"/>
  <c r="A77" i="33" s="1"/>
  <c r="A78" i="33" s="1"/>
  <c r="A79" i="33" s="1"/>
  <c r="A80" i="33" s="1"/>
  <c r="A81" i="33" s="1"/>
  <c r="A82" i="33" s="1"/>
  <c r="D31" i="45" l="1"/>
  <c r="C27" i="62"/>
  <c r="D38" i="45"/>
  <c r="C33" i="62"/>
  <c r="A135" i="34"/>
  <c r="A136" i="34" s="1"/>
  <c r="A137" i="34" s="1"/>
  <c r="A138" i="34" s="1"/>
  <c r="A139" i="34" s="1"/>
  <c r="A140" i="34" s="1"/>
  <c r="A141" i="34" s="1"/>
  <c r="A142" i="34" s="1"/>
  <c r="A143" i="34" s="1"/>
  <c r="A144" i="34" s="1"/>
  <c r="A145" i="34" s="1"/>
  <c r="A146" i="34" s="1"/>
  <c r="A147" i="34" s="1"/>
  <c r="A148" i="34" s="1"/>
  <c r="A149" i="34" s="1"/>
  <c r="A150" i="34" s="1"/>
  <c r="A151" i="34" s="1"/>
  <c r="A152" i="34" s="1"/>
  <c r="A153" i="34" s="1"/>
  <c r="A154" i="34" s="1"/>
  <c r="A155" i="34" s="1"/>
  <c r="A156" i="34" s="1"/>
  <c r="A157" i="34" s="1"/>
  <c r="A158" i="34" s="1"/>
  <c r="A159" i="34" s="1"/>
  <c r="A160" i="34" s="1"/>
  <c r="A161" i="34" s="1"/>
  <c r="A162" i="34" s="1"/>
  <c r="A163" i="34" s="1"/>
  <c r="A164" i="34" s="1"/>
  <c r="A165" i="34" s="1"/>
  <c r="A166" i="34" s="1"/>
  <c r="A167" i="34" s="1"/>
  <c r="A168" i="34" s="1"/>
  <c r="A169" i="34" s="1"/>
  <c r="A170" i="34" s="1"/>
  <c r="A171" i="34" s="1"/>
  <c r="A172" i="34" s="1"/>
  <c r="A173" i="34" s="1"/>
  <c r="A174" i="34" s="1"/>
  <c r="A175" i="34" s="1"/>
  <c r="A176" i="34" s="1"/>
  <c r="A177" i="34" s="1"/>
  <c r="A178" i="34" s="1"/>
  <c r="A179" i="34" s="1"/>
  <c r="A180" i="34" s="1"/>
  <c r="A181" i="34" s="1"/>
  <c r="A182" i="34" s="1"/>
  <c r="A183" i="34" s="1"/>
  <c r="A184" i="34" s="1"/>
  <c r="A185" i="34" s="1"/>
  <c r="A186" i="34" s="1"/>
  <c r="A187" i="34" s="1"/>
  <c r="A123" i="34"/>
  <c r="A124" i="34" s="1"/>
  <c r="A125" i="34" s="1"/>
  <c r="A126" i="34" s="1"/>
  <c r="A127" i="34" s="1"/>
  <c r="A128" i="34" s="1"/>
  <c r="A129" i="34" s="1"/>
  <c r="A130" i="34" s="1"/>
  <c r="A131" i="34" s="1"/>
  <c r="A132" i="34" s="1"/>
  <c r="A133" i="34" s="1"/>
  <c r="A134" i="34" s="1"/>
  <c r="A44" i="45"/>
  <c r="A45" i="45" s="1"/>
  <c r="A46" i="45" s="1"/>
  <c r="A47" i="45" s="1"/>
  <c r="A48" i="45" s="1"/>
  <c r="A50" i="45" s="1"/>
  <c r="A51" i="45" s="1"/>
  <c r="A43" i="45"/>
  <c r="A65" i="45" s="1"/>
  <c r="A111" i="33"/>
  <c r="A116" i="33"/>
  <c r="A117" i="33" s="1"/>
  <c r="A118" i="33" s="1"/>
  <c r="A119" i="33" s="1"/>
  <c r="A120" i="33" s="1"/>
  <c r="A121" i="33" s="1"/>
  <c r="A122" i="33" s="1"/>
  <c r="A123" i="33" s="1"/>
  <c r="A124" i="33" s="1"/>
  <c r="A125" i="33" s="1"/>
  <c r="A126" i="33" s="1"/>
  <c r="A127" i="33" s="1"/>
  <c r="A128" i="33" s="1"/>
  <c r="A129" i="33" s="1"/>
  <c r="A130" i="33" s="1"/>
  <c r="A131" i="33" s="1"/>
  <c r="A132" i="33" s="1"/>
  <c r="A133" i="33" s="1"/>
  <c r="A134" i="33" s="1"/>
  <c r="A135" i="33" s="1"/>
  <c r="A136" i="33" s="1"/>
  <c r="A137" i="33" s="1"/>
  <c r="A138" i="33" s="1"/>
  <c r="A139" i="33" s="1"/>
  <c r="A140" i="33" s="1"/>
  <c r="A141" i="33" s="1"/>
  <c r="A142" i="33" s="1"/>
  <c r="A143" i="33" s="1"/>
  <c r="A144" i="33" s="1"/>
  <c r="A145" i="33" s="1"/>
  <c r="A146" i="33" s="1"/>
  <c r="A147" i="33" s="1"/>
  <c r="B111" i="33"/>
  <c r="B116" i="33"/>
  <c r="B117" i="33" s="1"/>
  <c r="B118" i="33" s="1"/>
  <c r="B119" i="33" s="1"/>
  <c r="B120" i="33" s="1"/>
  <c r="B121" i="33" s="1"/>
  <c r="B122" i="33" s="1"/>
  <c r="B123" i="33" s="1"/>
  <c r="B124" i="33" s="1"/>
  <c r="B125" i="33" s="1"/>
  <c r="B126" i="33" s="1"/>
  <c r="B127" i="33" s="1"/>
  <c r="B128" i="33" s="1"/>
  <c r="B129" i="33" s="1"/>
  <c r="B130" i="33" s="1"/>
  <c r="B131" i="33" s="1"/>
  <c r="B132" i="33" s="1"/>
  <c r="B133" i="33" s="1"/>
  <c r="B134" i="33" s="1"/>
  <c r="B135" i="33" s="1"/>
  <c r="B136" i="33" s="1"/>
  <c r="B137" i="33" s="1"/>
  <c r="B138" i="33" s="1"/>
  <c r="B139" i="33" s="1"/>
  <c r="B140" i="33" s="1"/>
  <c r="B141" i="33" s="1"/>
  <c r="B142" i="33" s="1"/>
  <c r="B143" i="33" s="1"/>
  <c r="B144" i="33" s="1"/>
  <c r="B145" i="33" s="1"/>
  <c r="B146" i="33" s="1"/>
  <c r="B147" i="33" s="1"/>
  <c r="C71" i="34"/>
  <c r="C56" i="34"/>
  <c r="D104" i="33"/>
  <c r="D58" i="34"/>
  <c r="D114" i="33"/>
  <c r="D68" i="34"/>
  <c r="D105" i="33"/>
  <c r="D59" i="34"/>
  <c r="D113" i="33"/>
  <c r="D67" i="34"/>
  <c r="D108" i="33"/>
  <c r="D62" i="34"/>
  <c r="D111" i="33"/>
  <c r="D65" i="34"/>
  <c r="D100" i="33"/>
  <c r="D54" i="34"/>
  <c r="D112" i="33"/>
  <c r="D66" i="34"/>
  <c r="D107" i="33"/>
  <c r="D61" i="34"/>
  <c r="D103" i="33"/>
  <c r="D57" i="34"/>
  <c r="D109" i="33"/>
  <c r="D63" i="34"/>
  <c r="D101" i="33"/>
  <c r="D55" i="34"/>
  <c r="D115" i="33"/>
  <c r="D69" i="34"/>
  <c r="D110" i="33"/>
  <c r="D64" i="34"/>
  <c r="D106" i="33"/>
  <c r="D60" i="34"/>
  <c r="D102" i="33"/>
  <c r="D56" i="34"/>
  <c r="D39" i="45" l="1"/>
  <c r="C34" i="62"/>
  <c r="D32" i="45"/>
  <c r="C28" i="62"/>
  <c r="A49" i="45"/>
  <c r="A66" i="45" s="1"/>
  <c r="A53" i="45"/>
  <c r="A54" i="45" s="1"/>
  <c r="A52" i="45"/>
  <c r="A67" i="45" s="1"/>
  <c r="C57" i="34"/>
  <c r="C72" i="34"/>
  <c r="D118" i="33"/>
  <c r="D134" i="33" s="1"/>
  <c r="D72" i="34"/>
  <c r="D126" i="33"/>
  <c r="D142" i="33" s="1"/>
  <c r="D80" i="34"/>
  <c r="D117" i="33"/>
  <c r="D133" i="33" s="1"/>
  <c r="D71" i="34"/>
  <c r="D119" i="33"/>
  <c r="D135" i="33" s="1"/>
  <c r="D73" i="34"/>
  <c r="D128" i="33"/>
  <c r="D144" i="33" s="1"/>
  <c r="D82" i="34"/>
  <c r="D127" i="33"/>
  <c r="D143" i="33" s="1"/>
  <c r="D81" i="34"/>
  <c r="D129" i="33"/>
  <c r="D145" i="33" s="1"/>
  <c r="D83" i="34"/>
  <c r="D130" i="33"/>
  <c r="D146" i="33" s="1"/>
  <c r="D84" i="34"/>
  <c r="D122" i="33"/>
  <c r="D138" i="33" s="1"/>
  <c r="D76" i="34"/>
  <c r="D131" i="33"/>
  <c r="D147" i="33" s="1"/>
  <c r="D85" i="34"/>
  <c r="D125" i="33"/>
  <c r="D141" i="33" s="1"/>
  <c r="D79" i="34"/>
  <c r="D123" i="33"/>
  <c r="D139" i="33" s="1"/>
  <c r="D77" i="34"/>
  <c r="D116" i="33"/>
  <c r="D70" i="34"/>
  <c r="D124" i="33"/>
  <c r="D140" i="33" s="1"/>
  <c r="D78" i="34"/>
  <c r="D121" i="33"/>
  <c r="D137" i="33" s="1"/>
  <c r="D75" i="34"/>
  <c r="D120" i="33"/>
  <c r="D136" i="33" s="1"/>
  <c r="D74" i="34"/>
  <c r="D33" i="45" l="1"/>
  <c r="C30" i="62" s="1"/>
  <c r="C29" i="62"/>
  <c r="D40" i="45"/>
  <c r="C36" i="62" s="1"/>
  <c r="C35" i="62"/>
  <c r="R61" i="34"/>
  <c r="H64" i="34"/>
  <c r="O62" i="34"/>
  <c r="S61" i="34"/>
  <c r="H67" i="34"/>
  <c r="M64" i="34"/>
  <c r="L69" i="34"/>
  <c r="J33" i="45" s="1"/>
  <c r="S68" i="34"/>
  <c r="V58" i="34"/>
  <c r="X54" i="34"/>
  <c r="Z63" i="34"/>
  <c r="K60" i="34"/>
  <c r="Q67" i="34"/>
  <c r="D132" i="33"/>
  <c r="AC64" i="34"/>
  <c r="O57" i="34"/>
  <c r="O67" i="34"/>
  <c r="U60" i="34"/>
  <c r="W60" i="34"/>
  <c r="AB69" i="34"/>
  <c r="U63" i="34"/>
  <c r="AB63" i="34"/>
  <c r="Q61" i="34"/>
  <c r="O54" i="34"/>
  <c r="Q54" i="34"/>
  <c r="U59" i="34"/>
  <c r="K59" i="34"/>
  <c r="H58" i="34"/>
  <c r="X58" i="34"/>
  <c r="U55" i="34"/>
  <c r="I55" i="34"/>
  <c r="H66" i="34"/>
  <c r="F31" i="45" s="1"/>
  <c r="AB66" i="34"/>
  <c r="U68" i="34"/>
  <c r="O68" i="34"/>
  <c r="P64" i="34"/>
  <c r="Q57" i="34"/>
  <c r="I60" i="34"/>
  <c r="S69" i="34"/>
  <c r="Q33" i="45" s="1"/>
  <c r="M69" i="34"/>
  <c r="K33" i="45" s="1"/>
  <c r="J63" i="34"/>
  <c r="W63" i="34"/>
  <c r="H61" i="34"/>
  <c r="V62" i="34"/>
  <c r="L62" i="34"/>
  <c r="J59" i="34"/>
  <c r="AA59" i="34"/>
  <c r="O58" i="34"/>
  <c r="Q58" i="34"/>
  <c r="J55" i="34"/>
  <c r="W55" i="34"/>
  <c r="O66" i="34"/>
  <c r="M31" i="45" s="1"/>
  <c r="Y66" i="34"/>
  <c r="W31" i="45" s="1"/>
  <c r="I68" i="34"/>
  <c r="Z64" i="34"/>
  <c r="Z57" i="34"/>
  <c r="V67" i="34"/>
  <c r="T60" i="34"/>
  <c r="R60" i="34"/>
  <c r="AC69" i="34"/>
  <c r="I63" i="34"/>
  <c r="T63" i="34"/>
  <c r="X61" i="34"/>
  <c r="V54" i="34"/>
  <c r="H62" i="34"/>
  <c r="AB62" i="34"/>
  <c r="R59" i="34"/>
  <c r="AB59" i="34"/>
  <c r="R55" i="34"/>
  <c r="L55" i="34"/>
  <c r="T68" i="34"/>
  <c r="N68" i="34"/>
  <c r="V66" i="34"/>
  <c r="T31" i="45" s="1"/>
  <c r="Y62" i="34"/>
  <c r="L66" i="34"/>
  <c r="J31" i="45" s="1"/>
  <c r="H54" i="34"/>
  <c r="P57" i="34"/>
  <c r="K77" i="34"/>
  <c r="AA77" i="34"/>
  <c r="V77" i="34"/>
  <c r="L77" i="34"/>
  <c r="R77" i="34"/>
  <c r="M77" i="34"/>
  <c r="Z77" i="34"/>
  <c r="R84" i="34"/>
  <c r="Z84" i="34"/>
  <c r="U84" i="34"/>
  <c r="K84" i="34"/>
  <c r="L84" i="34"/>
  <c r="AB84" i="34"/>
  <c r="M84" i="34"/>
  <c r="J65" i="34"/>
  <c r="V56" i="34"/>
  <c r="Y56" i="34"/>
  <c r="X56" i="34"/>
  <c r="H68" i="34"/>
  <c r="Z68" i="34"/>
  <c r="Q68" i="34"/>
  <c r="P68" i="34"/>
  <c r="Q66" i="34"/>
  <c r="X66" i="34"/>
  <c r="AC66" i="34"/>
  <c r="AA66" i="34"/>
  <c r="K66" i="34"/>
  <c r="R66" i="34"/>
  <c r="S55" i="34"/>
  <c r="N55" i="34"/>
  <c r="Q55" i="34"/>
  <c r="J58" i="34"/>
  <c r="T58" i="34"/>
  <c r="U58" i="34"/>
  <c r="AA58" i="34"/>
  <c r="K58" i="34"/>
  <c r="R58" i="34"/>
  <c r="P59" i="34"/>
  <c r="W59" i="34"/>
  <c r="N59" i="34"/>
  <c r="Q59" i="34"/>
  <c r="M62" i="34"/>
  <c r="X62" i="34"/>
  <c r="U62" i="34"/>
  <c r="AA62" i="34"/>
  <c r="K62" i="34"/>
  <c r="R62" i="34"/>
  <c r="J54" i="34"/>
  <c r="T54" i="34"/>
  <c r="U54" i="34"/>
  <c r="AA54" i="34"/>
  <c r="K54" i="34"/>
  <c r="R54" i="34"/>
  <c r="AC61" i="34"/>
  <c r="M61" i="34"/>
  <c r="N61" i="34"/>
  <c r="T61" i="34"/>
  <c r="O61" i="34"/>
  <c r="S63" i="34"/>
  <c r="L63" i="34"/>
  <c r="V63" i="34"/>
  <c r="X63" i="34"/>
  <c r="Q63" i="34"/>
  <c r="Y69" i="34"/>
  <c r="H69" i="34"/>
  <c r="X69" i="34"/>
  <c r="Z69" i="34"/>
  <c r="O69" i="34"/>
  <c r="O60" i="34"/>
  <c r="N60" i="34"/>
  <c r="Q60" i="34"/>
  <c r="P60" i="34"/>
  <c r="AA67" i="34"/>
  <c r="K67" i="34"/>
  <c r="R67" i="34"/>
  <c r="X67" i="34"/>
  <c r="AC67" i="34"/>
  <c r="M67" i="34"/>
  <c r="AC57" i="34"/>
  <c r="M57" i="34"/>
  <c r="AB57" i="34"/>
  <c r="L57" i="34"/>
  <c r="N57" i="34"/>
  <c r="AA57" i="34"/>
  <c r="K57" i="34"/>
  <c r="J64" i="34"/>
  <c r="V64" i="34"/>
  <c r="O64" i="34"/>
  <c r="Y64" i="34"/>
  <c r="AB64" i="34"/>
  <c r="L64" i="34"/>
  <c r="I65" i="34"/>
  <c r="AC65" i="34"/>
  <c r="M65" i="34"/>
  <c r="AB65" i="34"/>
  <c r="L65" i="34"/>
  <c r="S65" i="34"/>
  <c r="W56" i="34"/>
  <c r="R56" i="34"/>
  <c r="I56" i="34"/>
  <c r="U56" i="34"/>
  <c r="O56" i="34"/>
  <c r="T56" i="34"/>
  <c r="L74" i="34"/>
  <c r="P74" i="34"/>
  <c r="T74" i="34"/>
  <c r="AB74" i="34"/>
  <c r="H74" i="34"/>
  <c r="AA74" i="34"/>
  <c r="I74" i="34"/>
  <c r="M74" i="34"/>
  <c r="U74" i="34"/>
  <c r="Y74" i="34"/>
  <c r="AC74" i="34"/>
  <c r="S74" i="34"/>
  <c r="J74" i="34"/>
  <c r="R74" i="34"/>
  <c r="V74" i="34"/>
  <c r="Z74" i="34"/>
  <c r="K74" i="34"/>
  <c r="W74" i="34"/>
  <c r="K85" i="34"/>
  <c r="O85" i="34"/>
  <c r="S85" i="34"/>
  <c r="AA85" i="34"/>
  <c r="Z85" i="34"/>
  <c r="L85" i="34"/>
  <c r="T85" i="34"/>
  <c r="X85" i="34"/>
  <c r="AB85" i="34"/>
  <c r="R85" i="34"/>
  <c r="H85" i="34"/>
  <c r="M85" i="34"/>
  <c r="Q85" i="34"/>
  <c r="U85" i="34"/>
  <c r="AC85" i="34"/>
  <c r="J85" i="34"/>
  <c r="K73" i="34"/>
  <c r="O73" i="34"/>
  <c r="S73" i="34"/>
  <c r="AA73" i="34"/>
  <c r="V73" i="34"/>
  <c r="L73" i="34"/>
  <c r="T73" i="34"/>
  <c r="X73" i="34"/>
  <c r="AB73" i="34"/>
  <c r="R73" i="34"/>
  <c r="I73" i="34"/>
  <c r="Q73" i="34"/>
  <c r="U73" i="34"/>
  <c r="Y73" i="34"/>
  <c r="N73" i="34"/>
  <c r="Z73" i="34"/>
  <c r="H65" i="34"/>
  <c r="Q65" i="34"/>
  <c r="P65" i="34"/>
  <c r="W65" i="34"/>
  <c r="J56" i="34"/>
  <c r="S56" i="34"/>
  <c r="AA56" i="34"/>
  <c r="M75" i="34"/>
  <c r="Q75" i="34"/>
  <c r="U75" i="34"/>
  <c r="AC75" i="34"/>
  <c r="L75" i="34"/>
  <c r="J75" i="34"/>
  <c r="N75" i="34"/>
  <c r="R75" i="34"/>
  <c r="Z75" i="34"/>
  <c r="T75" i="34"/>
  <c r="K75" i="34"/>
  <c r="S75" i="34"/>
  <c r="W75" i="34"/>
  <c r="AA75" i="34"/>
  <c r="P75" i="34"/>
  <c r="AB75" i="34"/>
  <c r="P70" i="34"/>
  <c r="T70" i="34"/>
  <c r="X70" i="34"/>
  <c r="H70" i="34"/>
  <c r="K70" i="34"/>
  <c r="AA70" i="34"/>
  <c r="I70" i="34"/>
  <c r="Q70" i="34"/>
  <c r="U70" i="34"/>
  <c r="Y70" i="34"/>
  <c r="J70" i="34"/>
  <c r="N70" i="34"/>
  <c r="V70" i="34"/>
  <c r="Z70" i="34"/>
  <c r="O70" i="34"/>
  <c r="W70" i="34"/>
  <c r="M79" i="34"/>
  <c r="Q79" i="34"/>
  <c r="U79" i="34"/>
  <c r="AC79" i="34"/>
  <c r="T79" i="34"/>
  <c r="J79" i="34"/>
  <c r="N79" i="34"/>
  <c r="R79" i="34"/>
  <c r="Z79" i="34"/>
  <c r="P79" i="34"/>
  <c r="AB79" i="34"/>
  <c r="K79" i="34"/>
  <c r="S79" i="34"/>
  <c r="W79" i="34"/>
  <c r="AA79" i="34"/>
  <c r="L79" i="34"/>
  <c r="X79" i="34"/>
  <c r="N76" i="34"/>
  <c r="R76" i="34"/>
  <c r="V76" i="34"/>
  <c r="M76" i="34"/>
  <c r="K76" i="34"/>
  <c r="O76" i="34"/>
  <c r="S76" i="34"/>
  <c r="AA76" i="34"/>
  <c r="L76" i="34"/>
  <c r="P76" i="34"/>
  <c r="X76" i="34"/>
  <c r="AB76" i="34"/>
  <c r="I76" i="34"/>
  <c r="U76" i="34"/>
  <c r="AC76" i="34"/>
  <c r="M83" i="34"/>
  <c r="Q83" i="34"/>
  <c r="U83" i="34"/>
  <c r="AC83" i="34"/>
  <c r="P83" i="34"/>
  <c r="J83" i="34"/>
  <c r="N83" i="34"/>
  <c r="R83" i="34"/>
  <c r="Z83" i="34"/>
  <c r="T83" i="34"/>
  <c r="K83" i="34"/>
  <c r="S83" i="34"/>
  <c r="W83" i="34"/>
  <c r="AA83" i="34"/>
  <c r="L83" i="34"/>
  <c r="X83" i="34"/>
  <c r="P82" i="34"/>
  <c r="T82" i="34"/>
  <c r="X82" i="34"/>
  <c r="H82" i="34"/>
  <c r="S82" i="34"/>
  <c r="I82" i="34"/>
  <c r="M82" i="34"/>
  <c r="Q82" i="34"/>
  <c r="Y82" i="34"/>
  <c r="AC82" i="34"/>
  <c r="W82" i="34"/>
  <c r="J82" i="34"/>
  <c r="R82" i="34"/>
  <c r="V82" i="34"/>
  <c r="Z82" i="34"/>
  <c r="O82" i="34"/>
  <c r="AA82" i="34"/>
  <c r="M71" i="34"/>
  <c r="Q71" i="34"/>
  <c r="U71" i="34"/>
  <c r="AC71" i="34"/>
  <c r="P71" i="34"/>
  <c r="J71" i="34"/>
  <c r="N71" i="34"/>
  <c r="V71" i="34"/>
  <c r="Z71" i="34"/>
  <c r="H71" i="34"/>
  <c r="K71" i="34"/>
  <c r="O71" i="34"/>
  <c r="W71" i="34"/>
  <c r="AA71" i="34"/>
  <c r="L71" i="34"/>
  <c r="T71" i="34"/>
  <c r="AB71" i="34"/>
  <c r="N72" i="34"/>
  <c r="R72" i="34"/>
  <c r="V72" i="34"/>
  <c r="Q72" i="34"/>
  <c r="K72" i="34"/>
  <c r="O72" i="34"/>
  <c r="S72" i="34"/>
  <c r="AA72" i="34"/>
  <c r="L72" i="34"/>
  <c r="P72" i="34"/>
  <c r="X72" i="34"/>
  <c r="AB72" i="34"/>
  <c r="M72" i="34"/>
  <c r="U72" i="34"/>
  <c r="AC72" i="34"/>
  <c r="J68" i="34"/>
  <c r="V68" i="34"/>
  <c r="W68" i="34"/>
  <c r="AC68" i="34"/>
  <c r="M68" i="34"/>
  <c r="AB68" i="34"/>
  <c r="L68" i="34"/>
  <c r="J66" i="34"/>
  <c r="T66" i="34"/>
  <c r="I66" i="34"/>
  <c r="W66" i="34"/>
  <c r="U66" i="34"/>
  <c r="N66" i="34"/>
  <c r="O55" i="34"/>
  <c r="T55" i="34"/>
  <c r="Z55" i="34"/>
  <c r="AB55" i="34"/>
  <c r="AC55" i="34"/>
  <c r="M55" i="34"/>
  <c r="P58" i="34"/>
  <c r="I58" i="34"/>
  <c r="W58" i="34"/>
  <c r="Y58" i="34"/>
  <c r="N58" i="34"/>
  <c r="S59" i="34"/>
  <c r="T59" i="34"/>
  <c r="Z59" i="34"/>
  <c r="X59" i="34"/>
  <c r="AC59" i="34"/>
  <c r="M59" i="34"/>
  <c r="J62" i="34"/>
  <c r="T62" i="34"/>
  <c r="I62" i="34"/>
  <c r="W62" i="34"/>
  <c r="AC62" i="34"/>
  <c r="N62" i="34"/>
  <c r="P54" i="34"/>
  <c r="I54" i="34"/>
  <c r="W54" i="34"/>
  <c r="AC54" i="34"/>
  <c r="N54" i="34"/>
  <c r="Y61" i="34"/>
  <c r="I61" i="34"/>
  <c r="P61" i="34"/>
  <c r="V61" i="34"/>
  <c r="AA61" i="34"/>
  <c r="K61" i="34"/>
  <c r="O63" i="34"/>
  <c r="R63" i="34"/>
  <c r="P63" i="34"/>
  <c r="AC63" i="34"/>
  <c r="M63" i="34"/>
  <c r="R69" i="34"/>
  <c r="U69" i="34"/>
  <c r="V69" i="34"/>
  <c r="T69" i="34"/>
  <c r="N69" i="34"/>
  <c r="AA69" i="34"/>
  <c r="K69" i="34"/>
  <c r="H60" i="34"/>
  <c r="Z60" i="34"/>
  <c r="AC60" i="34"/>
  <c r="M60" i="34"/>
  <c r="AB60" i="34"/>
  <c r="L60" i="34"/>
  <c r="T67" i="34"/>
  <c r="W67" i="34"/>
  <c r="AB67" i="34"/>
  <c r="N67" i="34"/>
  <c r="L67" i="34"/>
  <c r="Y67" i="34"/>
  <c r="Y57" i="34"/>
  <c r="H57" i="34"/>
  <c r="X57" i="34"/>
  <c r="I57" i="34"/>
  <c r="J57" i="34"/>
  <c r="W57" i="34"/>
  <c r="AA64" i="34"/>
  <c r="R64" i="34"/>
  <c r="I64" i="34"/>
  <c r="U64" i="34"/>
  <c r="W64" i="34"/>
  <c r="X64" i="34"/>
  <c r="Y65" i="34"/>
  <c r="X65" i="34"/>
  <c r="Z65" i="34"/>
  <c r="O65" i="34"/>
  <c r="K56" i="34"/>
  <c r="N56" i="34"/>
  <c r="Q56" i="34"/>
  <c r="P56" i="34"/>
  <c r="P78" i="34"/>
  <c r="T78" i="34"/>
  <c r="X78" i="34"/>
  <c r="AB78" i="34"/>
  <c r="H78" i="34"/>
  <c r="K78" i="34"/>
  <c r="W78" i="34"/>
  <c r="I78" i="34"/>
  <c r="M78" i="34"/>
  <c r="Q78" i="34"/>
  <c r="U78" i="34"/>
  <c r="Y78" i="34"/>
  <c r="AC78" i="34"/>
  <c r="S78" i="34"/>
  <c r="J78" i="34"/>
  <c r="N78" i="34"/>
  <c r="R78" i="34"/>
  <c r="V78" i="34"/>
  <c r="Z78" i="34"/>
  <c r="O78" i="34"/>
  <c r="AA78" i="34"/>
  <c r="K81" i="34"/>
  <c r="O81" i="34"/>
  <c r="S81" i="34"/>
  <c r="W81" i="34"/>
  <c r="AA81" i="34"/>
  <c r="N81" i="34"/>
  <c r="Z81" i="34"/>
  <c r="L81" i="34"/>
  <c r="P81" i="34"/>
  <c r="T81" i="34"/>
  <c r="X81" i="34"/>
  <c r="AB81" i="34"/>
  <c r="J81" i="34"/>
  <c r="V81" i="34"/>
  <c r="I81" i="34"/>
  <c r="M81" i="34"/>
  <c r="Q81" i="34"/>
  <c r="U81" i="34"/>
  <c r="Y81" i="34"/>
  <c r="AC81" i="34"/>
  <c r="R81" i="34"/>
  <c r="H81" i="34"/>
  <c r="J80" i="34"/>
  <c r="N80" i="34"/>
  <c r="R80" i="34"/>
  <c r="V80" i="34"/>
  <c r="Z80" i="34"/>
  <c r="Q80" i="34"/>
  <c r="AC80" i="34"/>
  <c r="K80" i="34"/>
  <c r="O80" i="34"/>
  <c r="S80" i="34"/>
  <c r="W80" i="34"/>
  <c r="AA80" i="34"/>
  <c r="M80" i="34"/>
  <c r="Y80" i="34"/>
  <c r="L80" i="34"/>
  <c r="P80" i="34"/>
  <c r="T80" i="34"/>
  <c r="X80" i="34"/>
  <c r="AB80" i="34"/>
  <c r="H80" i="34"/>
  <c r="I80" i="34"/>
  <c r="U80" i="34"/>
  <c r="AA68" i="34"/>
  <c r="R68" i="34"/>
  <c r="K68" i="34"/>
  <c r="Y68" i="34"/>
  <c r="X68" i="34"/>
  <c r="P66" i="34"/>
  <c r="S66" i="34"/>
  <c r="M66" i="34"/>
  <c r="Z66" i="34"/>
  <c r="X55" i="34"/>
  <c r="AA55" i="34"/>
  <c r="K55" i="34"/>
  <c r="H55" i="34"/>
  <c r="V55" i="34"/>
  <c r="P55" i="34"/>
  <c r="Y55" i="34"/>
  <c r="AC58" i="34"/>
  <c r="AB58" i="34"/>
  <c r="L58" i="34"/>
  <c r="S58" i="34"/>
  <c r="M58" i="34"/>
  <c r="Z58" i="34"/>
  <c r="I59" i="34"/>
  <c r="O59" i="34"/>
  <c r="H59" i="34"/>
  <c r="V59" i="34"/>
  <c r="L59" i="34"/>
  <c r="Y59" i="34"/>
  <c r="P62" i="34"/>
  <c r="S62" i="34"/>
  <c r="Q62" i="34"/>
  <c r="Z62" i="34"/>
  <c r="Y54" i="34"/>
  <c r="AB54" i="34"/>
  <c r="L54" i="34"/>
  <c r="S54" i="34"/>
  <c r="M54" i="34"/>
  <c r="Z54" i="34"/>
  <c r="Z61" i="34"/>
  <c r="U61" i="34"/>
  <c r="AB61" i="34"/>
  <c r="L61" i="34"/>
  <c r="J61" i="34"/>
  <c r="W61" i="34"/>
  <c r="AA63" i="34"/>
  <c r="K63" i="34"/>
  <c r="N63" i="34"/>
  <c r="H63" i="34"/>
  <c r="Y63" i="34"/>
  <c r="I69" i="34"/>
  <c r="Q69" i="34"/>
  <c r="P69" i="34"/>
  <c r="J69" i="34"/>
  <c r="W69" i="34"/>
  <c r="J60" i="34"/>
  <c r="V60" i="34"/>
  <c r="S60" i="34"/>
  <c r="Y60" i="34"/>
  <c r="AA60" i="34"/>
  <c r="X60" i="34"/>
  <c r="S67" i="34"/>
  <c r="P67" i="34"/>
  <c r="Z67" i="34"/>
  <c r="I67" i="34"/>
  <c r="J67" i="34"/>
  <c r="U67" i="34"/>
  <c r="V57" i="34"/>
  <c r="U57" i="34"/>
  <c r="R57" i="34"/>
  <c r="T57" i="34"/>
  <c r="S57" i="34"/>
  <c r="S64" i="34"/>
  <c r="N64" i="34"/>
  <c r="Q64" i="34"/>
  <c r="K64" i="34"/>
  <c r="T64" i="34"/>
  <c r="N65" i="34"/>
  <c r="U65" i="34"/>
  <c r="V65" i="34"/>
  <c r="T65" i="34"/>
  <c r="R65" i="34"/>
  <c r="AA65" i="34"/>
  <c r="K65" i="34"/>
  <c r="H56" i="34"/>
  <c r="Z56" i="34"/>
  <c r="AC56" i="34"/>
  <c r="M56" i="34"/>
  <c r="AB56" i="34"/>
  <c r="L56" i="34"/>
  <c r="C73" i="34"/>
  <c r="O77" i="34" l="1"/>
  <c r="AB77" i="34"/>
  <c r="Q77" i="34"/>
  <c r="I84" i="34"/>
  <c r="AA84" i="34"/>
  <c r="Y39" i="45" s="1"/>
  <c r="P84" i="34"/>
  <c r="N39" i="45" s="1"/>
  <c r="X74" i="34"/>
  <c r="O74" i="34"/>
  <c r="Q74" i="34"/>
  <c r="N74" i="34"/>
  <c r="W85" i="34"/>
  <c r="U40" i="45" s="1"/>
  <c r="N85" i="34"/>
  <c r="P85" i="34"/>
  <c r="I85" i="34"/>
  <c r="G40" i="45" s="1"/>
  <c r="Y85" i="34"/>
  <c r="W40" i="45" s="1"/>
  <c r="V85" i="34"/>
  <c r="W73" i="34"/>
  <c r="J73" i="34"/>
  <c r="P73" i="34"/>
  <c r="N35" i="45" s="1"/>
  <c r="M73" i="34"/>
  <c r="AC73" i="34"/>
  <c r="H73" i="34"/>
  <c r="I75" i="34"/>
  <c r="Y75" i="34"/>
  <c r="X75" i="34"/>
  <c r="V75" i="34"/>
  <c r="H75" i="34"/>
  <c r="O75" i="34"/>
  <c r="L70" i="34"/>
  <c r="AB70" i="34"/>
  <c r="S70" i="34"/>
  <c r="M70" i="34"/>
  <c r="K35" i="45" s="1"/>
  <c r="AC70" i="34"/>
  <c r="R70" i="34"/>
  <c r="I79" i="34"/>
  <c r="G37" i="45" s="1"/>
  <c r="Y79" i="34"/>
  <c r="V79" i="34"/>
  <c r="T37" i="45" s="1"/>
  <c r="H79" i="34"/>
  <c r="F37" i="45" s="1"/>
  <c r="O79" i="34"/>
  <c r="J76" i="34"/>
  <c r="Z76" i="34"/>
  <c r="X36" i="45" s="1"/>
  <c r="Y76" i="34"/>
  <c r="W76" i="34"/>
  <c r="Q76" i="34"/>
  <c r="T76" i="34"/>
  <c r="H76" i="34"/>
  <c r="I83" i="34"/>
  <c r="G39" i="45" s="1"/>
  <c r="Y83" i="34"/>
  <c r="AB83" i="34"/>
  <c r="V83" i="34"/>
  <c r="H83" i="34"/>
  <c r="O83" i="34"/>
  <c r="L82" i="34"/>
  <c r="AB82" i="34"/>
  <c r="U82" i="34"/>
  <c r="S38" i="45" s="1"/>
  <c r="K82" i="34"/>
  <c r="N82" i="34"/>
  <c r="L38" i="45" s="1"/>
  <c r="I71" i="34"/>
  <c r="Y71" i="34"/>
  <c r="X71" i="34"/>
  <c r="V35" i="45" s="1"/>
  <c r="R71" i="34"/>
  <c r="S71" i="34"/>
  <c r="J72" i="34"/>
  <c r="Z72" i="34"/>
  <c r="X35" i="45" s="1"/>
  <c r="Y72" i="34"/>
  <c r="W72" i="34"/>
  <c r="I72" i="34"/>
  <c r="T72" i="34"/>
  <c r="R35" i="45" s="1"/>
  <c r="H72" i="34"/>
  <c r="F35" i="45" s="1"/>
  <c r="L78" i="34"/>
  <c r="J36" i="45" s="1"/>
  <c r="S84" i="34"/>
  <c r="Q39" i="45" s="1"/>
  <c r="V84" i="34"/>
  <c r="T39" i="45" s="1"/>
  <c r="Y77" i="34"/>
  <c r="P77" i="34"/>
  <c r="N36" i="45" s="1"/>
  <c r="W77" i="34"/>
  <c r="O32" i="45"/>
  <c r="Y84" i="34"/>
  <c r="X84" i="34"/>
  <c r="V39" i="45" s="1"/>
  <c r="O84" i="34"/>
  <c r="J84" i="34"/>
  <c r="H39" i="45" s="1"/>
  <c r="AC77" i="34"/>
  <c r="I77" i="34"/>
  <c r="T77" i="34"/>
  <c r="J77" i="34"/>
  <c r="S77" i="34"/>
  <c r="Q36" i="45" s="1"/>
  <c r="H84" i="34"/>
  <c r="T84" i="34"/>
  <c r="Q84" i="34"/>
  <c r="O39" i="45" s="1"/>
  <c r="W84" i="34"/>
  <c r="AC84" i="34"/>
  <c r="N84" i="34"/>
  <c r="L39" i="45" s="1"/>
  <c r="N77" i="34"/>
  <c r="L36" i="45" s="1"/>
  <c r="U77" i="34"/>
  <c r="S36" i="45" s="1"/>
  <c r="X77" i="34"/>
  <c r="H77" i="34"/>
  <c r="M32" i="45"/>
  <c r="T29" i="45"/>
  <c r="F28" i="45"/>
  <c r="U30" i="45"/>
  <c r="O29" i="45"/>
  <c r="U33" i="45"/>
  <c r="Y30" i="45"/>
  <c r="Q29" i="45"/>
  <c r="N30" i="45"/>
  <c r="L28" i="45"/>
  <c r="U29" i="45"/>
  <c r="M38" i="45"/>
  <c r="R38" i="45"/>
  <c r="H40" i="45"/>
  <c r="Q40" i="45"/>
  <c r="V30" i="45"/>
  <c r="P28" i="45"/>
  <c r="Y29" i="45"/>
  <c r="S32" i="45"/>
  <c r="N32" i="45"/>
  <c r="H33" i="45"/>
  <c r="L30" i="45"/>
  <c r="X28" i="45"/>
  <c r="J28" i="45"/>
  <c r="X30" i="45"/>
  <c r="J32" i="45"/>
  <c r="U32" i="45"/>
  <c r="L33" i="45"/>
  <c r="P33" i="45"/>
  <c r="P30" i="45"/>
  <c r="N28" i="45"/>
  <c r="L29" i="45"/>
  <c r="G29" i="45"/>
  <c r="L31" i="45"/>
  <c r="G31" i="45"/>
  <c r="P38" i="45"/>
  <c r="U38" i="45"/>
  <c r="W38" i="45"/>
  <c r="G38" i="45"/>
  <c r="N38" i="45"/>
  <c r="X39" i="45"/>
  <c r="K39" i="45"/>
  <c r="Q37" i="45"/>
  <c r="N37" i="45"/>
  <c r="X37" i="45"/>
  <c r="H37" i="45"/>
  <c r="K37" i="45"/>
  <c r="M35" i="45"/>
  <c r="T35" i="45"/>
  <c r="O35" i="45"/>
  <c r="Y35" i="45"/>
  <c r="O40" i="45"/>
  <c r="V40" i="45"/>
  <c r="M40" i="45"/>
  <c r="I36" i="45"/>
  <c r="T36" i="45"/>
  <c r="V32" i="45"/>
  <c r="Y32" i="45"/>
  <c r="X33" i="45"/>
  <c r="T30" i="45"/>
  <c r="R28" i="45"/>
  <c r="P29" i="45"/>
  <c r="S29" i="45"/>
  <c r="P31" i="45"/>
  <c r="M28" i="45"/>
  <c r="F29" i="45"/>
  <c r="X32" i="45"/>
  <c r="F30" i="45"/>
  <c r="Q31" i="45"/>
  <c r="S33" i="45"/>
  <c r="F38" i="45"/>
  <c r="J39" i="45"/>
  <c r="U37" i="45"/>
  <c r="L37" i="45"/>
  <c r="S35" i="45"/>
  <c r="F40" i="45"/>
  <c r="K36" i="45"/>
  <c r="H32" i="45"/>
  <c r="Q32" i="45"/>
  <c r="N33" i="45"/>
  <c r="G33" i="45"/>
  <c r="K28" i="45"/>
  <c r="X29" i="45"/>
  <c r="J29" i="45"/>
  <c r="X31" i="45"/>
  <c r="N31" i="45"/>
  <c r="L32" i="45"/>
  <c r="R32" i="45"/>
  <c r="R33" i="45"/>
  <c r="K30" i="45"/>
  <c r="N29" i="45"/>
  <c r="R31" i="45"/>
  <c r="I38" i="45"/>
  <c r="J38" i="45"/>
  <c r="M37" i="45"/>
  <c r="W37" i="45"/>
  <c r="J35" i="45"/>
  <c r="T32" i="45"/>
  <c r="G30" i="45"/>
  <c r="T28" i="45"/>
  <c r="V28" i="45"/>
  <c r="M29" i="45"/>
  <c r="K40" i="45"/>
  <c r="P40" i="45"/>
  <c r="R40" i="45"/>
  <c r="X40" i="45"/>
  <c r="Y40" i="45"/>
  <c r="I40" i="45"/>
  <c r="P36" i="45"/>
  <c r="Y36" i="45"/>
  <c r="P32" i="45"/>
  <c r="V33" i="45"/>
  <c r="O30" i="45"/>
  <c r="J30" i="45"/>
  <c r="I28" i="45"/>
  <c r="H28" i="45"/>
  <c r="R29" i="45"/>
  <c r="V31" i="45"/>
  <c r="F32" i="45"/>
  <c r="O33" i="45"/>
  <c r="W32" i="45"/>
  <c r="Y33" i="45"/>
  <c r="G28" i="45"/>
  <c r="U31" i="45"/>
  <c r="T38" i="45"/>
  <c r="K38" i="45"/>
  <c r="J37" i="45"/>
  <c r="O37" i="45"/>
  <c r="S40" i="45"/>
  <c r="J40" i="45"/>
  <c r="I32" i="45"/>
  <c r="W33" i="45"/>
  <c r="S28" i="45"/>
  <c r="Y31" i="45"/>
  <c r="G32" i="45"/>
  <c r="W30" i="45"/>
  <c r="I30" i="45"/>
  <c r="Q28" i="45"/>
  <c r="W28" i="45"/>
  <c r="K29" i="45"/>
  <c r="K31" i="45"/>
  <c r="S30" i="45"/>
  <c r="R30" i="45"/>
  <c r="I33" i="45"/>
  <c r="T33" i="45"/>
  <c r="M30" i="45"/>
  <c r="U28" i="45"/>
  <c r="W29" i="45"/>
  <c r="S31" i="45"/>
  <c r="H31" i="45"/>
  <c r="Y38" i="45"/>
  <c r="X38" i="45"/>
  <c r="H38" i="45"/>
  <c r="O38" i="45"/>
  <c r="Q38" i="45"/>
  <c r="V38" i="45"/>
  <c r="I39" i="45"/>
  <c r="P39" i="45"/>
  <c r="S39" i="45"/>
  <c r="V37" i="45"/>
  <c r="Y37" i="45"/>
  <c r="I37" i="45"/>
  <c r="P37" i="45"/>
  <c r="R37" i="45"/>
  <c r="S37" i="45"/>
  <c r="L35" i="45"/>
  <c r="I35" i="45"/>
  <c r="T40" i="45"/>
  <c r="N40" i="45"/>
  <c r="L40" i="45"/>
  <c r="K32" i="45"/>
  <c r="M33" i="45"/>
  <c r="F33" i="45"/>
  <c r="Q30" i="45"/>
  <c r="Y28" i="45"/>
  <c r="I29" i="45"/>
  <c r="H29" i="45"/>
  <c r="I31" i="45"/>
  <c r="O31" i="45"/>
  <c r="H30" i="45"/>
  <c r="O28" i="45"/>
  <c r="V29" i="45"/>
  <c r="E25" i="36"/>
  <c r="E26" i="36"/>
  <c r="E27" i="36"/>
  <c r="E28" i="36"/>
  <c r="E29" i="36"/>
  <c r="E30" i="36"/>
  <c r="E31" i="36"/>
  <c r="E32" i="36"/>
  <c r="E33" i="36"/>
  <c r="E34" i="36"/>
  <c r="E36" i="36"/>
  <c r="E37" i="36"/>
  <c r="E38" i="36"/>
  <c r="E39" i="36"/>
  <c r="E35" i="36"/>
  <c r="E24" i="36"/>
  <c r="C39" i="36"/>
  <c r="C99" i="33" s="1"/>
  <c r="C115" i="33" s="1"/>
  <c r="C131" i="33" s="1"/>
  <c r="C147" i="33" s="1"/>
  <c r="C37" i="36"/>
  <c r="C97" i="33" s="1"/>
  <c r="C113" i="33" s="1"/>
  <c r="C129" i="33" s="1"/>
  <c r="C145" i="33" s="1"/>
  <c r="C36" i="36"/>
  <c r="C96" i="33" s="1"/>
  <c r="C112" i="33" s="1"/>
  <c r="C128" i="33" s="1"/>
  <c r="C144" i="33" s="1"/>
  <c r="C33" i="36"/>
  <c r="C93" i="33" s="1"/>
  <c r="C109" i="33" s="1"/>
  <c r="C125" i="33" s="1"/>
  <c r="C141" i="33" s="1"/>
  <c r="C28" i="36"/>
  <c r="C88" i="33" s="1"/>
  <c r="C104" i="33" s="1"/>
  <c r="C120" i="33" s="1"/>
  <c r="C136" i="33" s="1"/>
  <c r="C24" i="36"/>
  <c r="C84" i="33" s="1"/>
  <c r="C100" i="33" s="1"/>
  <c r="C116" i="33" s="1"/>
  <c r="C132" i="33" s="1"/>
  <c r="B24" i="36"/>
  <c r="B25" i="36" s="1"/>
  <c r="B26" i="36" s="1"/>
  <c r="B27" i="36" s="1"/>
  <c r="B28" i="36" s="1"/>
  <c r="B29" i="36" s="1"/>
  <c r="B30" i="36" s="1"/>
  <c r="B31" i="36" s="1"/>
  <c r="B32" i="36" s="1"/>
  <c r="B33" i="36" s="1"/>
  <c r="B34" i="36" s="1"/>
  <c r="B36" i="36" s="1"/>
  <c r="B37" i="36" s="1"/>
  <c r="B38" i="36" s="1"/>
  <c r="B39" i="36" s="1"/>
  <c r="B35" i="36" s="1"/>
  <c r="A24" i="36"/>
  <c r="A25" i="36" s="1"/>
  <c r="A26" i="36" s="1"/>
  <c r="A27" i="36" s="1"/>
  <c r="A28" i="36" s="1"/>
  <c r="A29" i="36" s="1"/>
  <c r="A30" i="36" s="1"/>
  <c r="A31" i="36" s="1"/>
  <c r="A32" i="36" s="1"/>
  <c r="A33" i="36" s="1"/>
  <c r="A34" i="36" s="1"/>
  <c r="A36" i="36" s="1"/>
  <c r="A37" i="36" s="1"/>
  <c r="A38" i="36" s="1"/>
  <c r="A39" i="36" s="1"/>
  <c r="A35" i="36" s="1"/>
  <c r="M39" i="45" l="1"/>
  <c r="G35" i="45"/>
  <c r="W35" i="45"/>
  <c r="F39" i="45"/>
  <c r="G36" i="45"/>
  <c r="G34" i="45" s="1"/>
  <c r="G62" i="45" s="1"/>
  <c r="U36" i="45"/>
  <c r="P35" i="45"/>
  <c r="P34" i="45" s="1"/>
  <c r="P62" i="45" s="1"/>
  <c r="M36" i="45"/>
  <c r="M34" i="45" s="1"/>
  <c r="M62" i="45" s="1"/>
  <c r="Q35" i="45"/>
  <c r="Q34" i="45" s="1"/>
  <c r="Q62" i="45" s="1"/>
  <c r="W36" i="45"/>
  <c r="U35" i="45"/>
  <c r="H36" i="45"/>
  <c r="H35" i="45"/>
  <c r="O36" i="45"/>
  <c r="O34" i="45" s="1"/>
  <c r="O62" i="45" s="1"/>
  <c r="V36" i="45"/>
  <c r="V34" i="45" s="1"/>
  <c r="V62" i="45" s="1"/>
  <c r="Y27" i="45"/>
  <c r="Y61" i="45" s="1"/>
  <c r="F36" i="45"/>
  <c r="U39" i="45"/>
  <c r="W39" i="45"/>
  <c r="R36" i="45"/>
  <c r="R39" i="45"/>
  <c r="I34" i="45"/>
  <c r="I62" i="45" s="1"/>
  <c r="S27" i="45"/>
  <c r="S61" i="45" s="1"/>
  <c r="V27" i="45"/>
  <c r="V61" i="45" s="1"/>
  <c r="F27" i="45"/>
  <c r="F61" i="45" s="1"/>
  <c r="S34" i="45"/>
  <c r="S62" i="45" s="1"/>
  <c r="N34" i="45"/>
  <c r="N62" i="45" s="1"/>
  <c r="N27" i="45"/>
  <c r="N61" i="45" s="1"/>
  <c r="I27" i="45"/>
  <c r="I61" i="45" s="1"/>
  <c r="J27" i="45"/>
  <c r="J61" i="45" s="1"/>
  <c r="U27" i="45"/>
  <c r="U61" i="45" s="1"/>
  <c r="G27" i="45"/>
  <c r="G61" i="45" s="1"/>
  <c r="K34" i="45"/>
  <c r="K62" i="45" s="1"/>
  <c r="K27" i="45"/>
  <c r="K61" i="45" s="1"/>
  <c r="R27" i="45"/>
  <c r="R61" i="45" s="1"/>
  <c r="Y34" i="45"/>
  <c r="Y62" i="45" s="1"/>
  <c r="T34" i="45"/>
  <c r="T62" i="45" s="1"/>
  <c r="X34" i="45"/>
  <c r="X62" i="45" s="1"/>
  <c r="L27" i="45"/>
  <c r="L61" i="45" s="1"/>
  <c r="W27" i="45"/>
  <c r="W61" i="45" s="1"/>
  <c r="O27" i="45"/>
  <c r="O61" i="45" s="1"/>
  <c r="L34" i="45"/>
  <c r="L62" i="45" s="1"/>
  <c r="Q27" i="45"/>
  <c r="Q61" i="45" s="1"/>
  <c r="J34" i="45"/>
  <c r="J62" i="45" s="1"/>
  <c r="H27" i="45"/>
  <c r="H61" i="45" s="1"/>
  <c r="T27" i="45"/>
  <c r="T61" i="45" s="1"/>
  <c r="M27" i="45"/>
  <c r="M61" i="45" s="1"/>
  <c r="X27" i="45"/>
  <c r="X61" i="45" s="1"/>
  <c r="P27" i="45"/>
  <c r="P61" i="45" s="1"/>
  <c r="C34" i="36"/>
  <c r="C94" i="33" s="1"/>
  <c r="C110" i="33" s="1"/>
  <c r="C126" i="33" s="1"/>
  <c r="C142" i="33" s="1"/>
  <c r="C25" i="36"/>
  <c r="C85" i="33" s="1"/>
  <c r="C101" i="33" s="1"/>
  <c r="C117" i="33" s="1"/>
  <c r="C133" i="33" s="1"/>
  <c r="C29" i="36"/>
  <c r="C38" i="36"/>
  <c r="C98" i="33" s="1"/>
  <c r="C114" i="33" s="1"/>
  <c r="C130" i="33" s="1"/>
  <c r="C146" i="33" s="1"/>
  <c r="C35" i="36"/>
  <c r="C95" i="33" s="1"/>
  <c r="C111" i="33" s="1"/>
  <c r="C127" i="33" s="1"/>
  <c r="C143" i="33" s="1"/>
  <c r="F34" i="45" l="1"/>
  <c r="F62" i="45" s="1"/>
  <c r="H34" i="45"/>
  <c r="H62" i="45" s="1"/>
  <c r="W34" i="45"/>
  <c r="W62" i="45" s="1"/>
  <c r="U34" i="45"/>
  <c r="U62" i="45" s="1"/>
  <c r="R34" i="45"/>
  <c r="R62" i="45" s="1"/>
  <c r="C26" i="36"/>
  <c r="C27" i="36" s="1"/>
  <c r="C87" i="33" s="1"/>
  <c r="C103" i="33" s="1"/>
  <c r="C119" i="33" s="1"/>
  <c r="C135" i="33" s="1"/>
  <c r="C89" i="33"/>
  <c r="C105" i="33" s="1"/>
  <c r="C121" i="33" s="1"/>
  <c r="C137" i="33" s="1"/>
  <c r="C30" i="36"/>
  <c r="C86" i="33" l="1"/>
  <c r="C102" i="33" s="1"/>
  <c r="C118" i="33" s="1"/>
  <c r="C134" i="33" s="1"/>
  <c r="C90" i="33"/>
  <c r="C106" i="33" s="1"/>
  <c r="C122" i="33" s="1"/>
  <c r="C138" i="33" s="1"/>
  <c r="C31" i="36"/>
  <c r="C91" i="33" l="1"/>
  <c r="C107" i="33" s="1"/>
  <c r="C123" i="33" s="1"/>
  <c r="C139" i="33" s="1"/>
  <c r="C32" i="36"/>
  <c r="C92" i="33" s="1"/>
  <c r="C108" i="33" s="1"/>
  <c r="C124" i="33" s="1"/>
  <c r="C140" i="33" s="1"/>
  <c r="E21" i="45" l="1"/>
  <c r="D21" i="45"/>
  <c r="C21" i="62" s="1"/>
  <c r="B20" i="45"/>
  <c r="B21" i="45" s="1"/>
  <c r="B22" i="45" s="1"/>
  <c r="B23" i="45" s="1"/>
  <c r="B24" i="45" s="1"/>
  <c r="B25" i="45" s="1"/>
  <c r="B26" i="45" s="1"/>
  <c r="B19" i="45" s="1"/>
  <c r="B60" i="45" s="1"/>
  <c r="C26" i="45"/>
  <c r="A24" i="62" s="1"/>
  <c r="B24" i="62" s="1"/>
  <c r="B12" i="45"/>
  <c r="B13" i="45" s="1"/>
  <c r="E6" i="45"/>
  <c r="D6" i="45"/>
  <c r="C8" i="62" s="1"/>
  <c r="B36" i="34"/>
  <c r="B37" i="34" s="1"/>
  <c r="B38" i="34" s="1"/>
  <c r="B39" i="34" s="1"/>
  <c r="B40" i="34" s="1"/>
  <c r="B41" i="34" s="1"/>
  <c r="B42" i="34" s="1"/>
  <c r="B43" i="34" s="1"/>
  <c r="B44" i="34" s="1"/>
  <c r="B45" i="34" s="1"/>
  <c r="B46" i="34" s="1"/>
  <c r="B47" i="34" s="1"/>
  <c r="B48" i="34" s="1"/>
  <c r="B49" i="34" s="1"/>
  <c r="B50" i="34" s="1"/>
  <c r="B51" i="34" s="1"/>
  <c r="B52" i="34" s="1"/>
  <c r="B53" i="34" s="1"/>
  <c r="B18" i="34"/>
  <c r="B19" i="34" s="1"/>
  <c r="B20" i="34" s="1"/>
  <c r="B21" i="34" s="1"/>
  <c r="B22" i="34" s="1"/>
  <c r="B23" i="34" s="1"/>
  <c r="B24" i="34" s="1"/>
  <c r="B25" i="34" s="1"/>
  <c r="B26" i="34" s="1"/>
  <c r="B27" i="34" s="1"/>
  <c r="B28" i="34" s="1"/>
  <c r="B29" i="34" s="1"/>
  <c r="B30" i="34" s="1"/>
  <c r="B31" i="34" s="1"/>
  <c r="B32" i="34" s="1"/>
  <c r="B33" i="34" s="1"/>
  <c r="B34" i="34" s="1"/>
  <c r="B35" i="34" s="1"/>
  <c r="B4" i="34"/>
  <c r="B5" i="34" s="1"/>
  <c r="B6" i="34" s="1"/>
  <c r="B7" i="34" s="1"/>
  <c r="B8" i="34" s="1"/>
  <c r="B9" i="34" s="1"/>
  <c r="B10" i="34" s="1"/>
  <c r="B11" i="34" s="1"/>
  <c r="B12" i="34" s="1"/>
  <c r="B13" i="34" s="1"/>
  <c r="B14" i="34" s="1"/>
  <c r="B15" i="34" s="1"/>
  <c r="B16" i="34" s="1"/>
  <c r="B17" i="34" s="1"/>
  <c r="A4" i="34"/>
  <c r="A5" i="34" s="1"/>
  <c r="A6" i="34" s="1"/>
  <c r="A7" i="34" s="1"/>
  <c r="A8" i="34" s="1"/>
  <c r="A9" i="34" s="1"/>
  <c r="A10" i="34" s="1"/>
  <c r="A11" i="34" s="1"/>
  <c r="A12" i="34" s="1"/>
  <c r="A13" i="34" s="1"/>
  <c r="A14" i="34" s="1"/>
  <c r="A15" i="34" s="1"/>
  <c r="A16" i="34" s="1"/>
  <c r="A17" i="34" s="1"/>
  <c r="A18" i="34" s="1"/>
  <c r="A19" i="34" s="1"/>
  <c r="A20" i="34" s="1"/>
  <c r="A21" i="34" s="1"/>
  <c r="A22" i="34" s="1"/>
  <c r="A23" i="34" s="1"/>
  <c r="A24" i="34" s="1"/>
  <c r="A25" i="34" s="1"/>
  <c r="A26" i="34" s="1"/>
  <c r="A27" i="34" s="1"/>
  <c r="A28" i="34" s="1"/>
  <c r="A29" i="34" s="1"/>
  <c r="A30" i="34" s="1"/>
  <c r="A31" i="34" s="1"/>
  <c r="A32" i="34" s="1"/>
  <c r="A33" i="34" s="1"/>
  <c r="A34" i="34" s="1"/>
  <c r="A35" i="34" s="1"/>
  <c r="A36" i="34" s="1"/>
  <c r="A37" i="34" s="1"/>
  <c r="A38" i="34" s="1"/>
  <c r="A39" i="34" s="1"/>
  <c r="A40" i="34" s="1"/>
  <c r="A41" i="34" s="1"/>
  <c r="A42" i="34" s="1"/>
  <c r="A43" i="34" s="1"/>
  <c r="A44" i="34" s="1"/>
  <c r="A45" i="34" s="1"/>
  <c r="A46" i="34" s="1"/>
  <c r="A47" i="34" s="1"/>
  <c r="A48" i="34" s="1"/>
  <c r="A49" i="34" s="1"/>
  <c r="A50" i="34" s="1"/>
  <c r="A51" i="34" s="1"/>
  <c r="A52" i="34" s="1"/>
  <c r="A53" i="34" s="1"/>
  <c r="B36" i="33"/>
  <c r="B37" i="33" s="1"/>
  <c r="B38" i="33" s="1"/>
  <c r="B39" i="33" s="1"/>
  <c r="B40" i="33" s="1"/>
  <c r="B41" i="33" s="1"/>
  <c r="B42" i="33" s="1"/>
  <c r="B43" i="33" s="1"/>
  <c r="B44" i="33" s="1"/>
  <c r="B45" i="33" s="1"/>
  <c r="B46" i="33" s="1"/>
  <c r="B47" i="33" s="1"/>
  <c r="B48" i="33" s="1"/>
  <c r="B49" i="33" s="1"/>
  <c r="B50" i="33" s="1"/>
  <c r="B51" i="33" s="1"/>
  <c r="B52" i="33" s="1"/>
  <c r="B53" i="33" s="1"/>
  <c r="B54" i="33" s="1"/>
  <c r="B55" i="33" s="1"/>
  <c r="B56" i="33" s="1"/>
  <c r="B57" i="33" s="1"/>
  <c r="B58" i="33" s="1"/>
  <c r="B59" i="33" s="1"/>
  <c r="B60" i="33" s="1"/>
  <c r="B61" i="33" s="1"/>
  <c r="B62" i="33" s="1"/>
  <c r="B63" i="33" s="1"/>
  <c r="B64" i="33" s="1"/>
  <c r="B65" i="33" s="1"/>
  <c r="B66" i="33" s="1"/>
  <c r="B67" i="33" s="1"/>
  <c r="B68" i="33" s="1"/>
  <c r="B69" i="33" s="1"/>
  <c r="B70" i="33" s="1"/>
  <c r="B71" i="33" s="1"/>
  <c r="B18" i="33"/>
  <c r="B19" i="33" s="1"/>
  <c r="B20" i="33" s="1"/>
  <c r="B21" i="33" s="1"/>
  <c r="B22" i="33" s="1"/>
  <c r="B23" i="33" s="1"/>
  <c r="B24" i="33" s="1"/>
  <c r="B25" i="33" s="1"/>
  <c r="B26" i="33" s="1"/>
  <c r="B27" i="33" s="1"/>
  <c r="B28" i="33" s="1"/>
  <c r="B29" i="33" s="1"/>
  <c r="B30" i="33" s="1"/>
  <c r="B31" i="33" s="1"/>
  <c r="B32" i="33" s="1"/>
  <c r="B33" i="33" s="1"/>
  <c r="B34" i="33" s="1"/>
  <c r="B35" i="33" s="1"/>
  <c r="B4" i="33"/>
  <c r="B5" i="33" s="1"/>
  <c r="B6" i="33" s="1"/>
  <c r="B7" i="33" s="1"/>
  <c r="B8" i="33" s="1"/>
  <c r="B9" i="33" s="1"/>
  <c r="B10" i="33" s="1"/>
  <c r="B11" i="33" s="1"/>
  <c r="B12" i="33" s="1"/>
  <c r="B13" i="33" s="1"/>
  <c r="B14" i="33" s="1"/>
  <c r="B15" i="33" s="1"/>
  <c r="B16" i="33" s="1"/>
  <c r="B17" i="33" s="1"/>
  <c r="A4" i="33"/>
  <c r="A5" i="33" s="1"/>
  <c r="A6" i="33" s="1"/>
  <c r="A7" i="33" s="1"/>
  <c r="A8" i="33" s="1"/>
  <c r="A9" i="33" s="1"/>
  <c r="A10" i="33" s="1"/>
  <c r="A11" i="33" s="1"/>
  <c r="A12" i="33" s="1"/>
  <c r="A13" i="33" s="1"/>
  <c r="A14" i="33" s="1"/>
  <c r="A15" i="33" s="1"/>
  <c r="A16" i="33" s="1"/>
  <c r="A17" i="33" s="1"/>
  <c r="A18" i="33" s="1"/>
  <c r="A19" i="33" s="1"/>
  <c r="A20" i="33" s="1"/>
  <c r="A21" i="33" s="1"/>
  <c r="A22" i="33" s="1"/>
  <c r="A23" i="33" s="1"/>
  <c r="A24" i="33" s="1"/>
  <c r="A25" i="33" s="1"/>
  <c r="A26" i="33" s="1"/>
  <c r="A27" i="33" s="1"/>
  <c r="A28" i="33" s="1"/>
  <c r="A29" i="33" s="1"/>
  <c r="A30" i="33" s="1"/>
  <c r="A31" i="33" s="1"/>
  <c r="A32" i="33" s="1"/>
  <c r="A33" i="33" s="1"/>
  <c r="A34" i="33" s="1"/>
  <c r="A35" i="33" s="1"/>
  <c r="A36" i="33" s="1"/>
  <c r="A37" i="33" s="1"/>
  <c r="A38" i="33" s="1"/>
  <c r="A39" i="33" s="1"/>
  <c r="A40" i="33" s="1"/>
  <c r="A41" i="33" s="1"/>
  <c r="A42" i="33" s="1"/>
  <c r="A43" i="33" s="1"/>
  <c r="A44" i="33" s="1"/>
  <c r="A45" i="33" s="1"/>
  <c r="A46" i="33" s="1"/>
  <c r="A47" i="33" s="1"/>
  <c r="A48" i="33" s="1"/>
  <c r="A49" i="33" s="1"/>
  <c r="A50" i="33" s="1"/>
  <c r="A51" i="33" s="1"/>
  <c r="A52" i="33" s="1"/>
  <c r="A53" i="33" s="1"/>
  <c r="A54" i="33" s="1"/>
  <c r="A55" i="33" s="1"/>
  <c r="A56" i="33" s="1"/>
  <c r="A57" i="33" s="1"/>
  <c r="A58" i="33" s="1"/>
  <c r="A59" i="33" s="1"/>
  <c r="A60" i="33" s="1"/>
  <c r="A61" i="33" s="1"/>
  <c r="A62" i="33" s="1"/>
  <c r="A63" i="33" s="1"/>
  <c r="A64" i="33" s="1"/>
  <c r="A65" i="33" s="1"/>
  <c r="A66" i="33" s="1"/>
  <c r="A67" i="33" s="1"/>
  <c r="A68" i="33" s="1"/>
  <c r="A69" i="33" s="1"/>
  <c r="A70" i="33" s="1"/>
  <c r="A71" i="33" s="1"/>
  <c r="A5" i="36"/>
  <c r="A6" i="36" s="1"/>
  <c r="A7" i="36" s="1"/>
  <c r="A8" i="36" s="1"/>
  <c r="A9" i="36" s="1"/>
  <c r="A10" i="36" s="1"/>
  <c r="A11" i="36" s="1"/>
  <c r="A12" i="36" s="1"/>
  <c r="A13" i="36" s="1"/>
  <c r="A14" i="36" s="1"/>
  <c r="A15" i="36" s="1"/>
  <c r="A16" i="36" s="1"/>
  <c r="A17" i="36" s="1"/>
  <c r="A18" i="36" s="1"/>
  <c r="A19" i="36" s="1"/>
  <c r="A20" i="36" s="1"/>
  <c r="A21" i="36" s="1"/>
  <c r="A22" i="36" s="1"/>
  <c r="B5" i="45"/>
  <c r="B6" i="45" s="1"/>
  <c r="B7" i="45" s="1"/>
  <c r="B8" i="45" s="1"/>
  <c r="B9" i="45" s="1"/>
  <c r="B10" i="45" s="1"/>
  <c r="C7" i="45"/>
  <c r="C8" i="45"/>
  <c r="A10" i="62" s="1"/>
  <c r="B10" i="62" s="1"/>
  <c r="C9" i="45"/>
  <c r="C10" i="45"/>
  <c r="C6" i="45"/>
  <c r="C5" i="45"/>
  <c r="A5" i="45"/>
  <c r="A6" i="45" s="1"/>
  <c r="A7" i="45" s="1"/>
  <c r="A8" i="45" s="1"/>
  <c r="A9" i="45" s="1"/>
  <c r="A10" i="45" s="1"/>
  <c r="A12" i="45" s="1"/>
  <c r="A13" i="45" s="1"/>
  <c r="A14" i="45" s="1"/>
  <c r="A15" i="45" s="1"/>
  <c r="A16" i="45" s="1"/>
  <c r="A17" i="45" s="1"/>
  <c r="A18" i="45" s="1"/>
  <c r="A20" i="45" s="1"/>
  <c r="A21" i="45" s="1"/>
  <c r="A22" i="45" s="1"/>
  <c r="A23" i="45" s="1"/>
  <c r="A24" i="45" s="1"/>
  <c r="A25" i="45" s="1"/>
  <c r="A26" i="45" s="1"/>
  <c r="T136" i="39"/>
  <c r="H77" i="46" s="1"/>
  <c r="O170" i="34" s="1"/>
  <c r="T137" i="39"/>
  <c r="H80" i="46" s="1"/>
  <c r="T138" i="39"/>
  <c r="T135" i="39"/>
  <c r="H78" i="46" s="1"/>
  <c r="J171" i="34" s="1"/>
  <c r="G37" i="33"/>
  <c r="G38" i="33" s="1"/>
  <c r="G39" i="33" s="1"/>
  <c r="G40" i="33" s="1"/>
  <c r="G41" i="33" s="1"/>
  <c r="G42" i="33" s="1"/>
  <c r="G43" i="33" s="1"/>
  <c r="G44" i="33" s="1"/>
  <c r="G45" i="33" s="1"/>
  <c r="G46" i="33" s="1"/>
  <c r="G47" i="33" s="1"/>
  <c r="G48" i="33" s="1"/>
  <c r="G49" i="33" s="1"/>
  <c r="G50" i="33" s="1"/>
  <c r="G51" i="33" s="1"/>
  <c r="G52" i="33" s="1"/>
  <c r="G53" i="33" s="1"/>
  <c r="F37" i="33"/>
  <c r="F38" i="33" s="1"/>
  <c r="F39" i="33" s="1"/>
  <c r="F40" i="33" s="1"/>
  <c r="F41" i="33" s="1"/>
  <c r="F42" i="33" s="1"/>
  <c r="F43" i="33" s="1"/>
  <c r="F44" i="33" s="1"/>
  <c r="F45" i="33" s="1"/>
  <c r="F46" i="33" s="1"/>
  <c r="F47" i="33" s="1"/>
  <c r="F48" i="33" s="1"/>
  <c r="F49" i="33" s="1"/>
  <c r="F50" i="33" s="1"/>
  <c r="F51" i="33" s="1"/>
  <c r="F52" i="33" s="1"/>
  <c r="F53" i="33" s="1"/>
  <c r="T112" i="39"/>
  <c r="H74" i="46" s="1"/>
  <c r="T110" i="39"/>
  <c r="H73" i="46" s="1"/>
  <c r="T131" i="39"/>
  <c r="T125" i="39"/>
  <c r="T25" i="39"/>
  <c r="H68" i="46" s="1"/>
  <c r="G125" i="39"/>
  <c r="G126" i="39"/>
  <c r="T126" i="39" s="1"/>
  <c r="G127" i="39"/>
  <c r="T127" i="39" s="1"/>
  <c r="G128" i="39"/>
  <c r="T128" i="39" s="1"/>
  <c r="G129" i="39"/>
  <c r="T129" i="39" s="1"/>
  <c r="G130" i="39"/>
  <c r="T130" i="39" s="1"/>
  <c r="G131" i="39"/>
  <c r="G132" i="39"/>
  <c r="T132" i="39" s="1"/>
  <c r="G133" i="39"/>
  <c r="T133" i="39" s="1"/>
  <c r="G124" i="39"/>
  <c r="T124" i="39" s="1"/>
  <c r="G115" i="39"/>
  <c r="T115" i="39" s="1"/>
  <c r="G116" i="39"/>
  <c r="T116" i="39" s="1"/>
  <c r="G117" i="39"/>
  <c r="T117" i="39" s="1"/>
  <c r="G118" i="39"/>
  <c r="T118" i="39" s="1"/>
  <c r="G119" i="39"/>
  <c r="T119" i="39" s="1"/>
  <c r="G120" i="39"/>
  <c r="T120" i="39" s="1"/>
  <c r="G121" i="39"/>
  <c r="T121" i="39" s="1"/>
  <c r="G122" i="39"/>
  <c r="T122" i="39" s="1"/>
  <c r="G123" i="39"/>
  <c r="T123" i="39" s="1"/>
  <c r="G114" i="39"/>
  <c r="T114" i="39" s="1"/>
  <c r="G28" i="39"/>
  <c r="T28" i="39" s="1"/>
  <c r="G27" i="39"/>
  <c r="T27" i="39" s="1"/>
  <c r="G26" i="39"/>
  <c r="T26" i="39" s="1"/>
  <c r="G23" i="39"/>
  <c r="T23" i="39" s="1"/>
  <c r="G24" i="39"/>
  <c r="T24" i="39" s="1"/>
  <c r="G22" i="39"/>
  <c r="T22" i="39" s="1"/>
  <c r="G13" i="39"/>
  <c r="T13" i="39" s="1"/>
  <c r="G14" i="39"/>
  <c r="T14" i="39" s="1"/>
  <c r="G15" i="39"/>
  <c r="T15" i="39" s="1"/>
  <c r="G16" i="39"/>
  <c r="T16" i="39" s="1"/>
  <c r="G17" i="39"/>
  <c r="T17" i="39" s="1"/>
  <c r="G18" i="39"/>
  <c r="T18" i="39" s="1"/>
  <c r="G19" i="39"/>
  <c r="T19" i="39" s="1"/>
  <c r="G20" i="39"/>
  <c r="T20" i="39" s="1"/>
  <c r="G21" i="39"/>
  <c r="T21" i="39" s="1"/>
  <c r="G12" i="39"/>
  <c r="T12" i="39" s="1"/>
  <c r="D18" i="36"/>
  <c r="D76" i="46" s="1"/>
  <c r="D17" i="36"/>
  <c r="D75" i="46" s="1"/>
  <c r="D7" i="36"/>
  <c r="D65" i="46" s="1"/>
  <c r="C7" i="36"/>
  <c r="G74" i="33"/>
  <c r="G75" i="33" s="1"/>
  <c r="G76" i="33" s="1"/>
  <c r="G77" i="33" s="1"/>
  <c r="G78" i="33" s="1"/>
  <c r="G79" i="33" s="1"/>
  <c r="G80" i="33" s="1"/>
  <c r="G81" i="33" s="1"/>
  <c r="G82" i="33" s="1"/>
  <c r="F74" i="33"/>
  <c r="F75" i="33" s="1"/>
  <c r="F76" i="33" s="1"/>
  <c r="F77" i="33" s="1"/>
  <c r="F78" i="33" s="1"/>
  <c r="F79" i="33" s="1"/>
  <c r="F80" i="33" s="1"/>
  <c r="F81" i="33" s="1"/>
  <c r="F82" i="33" s="1"/>
  <c r="E74" i="33"/>
  <c r="E75" i="33" s="1"/>
  <c r="E76" i="33" s="1"/>
  <c r="E77" i="33" s="1"/>
  <c r="E78" i="33" s="1"/>
  <c r="E79" i="33" s="1"/>
  <c r="E80" i="33" s="1"/>
  <c r="E81" i="33" s="1"/>
  <c r="E82" i="33" s="1"/>
  <c r="C73" i="33"/>
  <c r="C74" i="33" s="1"/>
  <c r="C75" i="33" s="1"/>
  <c r="C76" i="33" s="1"/>
  <c r="C77" i="33" s="1"/>
  <c r="C78" i="33" s="1"/>
  <c r="C79" i="33" s="1"/>
  <c r="C80" i="33" s="1"/>
  <c r="C81" i="33" s="1"/>
  <c r="C82" i="33" s="1"/>
  <c r="Q138" i="39"/>
  <c r="P138" i="39"/>
  <c r="Q137" i="39"/>
  <c r="P137" i="39"/>
  <c r="Q136" i="39"/>
  <c r="P136" i="39"/>
  <c r="Q135" i="39"/>
  <c r="P135" i="39"/>
  <c r="Q133" i="39"/>
  <c r="P133" i="39"/>
  <c r="Q132" i="39"/>
  <c r="P132" i="39"/>
  <c r="Q131" i="39"/>
  <c r="P131" i="39"/>
  <c r="Q130" i="39"/>
  <c r="P130" i="39"/>
  <c r="Q129" i="39"/>
  <c r="P129" i="39"/>
  <c r="Q128" i="39"/>
  <c r="P128" i="39"/>
  <c r="Q127" i="39"/>
  <c r="P127" i="39"/>
  <c r="Q126" i="39"/>
  <c r="P126" i="39"/>
  <c r="Q125" i="39"/>
  <c r="P125" i="39"/>
  <c r="Q124" i="39"/>
  <c r="P124" i="39"/>
  <c r="Q123" i="39"/>
  <c r="P123" i="39"/>
  <c r="Q122" i="39"/>
  <c r="P122" i="39"/>
  <c r="Q121" i="39"/>
  <c r="P121" i="39"/>
  <c r="Q120" i="39"/>
  <c r="P120" i="39"/>
  <c r="Q119" i="39"/>
  <c r="P119" i="39"/>
  <c r="Q118" i="39"/>
  <c r="P118" i="39"/>
  <c r="Q117" i="39"/>
  <c r="P117" i="39"/>
  <c r="Q116" i="39"/>
  <c r="P116" i="39"/>
  <c r="Q115" i="39"/>
  <c r="P115" i="39"/>
  <c r="Q114" i="39"/>
  <c r="P114" i="39"/>
  <c r="Q112" i="39"/>
  <c r="P112" i="39"/>
  <c r="Q110" i="39"/>
  <c r="P110" i="39"/>
  <c r="Q108" i="39"/>
  <c r="P108" i="39"/>
  <c r="Q107" i="39"/>
  <c r="P107" i="39"/>
  <c r="Q106" i="39"/>
  <c r="P106" i="39"/>
  <c r="Q105" i="39"/>
  <c r="P105" i="39"/>
  <c r="Q104" i="39"/>
  <c r="P104" i="39"/>
  <c r="Q103" i="39"/>
  <c r="P103" i="39"/>
  <c r="Q102" i="39"/>
  <c r="P102" i="39"/>
  <c r="Q101" i="39"/>
  <c r="P101" i="39"/>
  <c r="Q100" i="39"/>
  <c r="P100" i="39"/>
  <c r="Q99" i="39"/>
  <c r="P99" i="39"/>
  <c r="Q98" i="39"/>
  <c r="P98" i="39"/>
  <c r="Q97" i="39"/>
  <c r="P97" i="39"/>
  <c r="Q96" i="39"/>
  <c r="P96" i="39"/>
  <c r="Q95" i="39"/>
  <c r="P95" i="39"/>
  <c r="Q94" i="39"/>
  <c r="P94" i="39"/>
  <c r="Q93" i="39"/>
  <c r="P93" i="39"/>
  <c r="Q92" i="39"/>
  <c r="P92" i="39"/>
  <c r="Q91" i="39"/>
  <c r="P91" i="39"/>
  <c r="Q90" i="39"/>
  <c r="P90" i="39"/>
  <c r="Q89" i="39"/>
  <c r="P89" i="39"/>
  <c r="Q88" i="39"/>
  <c r="P88" i="39"/>
  <c r="Q87" i="39"/>
  <c r="P87" i="39"/>
  <c r="Q86" i="39"/>
  <c r="P86" i="39"/>
  <c r="Q85" i="39"/>
  <c r="P85" i="39"/>
  <c r="Q83" i="39"/>
  <c r="P83" i="39"/>
  <c r="Q82" i="39"/>
  <c r="P82" i="39"/>
  <c r="Q81" i="39"/>
  <c r="P81" i="39"/>
  <c r="Q80" i="39"/>
  <c r="P80" i="39"/>
  <c r="Q79" i="39"/>
  <c r="P79" i="39"/>
  <c r="Q78" i="39"/>
  <c r="P78" i="39"/>
  <c r="Q77" i="39"/>
  <c r="P77" i="39"/>
  <c r="Q76" i="39"/>
  <c r="P76" i="39"/>
  <c r="Q75" i="39"/>
  <c r="P75" i="39"/>
  <c r="Q74" i="39"/>
  <c r="P74" i="39"/>
  <c r="Q73" i="39"/>
  <c r="P73" i="39"/>
  <c r="Q72" i="39"/>
  <c r="P72" i="39"/>
  <c r="Q71" i="39"/>
  <c r="P71" i="39"/>
  <c r="Q70" i="39"/>
  <c r="P70" i="39"/>
  <c r="Q69" i="39"/>
  <c r="P69" i="39"/>
  <c r="Q68" i="39"/>
  <c r="P68" i="39"/>
  <c r="Q67" i="39"/>
  <c r="P67" i="39"/>
  <c r="Q66" i="39"/>
  <c r="P66" i="39"/>
  <c r="Q65" i="39"/>
  <c r="P65" i="39"/>
  <c r="Q64" i="39"/>
  <c r="P64" i="39"/>
  <c r="Q63" i="39"/>
  <c r="P63" i="39"/>
  <c r="Q62" i="39"/>
  <c r="P62" i="39"/>
  <c r="Q61" i="39"/>
  <c r="P61" i="39"/>
  <c r="Q60" i="39"/>
  <c r="P60" i="39"/>
  <c r="Q59" i="39"/>
  <c r="P59" i="39"/>
  <c r="Q58" i="39"/>
  <c r="P58" i="39"/>
  <c r="Q57" i="39"/>
  <c r="P57" i="39"/>
  <c r="Q56" i="39"/>
  <c r="P56" i="39"/>
  <c r="Q55" i="39"/>
  <c r="P55" i="39"/>
  <c r="Q54" i="39"/>
  <c r="P54" i="39"/>
  <c r="Q53" i="39"/>
  <c r="P53" i="39"/>
  <c r="Q52" i="39"/>
  <c r="P52" i="39"/>
  <c r="Q51" i="39"/>
  <c r="P51" i="39"/>
  <c r="Q50" i="39"/>
  <c r="P50" i="39"/>
  <c r="Q49" i="39"/>
  <c r="P49" i="39"/>
  <c r="Q48" i="39"/>
  <c r="P48" i="39"/>
  <c r="Q47" i="39"/>
  <c r="P47" i="39"/>
  <c r="Q46" i="39"/>
  <c r="P46" i="39"/>
  <c r="Q45" i="39"/>
  <c r="P45" i="39"/>
  <c r="Q44" i="39"/>
  <c r="P44" i="39"/>
  <c r="Q43" i="39"/>
  <c r="P43" i="39"/>
  <c r="Q42" i="39"/>
  <c r="P42" i="39"/>
  <c r="Q41" i="39"/>
  <c r="P41" i="39"/>
  <c r="Q40" i="39"/>
  <c r="P40" i="39"/>
  <c r="Q39" i="39"/>
  <c r="P39" i="39"/>
  <c r="Q38" i="39"/>
  <c r="P38" i="39"/>
  <c r="Q37" i="39"/>
  <c r="P37" i="39"/>
  <c r="Q36" i="39"/>
  <c r="P36" i="39"/>
  <c r="Q34" i="39"/>
  <c r="P34" i="39"/>
  <c r="Q33" i="39"/>
  <c r="P33" i="39"/>
  <c r="Q32" i="39"/>
  <c r="P32" i="39"/>
  <c r="Q31" i="39"/>
  <c r="P31" i="39"/>
  <c r="Q30" i="39"/>
  <c r="P30" i="39"/>
  <c r="Q29" i="39"/>
  <c r="P29" i="39"/>
  <c r="Q28" i="39"/>
  <c r="P28" i="39"/>
  <c r="Q27" i="39"/>
  <c r="P27" i="39"/>
  <c r="Q26" i="39"/>
  <c r="P26" i="39"/>
  <c r="Q25" i="39"/>
  <c r="P25" i="39"/>
  <c r="Q24" i="39"/>
  <c r="P24" i="39"/>
  <c r="Q23" i="39"/>
  <c r="P23" i="39"/>
  <c r="Q22" i="39"/>
  <c r="P22" i="39"/>
  <c r="Q21" i="39"/>
  <c r="P21" i="39"/>
  <c r="Q20" i="39"/>
  <c r="P20" i="39"/>
  <c r="Q19" i="39"/>
  <c r="P19" i="39"/>
  <c r="Q18" i="39"/>
  <c r="P18" i="39"/>
  <c r="Q17" i="39"/>
  <c r="P17" i="39"/>
  <c r="Q16" i="39"/>
  <c r="P16" i="39"/>
  <c r="Q15" i="39"/>
  <c r="P15" i="39"/>
  <c r="Q14" i="39"/>
  <c r="P14" i="39"/>
  <c r="Q13" i="39"/>
  <c r="P13" i="39"/>
  <c r="Q12" i="39"/>
  <c r="P12" i="39"/>
  <c r="Q10" i="39"/>
  <c r="P10" i="39"/>
  <c r="Q9" i="39"/>
  <c r="P9" i="39"/>
  <c r="Q8" i="39"/>
  <c r="P8" i="39"/>
  <c r="Q7" i="39"/>
  <c r="P7" i="39"/>
  <c r="Q6" i="39"/>
  <c r="P6" i="39"/>
  <c r="N136" i="39"/>
  <c r="H32" i="33" s="1"/>
  <c r="N137" i="39"/>
  <c r="H35" i="33" s="1"/>
  <c r="N138" i="39"/>
  <c r="H34" i="33" s="1"/>
  <c r="N135" i="39"/>
  <c r="H33" i="33" s="1"/>
  <c r="H41" i="33" l="1"/>
  <c r="H46" i="33"/>
  <c r="C20" i="45"/>
  <c r="A20" i="62" s="1"/>
  <c r="B20" i="62" s="1"/>
  <c r="A7" i="62"/>
  <c r="B7" i="62" s="1"/>
  <c r="C21" i="45"/>
  <c r="A21" i="62" s="1"/>
  <c r="B21" i="62" s="1"/>
  <c r="A8" i="62"/>
  <c r="B8" i="62" s="1"/>
  <c r="C22" i="45"/>
  <c r="A22" i="62" s="1"/>
  <c r="B22" i="62" s="1"/>
  <c r="A9" i="62"/>
  <c r="B9" i="62" s="1"/>
  <c r="C24" i="45"/>
  <c r="A11" i="62"/>
  <c r="B11" i="62" s="1"/>
  <c r="C25" i="45"/>
  <c r="A23" i="62" s="1"/>
  <c r="B23" i="62" s="1"/>
  <c r="A12" i="62"/>
  <c r="B12" i="62" s="1"/>
  <c r="AB64" i="36"/>
  <c r="X186" i="34"/>
  <c r="K64" i="36"/>
  <c r="Q80" i="36"/>
  <c r="Z80" i="36"/>
  <c r="AC80" i="36"/>
  <c r="AC121" i="34" s="1"/>
  <c r="P186" i="34"/>
  <c r="W64" i="36"/>
  <c r="H65" i="46"/>
  <c r="H38" i="33"/>
  <c r="W38" i="34" s="1"/>
  <c r="H75" i="46"/>
  <c r="H48" i="33"/>
  <c r="AI48" i="34" s="1"/>
  <c r="X81" i="36"/>
  <c r="H52" i="33"/>
  <c r="H79" i="46"/>
  <c r="AB81" i="36"/>
  <c r="AB186" i="34"/>
  <c r="K170" i="34"/>
  <c r="Z170" i="34"/>
  <c r="Q65" i="36"/>
  <c r="Q106" i="34" s="1"/>
  <c r="P80" i="36"/>
  <c r="H81" i="36"/>
  <c r="AC65" i="36"/>
  <c r="AC106" i="34" s="1"/>
  <c r="X170" i="34"/>
  <c r="X65" i="36"/>
  <c r="Q186" i="34"/>
  <c r="AC186" i="34"/>
  <c r="R171" i="34"/>
  <c r="W80" i="36"/>
  <c r="H187" i="34"/>
  <c r="AB187" i="34"/>
  <c r="AB80" i="36"/>
  <c r="AB121" i="34" s="1"/>
  <c r="K186" i="34"/>
  <c r="Z186" i="34"/>
  <c r="Q81" i="36"/>
  <c r="Q122" i="34" s="1"/>
  <c r="P170" i="34"/>
  <c r="H65" i="36"/>
  <c r="AC187" i="34"/>
  <c r="X64" i="36"/>
  <c r="X187" i="34"/>
  <c r="Q64" i="36"/>
  <c r="AC64" i="36"/>
  <c r="AC105" i="34" s="1"/>
  <c r="R81" i="36"/>
  <c r="W186" i="34"/>
  <c r="AC81" i="36"/>
  <c r="AH76" i="36"/>
  <c r="AH117" i="34" s="1"/>
  <c r="AG76" i="36"/>
  <c r="AG117" i="34" s="1"/>
  <c r="AF76" i="36"/>
  <c r="AF117" i="34" s="1"/>
  <c r="AE76" i="36"/>
  <c r="AE117" i="34" s="1"/>
  <c r="AI76" i="36"/>
  <c r="AI117" i="34" s="1"/>
  <c r="AD60" i="36"/>
  <c r="AD101" i="34" s="1"/>
  <c r="AI60" i="36"/>
  <c r="AI101" i="34" s="1"/>
  <c r="AD76" i="36"/>
  <c r="AD117" i="34" s="1"/>
  <c r="AG60" i="36"/>
  <c r="AG101" i="34" s="1"/>
  <c r="AH60" i="36"/>
  <c r="AH101" i="34" s="1"/>
  <c r="AF60" i="36"/>
  <c r="AF101" i="34" s="1"/>
  <c r="AE60" i="36"/>
  <c r="AE101" i="34" s="1"/>
  <c r="BP60" i="36"/>
  <c r="BP101" i="34" s="1"/>
  <c r="AJ76" i="36"/>
  <c r="AJ117" i="34" s="1"/>
  <c r="BG76" i="36"/>
  <c r="BG117" i="34" s="1"/>
  <c r="AU76" i="36"/>
  <c r="AU117" i="34" s="1"/>
  <c r="BL76" i="36"/>
  <c r="BL117" i="34" s="1"/>
  <c r="AN60" i="36"/>
  <c r="AN101" i="34" s="1"/>
  <c r="BF76" i="36"/>
  <c r="BF117" i="34" s="1"/>
  <c r="AT76" i="36"/>
  <c r="AT117" i="34" s="1"/>
  <c r="AR76" i="36"/>
  <c r="AR117" i="34" s="1"/>
  <c r="BE76" i="36"/>
  <c r="BE117" i="34" s="1"/>
  <c r="AS76" i="36"/>
  <c r="AS117" i="34" s="1"/>
  <c r="AP182" i="34"/>
  <c r="AK76" i="36"/>
  <c r="AK117" i="34" s="1"/>
  <c r="AM60" i="36"/>
  <c r="AM101" i="34" s="1"/>
  <c r="AX166" i="34"/>
  <c r="AY182" i="34"/>
  <c r="BP76" i="36"/>
  <c r="BP117" i="34" s="1"/>
  <c r="AJ60" i="36"/>
  <c r="AJ101" i="34" s="1"/>
  <c r="BG60" i="36"/>
  <c r="BG101" i="34" s="1"/>
  <c r="AU60" i="36"/>
  <c r="AU101" i="34" s="1"/>
  <c r="BL60" i="36"/>
  <c r="BL101" i="34" s="1"/>
  <c r="AN76" i="36"/>
  <c r="AN117" i="34" s="1"/>
  <c r="BF60" i="36"/>
  <c r="BF101" i="34" s="1"/>
  <c r="AT60" i="36"/>
  <c r="AT101" i="34" s="1"/>
  <c r="AR60" i="36"/>
  <c r="AR101" i="34" s="1"/>
  <c r="BE60" i="36"/>
  <c r="BE101" i="34" s="1"/>
  <c r="AS60" i="36"/>
  <c r="AS101" i="34" s="1"/>
  <c r="BI60" i="36"/>
  <c r="BI101" i="34" s="1"/>
  <c r="AY166" i="34"/>
  <c r="AL182" i="34"/>
  <c r="AW166" i="34"/>
  <c r="BP166" i="34"/>
  <c r="AJ166" i="34"/>
  <c r="BG166" i="34"/>
  <c r="AU182" i="34"/>
  <c r="BL166" i="34"/>
  <c r="AN182" i="34"/>
  <c r="BF166" i="34"/>
  <c r="AT166" i="34"/>
  <c r="AR166" i="34"/>
  <c r="BE166" i="34"/>
  <c r="AS166" i="34"/>
  <c r="BC166" i="34"/>
  <c r="AX60" i="36"/>
  <c r="AX101" i="34" s="1"/>
  <c r="BI182" i="34"/>
  <c r="BK166" i="34"/>
  <c r="BP182" i="34"/>
  <c r="AJ182" i="34"/>
  <c r="BG182" i="34"/>
  <c r="AU166" i="34"/>
  <c r="BL182" i="34"/>
  <c r="AN166" i="34"/>
  <c r="BF182" i="34"/>
  <c r="AT182" i="34"/>
  <c r="AR182" i="34"/>
  <c r="BE182" i="34"/>
  <c r="AS182" i="34"/>
  <c r="AO60" i="36"/>
  <c r="AO101" i="34" s="1"/>
  <c r="AQ166" i="34"/>
  <c r="BM166" i="34"/>
  <c r="AQ182" i="34"/>
  <c r="AO182" i="34"/>
  <c r="AW60" i="36"/>
  <c r="AW101" i="34" s="1"/>
  <c r="AV166" i="34"/>
  <c r="BJ182" i="34"/>
  <c r="BH76" i="36"/>
  <c r="BH117" i="34" s="1"/>
  <c r="BO76" i="36"/>
  <c r="BO117" i="34" s="1"/>
  <c r="BC76" i="36"/>
  <c r="BC117" i="34" s="1"/>
  <c r="AQ76" i="36"/>
  <c r="AQ117" i="34" s="1"/>
  <c r="BD60" i="36"/>
  <c r="BD101" i="34" s="1"/>
  <c r="BN76" i="36"/>
  <c r="BN117" i="34" s="1"/>
  <c r="BB76" i="36"/>
  <c r="BB117" i="34" s="1"/>
  <c r="AP60" i="36"/>
  <c r="AP101" i="34" s="1"/>
  <c r="BM76" i="36"/>
  <c r="BM117" i="34" s="1"/>
  <c r="BA76" i="36"/>
  <c r="BA117" i="34" s="1"/>
  <c r="AO76" i="36"/>
  <c r="AO117" i="34" s="1"/>
  <c r="BN60" i="36"/>
  <c r="BN101" i="34" s="1"/>
  <c r="BM60" i="36"/>
  <c r="BM101" i="34" s="1"/>
  <c r="BC182" i="34"/>
  <c r="BD166" i="34"/>
  <c r="AP166" i="34"/>
  <c r="AO166" i="34"/>
  <c r="BB166" i="34"/>
  <c r="BM182" i="34"/>
  <c r="AW76" i="36"/>
  <c r="AW117" i="34" s="1"/>
  <c r="AV76" i="36"/>
  <c r="AV117" i="34" s="1"/>
  <c r="BJ166" i="34"/>
  <c r="AK166" i="34"/>
  <c r="AV182" i="34"/>
  <c r="AK182" i="34"/>
  <c r="BH60" i="36"/>
  <c r="BH101" i="34" s="1"/>
  <c r="BO60" i="36"/>
  <c r="BO101" i="34" s="1"/>
  <c r="BC60" i="36"/>
  <c r="BC101" i="34" s="1"/>
  <c r="AQ60" i="36"/>
  <c r="AQ101" i="34" s="1"/>
  <c r="BD76" i="36"/>
  <c r="BD117" i="34" s="1"/>
  <c r="BB60" i="36"/>
  <c r="BB101" i="34" s="1"/>
  <c r="AP76" i="36"/>
  <c r="AP117" i="34" s="1"/>
  <c r="BA60" i="36"/>
  <c r="BA101" i="34" s="1"/>
  <c r="BO166" i="34"/>
  <c r="BN182" i="34"/>
  <c r="BA166" i="34"/>
  <c r="BD182" i="34"/>
  <c r="BA182" i="34"/>
  <c r="AL60" i="36"/>
  <c r="AL101" i="34" s="1"/>
  <c r="AM182" i="34"/>
  <c r="AX182" i="34"/>
  <c r="BH182" i="34"/>
  <c r="BB182" i="34"/>
  <c r="BI76" i="36"/>
  <c r="BI117" i="34" s="1"/>
  <c r="BK182" i="34"/>
  <c r="BH166" i="34"/>
  <c r="BO182" i="34"/>
  <c r="BN166" i="34"/>
  <c r="AZ182" i="34"/>
  <c r="AZ60" i="36"/>
  <c r="AZ101" i="34" s="1"/>
  <c r="BK76" i="36"/>
  <c r="BK117" i="34" s="1"/>
  <c r="AY76" i="36"/>
  <c r="AY117" i="34" s="1"/>
  <c r="AM76" i="36"/>
  <c r="AM117" i="34" s="1"/>
  <c r="AV60" i="36"/>
  <c r="AV101" i="34" s="1"/>
  <c r="BJ76" i="36"/>
  <c r="BJ117" i="34" s="1"/>
  <c r="AX76" i="36"/>
  <c r="AX117" i="34" s="1"/>
  <c r="AL76" i="36"/>
  <c r="AL117" i="34" s="1"/>
  <c r="BJ60" i="36"/>
  <c r="BJ101" i="34" s="1"/>
  <c r="AL166" i="34"/>
  <c r="AM166" i="34"/>
  <c r="BI166" i="34"/>
  <c r="AZ76" i="36"/>
  <c r="AZ117" i="34" s="1"/>
  <c r="BK60" i="36"/>
  <c r="BK101" i="34" s="1"/>
  <c r="AY60" i="36"/>
  <c r="AY101" i="34" s="1"/>
  <c r="AK60" i="36"/>
  <c r="AK101" i="34" s="1"/>
  <c r="AW182" i="34"/>
  <c r="AZ166" i="34"/>
  <c r="X76" i="36"/>
  <c r="X117" i="34" s="1"/>
  <c r="Z182" i="34"/>
  <c r="P76" i="36"/>
  <c r="P117" i="34" s="1"/>
  <c r="AA182" i="34"/>
  <c r="I182" i="34"/>
  <c r="U166" i="34"/>
  <c r="K182" i="34"/>
  <c r="AD166" i="34"/>
  <c r="AE166" i="34"/>
  <c r="T76" i="36"/>
  <c r="T117" i="34" s="1"/>
  <c r="Y60" i="36"/>
  <c r="Y101" i="34" s="1"/>
  <c r="AC60" i="36"/>
  <c r="AC101" i="34" s="1"/>
  <c r="L60" i="36"/>
  <c r="L101" i="34" s="1"/>
  <c r="AB76" i="36"/>
  <c r="AB117" i="34" s="1"/>
  <c r="AC76" i="36"/>
  <c r="AC117" i="34" s="1"/>
  <c r="Z166" i="34"/>
  <c r="X182" i="34"/>
  <c r="Z60" i="36"/>
  <c r="Z101" i="34" s="1"/>
  <c r="P166" i="34"/>
  <c r="AA166" i="34"/>
  <c r="I76" i="36"/>
  <c r="I117" i="34" s="1"/>
  <c r="U76" i="36"/>
  <c r="U117" i="34" s="1"/>
  <c r="K166" i="34"/>
  <c r="AE182" i="34"/>
  <c r="AI182" i="34"/>
  <c r="H182" i="34"/>
  <c r="T182" i="34"/>
  <c r="W76" i="36"/>
  <c r="W117" i="34" s="1"/>
  <c r="AC182" i="34"/>
  <c r="V182" i="34"/>
  <c r="AG166" i="34"/>
  <c r="X166" i="34"/>
  <c r="Z76" i="36"/>
  <c r="Z117" i="34" s="1"/>
  <c r="P182" i="34"/>
  <c r="AA60" i="36"/>
  <c r="AA101" i="34" s="1"/>
  <c r="I60" i="36"/>
  <c r="I101" i="34" s="1"/>
  <c r="U60" i="36"/>
  <c r="U101" i="34" s="1"/>
  <c r="K76" i="36"/>
  <c r="K117" i="34" s="1"/>
  <c r="N166" i="34"/>
  <c r="W60" i="36"/>
  <c r="W101" i="34" s="1"/>
  <c r="N60" i="36"/>
  <c r="N101" i="34" s="1"/>
  <c r="AH182" i="34"/>
  <c r="AF166" i="34"/>
  <c r="AF182" i="34"/>
  <c r="L166" i="34"/>
  <c r="S166" i="34"/>
  <c r="I166" i="34"/>
  <c r="R182" i="34"/>
  <c r="H166" i="34"/>
  <c r="T166" i="34"/>
  <c r="N182" i="34"/>
  <c r="M60" i="36"/>
  <c r="M101" i="34" s="1"/>
  <c r="Y166" i="34"/>
  <c r="W166" i="34"/>
  <c r="AI166" i="34"/>
  <c r="Y182" i="34"/>
  <c r="M76" i="36"/>
  <c r="M117" i="34" s="1"/>
  <c r="R76" i="36"/>
  <c r="R117" i="34" s="1"/>
  <c r="Q166" i="34"/>
  <c r="S60" i="36"/>
  <c r="S101" i="34" s="1"/>
  <c r="J60" i="36"/>
  <c r="J101" i="34" s="1"/>
  <c r="O182" i="34"/>
  <c r="AD182" i="34"/>
  <c r="R166" i="34"/>
  <c r="H76" i="36"/>
  <c r="H117" i="34" s="1"/>
  <c r="T60" i="36"/>
  <c r="T101" i="34" s="1"/>
  <c r="N76" i="36"/>
  <c r="N117" i="34" s="1"/>
  <c r="M166" i="34"/>
  <c r="W182" i="34"/>
  <c r="Y76" i="36"/>
  <c r="Y117" i="34" s="1"/>
  <c r="H60" i="36"/>
  <c r="H101" i="34" s="1"/>
  <c r="AB166" i="34"/>
  <c r="O60" i="36"/>
  <c r="O101" i="34" s="1"/>
  <c r="AB182" i="34"/>
  <c r="AA76" i="36"/>
  <c r="AA117" i="34" s="1"/>
  <c r="R60" i="36"/>
  <c r="R101" i="34" s="1"/>
  <c r="AH166" i="34"/>
  <c r="O76" i="36"/>
  <c r="O117" i="34" s="1"/>
  <c r="X60" i="36"/>
  <c r="X101" i="34" s="1"/>
  <c r="M182" i="34"/>
  <c r="J166" i="34"/>
  <c r="U182" i="34"/>
  <c r="L76" i="36"/>
  <c r="L117" i="34" s="1"/>
  <c r="V166" i="34"/>
  <c r="J182" i="34"/>
  <c r="S76" i="36"/>
  <c r="S117" i="34" s="1"/>
  <c r="V60" i="36"/>
  <c r="V101" i="34" s="1"/>
  <c r="Q60" i="36"/>
  <c r="Q101" i="34" s="1"/>
  <c r="Q76" i="36"/>
  <c r="Q117" i="34" s="1"/>
  <c r="P60" i="36"/>
  <c r="P101" i="34" s="1"/>
  <c r="K60" i="36"/>
  <c r="K101" i="34" s="1"/>
  <c r="L182" i="34"/>
  <c r="V76" i="36"/>
  <c r="V117" i="34" s="1"/>
  <c r="J76" i="36"/>
  <c r="J117" i="34" s="1"/>
  <c r="S182" i="34"/>
  <c r="AB60" i="36"/>
  <c r="AB101" i="34" s="1"/>
  <c r="Q182" i="34"/>
  <c r="AC166" i="34"/>
  <c r="O166" i="34"/>
  <c r="AG182" i="34"/>
  <c r="Y81" i="36"/>
  <c r="Y122" i="34" s="1"/>
  <c r="O81" i="36"/>
  <c r="M81" i="36"/>
  <c r="N81" i="36"/>
  <c r="Q187" i="34"/>
  <c r="P64" i="36"/>
  <c r="H171" i="34"/>
  <c r="AC171" i="34"/>
  <c r="X80" i="36"/>
  <c r="X171" i="34"/>
  <c r="Q170" i="34"/>
  <c r="AC170" i="34"/>
  <c r="R187" i="34"/>
  <c r="W170" i="34"/>
  <c r="AE61" i="36"/>
  <c r="AG61" i="36"/>
  <c r="AF61" i="36"/>
  <c r="AD77" i="36"/>
  <c r="AH77" i="36"/>
  <c r="AE77" i="36"/>
  <c r="AI77" i="36"/>
  <c r="AI61" i="36"/>
  <c r="AG77" i="36"/>
  <c r="AD61" i="36"/>
  <c r="AH61" i="36"/>
  <c r="AF77" i="36"/>
  <c r="Y187" i="34"/>
  <c r="O65" i="36"/>
  <c r="M187" i="34"/>
  <c r="N65" i="36"/>
  <c r="V64" i="36"/>
  <c r="V105" i="34" s="1"/>
  <c r="AA81" i="36"/>
  <c r="I80" i="36"/>
  <c r="J64" i="36"/>
  <c r="J105" i="34" s="1"/>
  <c r="L171" i="34"/>
  <c r="H186" i="34"/>
  <c r="S65" i="36"/>
  <c r="S106" i="34" s="1"/>
  <c r="U187" i="34"/>
  <c r="AA64" i="36"/>
  <c r="AA105" i="34" s="1"/>
  <c r="W81" i="36"/>
  <c r="Z187" i="34"/>
  <c r="AM46" i="34"/>
  <c r="AR46" i="34"/>
  <c r="AT46" i="34"/>
  <c r="AJ46" i="34"/>
  <c r="AN46" i="34"/>
  <c r="AS46" i="34"/>
  <c r="AI46" i="34"/>
  <c r="BA46" i="34"/>
  <c r="BD46" i="34"/>
  <c r="BG46" i="34"/>
  <c r="BJ46" i="34"/>
  <c r="AU46" i="34"/>
  <c r="BI46" i="34"/>
  <c r="BF46" i="34"/>
  <c r="AX46" i="34"/>
  <c r="AQ46" i="34"/>
  <c r="BE46" i="34"/>
  <c r="BN46" i="34"/>
  <c r="AW46" i="34"/>
  <c r="AZ46" i="34"/>
  <c r="BC46" i="34"/>
  <c r="AO46" i="34"/>
  <c r="BO46" i="34"/>
  <c r="AK46" i="34"/>
  <c r="AP46" i="34"/>
  <c r="AV46" i="34"/>
  <c r="AY46" i="34"/>
  <c r="BB46" i="34"/>
  <c r="BM46" i="34"/>
  <c r="AL46" i="34"/>
  <c r="BH46" i="34"/>
  <c r="BP46" i="34"/>
  <c r="BL46" i="34"/>
  <c r="BK46" i="34"/>
  <c r="Y65" i="36"/>
  <c r="O171" i="34"/>
  <c r="M171" i="34"/>
  <c r="N171" i="34"/>
  <c r="V80" i="36"/>
  <c r="AA65" i="36"/>
  <c r="AA106" i="34" s="1"/>
  <c r="I186" i="34"/>
  <c r="J80" i="36"/>
  <c r="J121" i="34" s="1"/>
  <c r="L187" i="34"/>
  <c r="H64" i="36"/>
  <c r="S81" i="36"/>
  <c r="U81" i="36"/>
  <c r="U122" i="34" s="1"/>
  <c r="AA170" i="34"/>
  <c r="W187" i="34"/>
  <c r="Z171" i="34"/>
  <c r="R65" i="36"/>
  <c r="R106" i="34" s="1"/>
  <c r="H66" i="46"/>
  <c r="H47" i="33"/>
  <c r="AF47" i="34" s="1"/>
  <c r="Y171" i="34"/>
  <c r="O187" i="34"/>
  <c r="M65" i="36"/>
  <c r="N187" i="34"/>
  <c r="V186" i="34"/>
  <c r="AA187" i="34"/>
  <c r="I170" i="34"/>
  <c r="J186" i="34"/>
  <c r="L81" i="36"/>
  <c r="H170" i="34"/>
  <c r="S171" i="34"/>
  <c r="U171" i="34"/>
  <c r="AA80" i="36"/>
  <c r="AA121" i="34" s="1"/>
  <c r="W65" i="36"/>
  <c r="W106" i="34" s="1"/>
  <c r="Z65" i="36"/>
  <c r="T171" i="34"/>
  <c r="L186" i="34"/>
  <c r="U80" i="36"/>
  <c r="U121" i="34" s="1"/>
  <c r="V65" i="36"/>
  <c r="V170" i="34"/>
  <c r="AA171" i="34"/>
  <c r="I64" i="36"/>
  <c r="I105" i="34" s="1"/>
  <c r="J170" i="34"/>
  <c r="L65" i="36"/>
  <c r="L106" i="34" s="1"/>
  <c r="H80" i="36"/>
  <c r="H121" i="34" s="1"/>
  <c r="S187" i="34"/>
  <c r="U65" i="36"/>
  <c r="AA186" i="34"/>
  <c r="W171" i="34"/>
  <c r="Z81" i="36"/>
  <c r="Z122" i="34" s="1"/>
  <c r="H76" i="46"/>
  <c r="H49" i="33"/>
  <c r="AI49" i="34" s="1"/>
  <c r="T65" i="36"/>
  <c r="L170" i="34"/>
  <c r="U186" i="34"/>
  <c r="V81" i="36"/>
  <c r="V122" i="34" s="1"/>
  <c r="P187" i="34"/>
  <c r="I187" i="34"/>
  <c r="M186" i="34"/>
  <c r="R64" i="36"/>
  <c r="R105" i="34" s="1"/>
  <c r="K171" i="34"/>
  <c r="N64" i="36"/>
  <c r="N105" i="34" s="1"/>
  <c r="T64" i="36"/>
  <c r="Y80" i="36"/>
  <c r="Y121" i="34" s="1"/>
  <c r="J65" i="36"/>
  <c r="S64" i="36"/>
  <c r="S105" i="34" s="1"/>
  <c r="O64" i="36"/>
  <c r="AT41" i="34"/>
  <c r="AM41" i="34"/>
  <c r="AS41" i="34"/>
  <c r="AN41" i="34"/>
  <c r="AR41" i="34"/>
  <c r="AI41" i="34"/>
  <c r="BH41" i="34"/>
  <c r="BI41" i="34"/>
  <c r="AY41" i="34"/>
  <c r="AX41" i="34"/>
  <c r="BB41" i="34"/>
  <c r="AO41" i="34"/>
  <c r="BA41" i="34"/>
  <c r="AK41" i="34"/>
  <c r="BD41" i="34"/>
  <c r="BO41" i="34"/>
  <c r="BK41" i="34"/>
  <c r="AV41" i="34"/>
  <c r="AU41" i="34"/>
  <c r="AL41" i="34"/>
  <c r="BJ41" i="34"/>
  <c r="BE41" i="34"/>
  <c r="BL41" i="34"/>
  <c r="BN41" i="34"/>
  <c r="BM41" i="34"/>
  <c r="BC41" i="34"/>
  <c r="AZ41" i="34"/>
  <c r="BG41" i="34"/>
  <c r="BP41" i="34"/>
  <c r="AP41" i="34"/>
  <c r="AQ41" i="34"/>
  <c r="BF41" i="34"/>
  <c r="AW41" i="34"/>
  <c r="AB65" i="36"/>
  <c r="Q171" i="34"/>
  <c r="AH71" i="36"/>
  <c r="AI71" i="36"/>
  <c r="AG71" i="36"/>
  <c r="AI55" i="36"/>
  <c r="AH55" i="36"/>
  <c r="AE71" i="36"/>
  <c r="AD55" i="36"/>
  <c r="AF55" i="36"/>
  <c r="AE55" i="36"/>
  <c r="AG55" i="36"/>
  <c r="AD71" i="36"/>
  <c r="AF71" i="36"/>
  <c r="H50" i="33"/>
  <c r="T187" i="34"/>
  <c r="L80" i="36"/>
  <c r="L121" i="34" s="1"/>
  <c r="U64" i="36"/>
  <c r="U105" i="34" s="1"/>
  <c r="V171" i="34"/>
  <c r="P171" i="34"/>
  <c r="I81" i="36"/>
  <c r="M64" i="36"/>
  <c r="R80" i="36"/>
  <c r="K187" i="34"/>
  <c r="N80" i="36"/>
  <c r="T186" i="34"/>
  <c r="Y170" i="34"/>
  <c r="J187" i="34"/>
  <c r="S186" i="34"/>
  <c r="O80" i="36"/>
  <c r="O121" i="34" s="1"/>
  <c r="H39" i="33"/>
  <c r="AI39" i="34" s="1"/>
  <c r="H51" i="33"/>
  <c r="T81" i="36"/>
  <c r="L64" i="36"/>
  <c r="L105" i="34" s="1"/>
  <c r="U170" i="34"/>
  <c r="V187" i="34"/>
  <c r="P65" i="36"/>
  <c r="I65" i="36"/>
  <c r="I106" i="34" s="1"/>
  <c r="M170" i="34"/>
  <c r="R186" i="34"/>
  <c r="K65" i="36"/>
  <c r="K106" i="34" s="1"/>
  <c r="N186" i="34"/>
  <c r="T170" i="34"/>
  <c r="Y64" i="36"/>
  <c r="Y105" i="34" s="1"/>
  <c r="J81" i="36"/>
  <c r="S170" i="34"/>
  <c r="O186" i="34"/>
  <c r="C8" i="36"/>
  <c r="A53" i="57"/>
  <c r="H53" i="33"/>
  <c r="AB171" i="34"/>
  <c r="AB170" i="34"/>
  <c r="K80" i="36"/>
  <c r="K121" i="34" s="1"/>
  <c r="Z64" i="36"/>
  <c r="Z105" i="34" s="1"/>
  <c r="P81" i="36"/>
  <c r="I171" i="34"/>
  <c r="M80" i="36"/>
  <c r="R170" i="34"/>
  <c r="K81" i="36"/>
  <c r="N170" i="34"/>
  <c r="T80" i="36"/>
  <c r="Y186" i="34"/>
  <c r="S80" i="36"/>
  <c r="J33" i="34"/>
  <c r="N33" i="34"/>
  <c r="R33" i="34"/>
  <c r="V33" i="34"/>
  <c r="Z33" i="34"/>
  <c r="K33" i="34"/>
  <c r="O33" i="34"/>
  <c r="S33" i="34"/>
  <c r="W33" i="34"/>
  <c r="AA33" i="34"/>
  <c r="L33" i="34"/>
  <c r="P33" i="34"/>
  <c r="T33" i="34"/>
  <c r="X33" i="34"/>
  <c r="AB33" i="34"/>
  <c r="M33" i="34"/>
  <c r="Q33" i="34"/>
  <c r="U33" i="34"/>
  <c r="Y33" i="34"/>
  <c r="AC33" i="34"/>
  <c r="I33" i="34"/>
  <c r="H33" i="34"/>
  <c r="K34" i="34"/>
  <c r="O34" i="34"/>
  <c r="S34" i="34"/>
  <c r="W34" i="34"/>
  <c r="AA34" i="34"/>
  <c r="L34" i="34"/>
  <c r="P34" i="34"/>
  <c r="T34" i="34"/>
  <c r="X34" i="34"/>
  <c r="AB34" i="34"/>
  <c r="M34" i="34"/>
  <c r="Q34" i="34"/>
  <c r="U34" i="34"/>
  <c r="Y34" i="34"/>
  <c r="AC34" i="34"/>
  <c r="J34" i="34"/>
  <c r="N34" i="34"/>
  <c r="R34" i="34"/>
  <c r="V34" i="34"/>
  <c r="Z34" i="34"/>
  <c r="H34" i="34"/>
  <c r="I34" i="34"/>
  <c r="L39" i="34"/>
  <c r="T39" i="34"/>
  <c r="AB39" i="34"/>
  <c r="AF39" i="34"/>
  <c r="M39" i="34"/>
  <c r="Q39" i="34"/>
  <c r="J39" i="34"/>
  <c r="N39" i="34"/>
  <c r="R39" i="34"/>
  <c r="Z39" i="34"/>
  <c r="AD39" i="34"/>
  <c r="AH39" i="34"/>
  <c r="K39" i="34"/>
  <c r="W39" i="34"/>
  <c r="AE39" i="34"/>
  <c r="I39" i="34"/>
  <c r="H39" i="34"/>
  <c r="P47" i="34"/>
  <c r="T47" i="34"/>
  <c r="X47" i="34"/>
  <c r="AB47" i="34"/>
  <c r="Q47" i="34"/>
  <c r="Y47" i="34"/>
  <c r="AC47" i="34"/>
  <c r="AG47" i="34"/>
  <c r="N47" i="34"/>
  <c r="R47" i="34"/>
  <c r="V47" i="34"/>
  <c r="Z47" i="34"/>
  <c r="K47" i="34"/>
  <c r="S47" i="34"/>
  <c r="W47" i="34"/>
  <c r="AA47" i="34"/>
  <c r="I47" i="34"/>
  <c r="H47" i="34"/>
  <c r="L51" i="34"/>
  <c r="P51" i="34"/>
  <c r="T51" i="34"/>
  <c r="X51" i="34"/>
  <c r="AB51" i="34"/>
  <c r="M51" i="34"/>
  <c r="Q51" i="34"/>
  <c r="U51" i="34"/>
  <c r="Y51" i="34"/>
  <c r="AC51" i="34"/>
  <c r="J51" i="34"/>
  <c r="N51" i="34"/>
  <c r="R51" i="34"/>
  <c r="V51" i="34"/>
  <c r="Z51" i="34"/>
  <c r="K51" i="34"/>
  <c r="O51" i="34"/>
  <c r="S51" i="34"/>
  <c r="W51" i="34"/>
  <c r="AA51" i="34"/>
  <c r="I51" i="34"/>
  <c r="H51" i="34"/>
  <c r="L35" i="34"/>
  <c r="P35" i="34"/>
  <c r="T35" i="34"/>
  <c r="X35" i="34"/>
  <c r="AB35" i="34"/>
  <c r="M35" i="34"/>
  <c r="Q35" i="34"/>
  <c r="U35" i="34"/>
  <c r="Y35" i="34"/>
  <c r="AC35" i="34"/>
  <c r="J35" i="34"/>
  <c r="N35" i="34"/>
  <c r="R35" i="34"/>
  <c r="V35" i="34"/>
  <c r="Z35" i="34"/>
  <c r="K35" i="34"/>
  <c r="O35" i="34"/>
  <c r="S35" i="34"/>
  <c r="W35" i="34"/>
  <c r="AA35" i="34"/>
  <c r="H35" i="34"/>
  <c r="I35" i="34"/>
  <c r="M48" i="34"/>
  <c r="Q48" i="34"/>
  <c r="U48" i="34"/>
  <c r="Y48" i="34"/>
  <c r="AC48" i="34"/>
  <c r="AG48" i="34"/>
  <c r="J48" i="34"/>
  <c r="N48" i="34"/>
  <c r="R48" i="34"/>
  <c r="V48" i="34"/>
  <c r="Z48" i="34"/>
  <c r="AD48" i="34"/>
  <c r="AH48" i="34"/>
  <c r="K48" i="34"/>
  <c r="O48" i="34"/>
  <c r="S48" i="34"/>
  <c r="W48" i="34"/>
  <c r="AA48" i="34"/>
  <c r="AE48" i="34"/>
  <c r="L48" i="34"/>
  <c r="P48" i="34"/>
  <c r="T48" i="34"/>
  <c r="X48" i="34"/>
  <c r="AB48" i="34"/>
  <c r="AF48" i="34"/>
  <c r="H48" i="34"/>
  <c r="I48" i="34"/>
  <c r="O38" i="34"/>
  <c r="S38" i="34"/>
  <c r="L38" i="34"/>
  <c r="P38" i="34"/>
  <c r="AB38" i="34"/>
  <c r="M38" i="34"/>
  <c r="Y38" i="34"/>
  <c r="AC38" i="34"/>
  <c r="R38" i="34"/>
  <c r="V38" i="34"/>
  <c r="H38" i="34"/>
  <c r="K46" i="34"/>
  <c r="O46" i="34"/>
  <c r="S46" i="34"/>
  <c r="W46" i="34"/>
  <c r="AA46" i="34"/>
  <c r="AE46" i="34"/>
  <c r="L46" i="34"/>
  <c r="P46" i="34"/>
  <c r="T46" i="34"/>
  <c r="X46" i="34"/>
  <c r="AB46" i="34"/>
  <c r="AF46" i="34"/>
  <c r="M46" i="34"/>
  <c r="Q46" i="34"/>
  <c r="U46" i="34"/>
  <c r="Y46" i="34"/>
  <c r="AC46" i="34"/>
  <c r="AG46" i="34"/>
  <c r="J46" i="34"/>
  <c r="N46" i="34"/>
  <c r="R46" i="34"/>
  <c r="V46" i="34"/>
  <c r="Z46" i="34"/>
  <c r="AD46" i="34"/>
  <c r="AH46" i="34"/>
  <c r="I46" i="34"/>
  <c r="H46" i="34"/>
  <c r="K50" i="34"/>
  <c r="O50" i="34"/>
  <c r="S50" i="34"/>
  <c r="W50" i="34"/>
  <c r="AA50" i="34"/>
  <c r="L50" i="34"/>
  <c r="P50" i="34"/>
  <c r="T50" i="34"/>
  <c r="X50" i="34"/>
  <c r="AB50" i="34"/>
  <c r="M50" i="34"/>
  <c r="Q50" i="34"/>
  <c r="U50" i="34"/>
  <c r="Y50" i="34"/>
  <c r="AC50" i="34"/>
  <c r="J50" i="34"/>
  <c r="N50" i="34"/>
  <c r="R50" i="34"/>
  <c r="V50" i="34"/>
  <c r="Z50" i="34"/>
  <c r="I50" i="34"/>
  <c r="H50" i="34"/>
  <c r="M52" i="34"/>
  <c r="Q52" i="34"/>
  <c r="U52" i="34"/>
  <c r="Y52" i="34"/>
  <c r="AC52" i="34"/>
  <c r="J52" i="34"/>
  <c r="N52" i="34"/>
  <c r="R52" i="34"/>
  <c r="V52" i="34"/>
  <c r="Z52" i="34"/>
  <c r="K52" i="34"/>
  <c r="O52" i="34"/>
  <c r="S52" i="34"/>
  <c r="W52" i="34"/>
  <c r="AA52" i="34"/>
  <c r="L52" i="34"/>
  <c r="P52" i="34"/>
  <c r="T52" i="34"/>
  <c r="X52" i="34"/>
  <c r="AB52" i="34"/>
  <c r="H52" i="34"/>
  <c r="I52" i="34"/>
  <c r="M32" i="34"/>
  <c r="Q32" i="34"/>
  <c r="U32" i="34"/>
  <c r="Y32" i="34"/>
  <c r="AC32" i="34"/>
  <c r="J32" i="34"/>
  <c r="N32" i="34"/>
  <c r="R32" i="34"/>
  <c r="V32" i="34"/>
  <c r="Z32" i="34"/>
  <c r="K32" i="34"/>
  <c r="O32" i="34"/>
  <c r="S32" i="34"/>
  <c r="W32" i="34"/>
  <c r="AA32" i="34"/>
  <c r="L32" i="34"/>
  <c r="P32" i="34"/>
  <c r="T32" i="34"/>
  <c r="X32" i="34"/>
  <c r="AB32" i="34"/>
  <c r="I32" i="34"/>
  <c r="H32" i="34"/>
  <c r="J41" i="34"/>
  <c r="N41" i="34"/>
  <c r="R41" i="34"/>
  <c r="V41" i="34"/>
  <c r="Z41" i="34"/>
  <c r="AD41" i="34"/>
  <c r="AH41" i="34"/>
  <c r="K41" i="34"/>
  <c r="O41" i="34"/>
  <c r="S41" i="34"/>
  <c r="W41" i="34"/>
  <c r="AA41" i="34"/>
  <c r="AE41" i="34"/>
  <c r="L41" i="34"/>
  <c r="P41" i="34"/>
  <c r="T41" i="34"/>
  <c r="X41" i="34"/>
  <c r="AB41" i="34"/>
  <c r="AF41" i="34"/>
  <c r="M41" i="34"/>
  <c r="Q41" i="34"/>
  <c r="U41" i="34"/>
  <c r="Y41" i="34"/>
  <c r="AC41" i="34"/>
  <c r="AG41" i="34"/>
  <c r="I41" i="34"/>
  <c r="H41" i="34"/>
  <c r="J49" i="34"/>
  <c r="N49" i="34"/>
  <c r="R49" i="34"/>
  <c r="V49" i="34"/>
  <c r="Z49" i="34"/>
  <c r="AD49" i="34"/>
  <c r="AH49" i="34"/>
  <c r="K49" i="34"/>
  <c r="O49" i="34"/>
  <c r="S49" i="34"/>
  <c r="W49" i="34"/>
  <c r="AA49" i="34"/>
  <c r="AE49" i="34"/>
  <c r="L49" i="34"/>
  <c r="P49" i="34"/>
  <c r="T49" i="34"/>
  <c r="X49" i="34"/>
  <c r="AB49" i="34"/>
  <c r="AF49" i="34"/>
  <c r="M49" i="34"/>
  <c r="Q49" i="34"/>
  <c r="U49" i="34"/>
  <c r="Y49" i="34"/>
  <c r="AC49" i="34"/>
  <c r="AG49" i="34"/>
  <c r="I49" i="34"/>
  <c r="H49" i="34"/>
  <c r="D94" i="46"/>
  <c r="E76" i="46"/>
  <c r="D93" i="46"/>
  <c r="E75" i="46"/>
  <c r="E65" i="46"/>
  <c r="D83" i="46"/>
  <c r="H105" i="34"/>
  <c r="W121" i="34"/>
  <c r="T122" i="34"/>
  <c r="M106" i="34"/>
  <c r="P106" i="34"/>
  <c r="H106" i="34"/>
  <c r="L122" i="34"/>
  <c r="X105" i="34"/>
  <c r="Q105" i="34"/>
  <c r="J122" i="34"/>
  <c r="R122" i="34"/>
  <c r="Z106" i="34"/>
  <c r="Y106" i="34"/>
  <c r="I122" i="34"/>
  <c r="P121" i="34"/>
  <c r="H122" i="34"/>
  <c r="R121" i="34"/>
  <c r="X106" i="34"/>
  <c r="O122" i="34"/>
  <c r="M122" i="34"/>
  <c r="N122" i="34"/>
  <c r="V106" i="34"/>
  <c r="P122" i="34"/>
  <c r="P105" i="34"/>
  <c r="M121" i="34"/>
  <c r="K122" i="34"/>
  <c r="X121" i="34"/>
  <c r="T121" i="34"/>
  <c r="U106" i="34"/>
  <c r="S121" i="34"/>
  <c r="AB122" i="34"/>
  <c r="V121" i="34"/>
  <c r="M105" i="34"/>
  <c r="N121" i="34"/>
  <c r="S122" i="34"/>
  <c r="T106" i="34"/>
  <c r="AB106" i="34"/>
  <c r="O106" i="34"/>
  <c r="AB105" i="34"/>
  <c r="K105" i="34"/>
  <c r="N106" i="34"/>
  <c r="Z121" i="34"/>
  <c r="AA122" i="34"/>
  <c r="I121" i="34"/>
  <c r="AC122" i="34"/>
  <c r="X122" i="34"/>
  <c r="T105" i="34"/>
  <c r="Q121" i="34"/>
  <c r="J106" i="34"/>
  <c r="W122" i="34"/>
  <c r="W105" i="34"/>
  <c r="O105" i="34"/>
  <c r="U175" i="34"/>
  <c r="Z159" i="34"/>
  <c r="T69" i="36"/>
  <c r="X86" i="34"/>
  <c r="X87" i="34"/>
  <c r="R86" i="34"/>
  <c r="R87" i="34"/>
  <c r="AA86" i="34"/>
  <c r="AA87" i="34"/>
  <c r="H86" i="34"/>
  <c r="H87" i="34"/>
  <c r="U86" i="34"/>
  <c r="U87" i="34"/>
  <c r="L86" i="34"/>
  <c r="L87" i="34"/>
  <c r="S86" i="34"/>
  <c r="S87" i="34"/>
  <c r="N86" i="34"/>
  <c r="N87" i="34"/>
  <c r="W86" i="34"/>
  <c r="W87" i="34"/>
  <c r="Q86" i="34"/>
  <c r="Q87" i="34"/>
  <c r="AB86" i="34"/>
  <c r="AB87" i="34"/>
  <c r="Z86" i="34"/>
  <c r="Z87" i="34"/>
  <c r="J86" i="34"/>
  <c r="J87" i="34"/>
  <c r="O86" i="34"/>
  <c r="O87" i="34"/>
  <c r="AC86" i="34"/>
  <c r="AC87" i="34"/>
  <c r="M86" i="34"/>
  <c r="M87" i="34"/>
  <c r="T86" i="34"/>
  <c r="T87" i="34"/>
  <c r="P86" i="34"/>
  <c r="P87" i="34"/>
  <c r="V86" i="34"/>
  <c r="V87" i="34"/>
  <c r="K86" i="34"/>
  <c r="K87" i="34"/>
  <c r="Y86" i="34"/>
  <c r="Y87" i="34"/>
  <c r="I86" i="34"/>
  <c r="I87" i="34"/>
  <c r="P68" i="36"/>
  <c r="P52" i="36"/>
  <c r="P158" i="34"/>
  <c r="P174" i="34"/>
  <c r="AI159" i="34"/>
  <c r="AI175" i="34"/>
  <c r="S68" i="36"/>
  <c r="S52" i="36"/>
  <c r="S158" i="34"/>
  <c r="S174" i="34"/>
  <c r="I53" i="36"/>
  <c r="I69" i="36"/>
  <c r="I159" i="34"/>
  <c r="I175" i="34"/>
  <c r="Q68" i="36"/>
  <c r="Q52" i="36"/>
  <c r="Q158" i="34"/>
  <c r="Q174" i="34"/>
  <c r="H69" i="36"/>
  <c r="H53" i="36"/>
  <c r="H175" i="34"/>
  <c r="H159" i="34"/>
  <c r="AG175" i="34"/>
  <c r="AG159" i="34"/>
  <c r="J53" i="36"/>
  <c r="J69" i="36"/>
  <c r="J159" i="34"/>
  <c r="J175" i="34"/>
  <c r="AD159" i="34"/>
  <c r="AD175" i="34"/>
  <c r="AB53" i="36"/>
  <c r="AB69" i="36"/>
  <c r="AB159" i="34"/>
  <c r="AB175" i="34"/>
  <c r="Z53" i="36"/>
  <c r="X69" i="36"/>
  <c r="X53" i="36"/>
  <c r="X175" i="34"/>
  <c r="X159" i="34"/>
  <c r="AA69" i="36"/>
  <c r="AA53" i="36"/>
  <c r="AA159" i="34"/>
  <c r="AA175" i="34"/>
  <c r="R68" i="36"/>
  <c r="R158" i="34"/>
  <c r="R52" i="36"/>
  <c r="R174" i="34"/>
  <c r="M52" i="36"/>
  <c r="M68" i="36"/>
  <c r="M158" i="34"/>
  <c r="M174" i="34"/>
  <c r="Y68" i="36"/>
  <c r="Y174" i="34"/>
  <c r="Y52" i="36"/>
  <c r="Y158" i="34"/>
  <c r="P69" i="36"/>
  <c r="P53" i="36"/>
  <c r="P175" i="34"/>
  <c r="P159" i="34"/>
  <c r="O52" i="36"/>
  <c r="O174" i="34"/>
  <c r="O158" i="34"/>
  <c r="O68" i="36"/>
  <c r="U52" i="36"/>
  <c r="U68" i="36"/>
  <c r="U174" i="34"/>
  <c r="U158" i="34"/>
  <c r="AC68" i="36"/>
  <c r="AC174" i="34"/>
  <c r="AC52" i="36"/>
  <c r="AC158" i="34"/>
  <c r="W68" i="36"/>
  <c r="W52" i="36"/>
  <c r="W158" i="34"/>
  <c r="W174" i="34"/>
  <c r="S69" i="36"/>
  <c r="S53" i="36"/>
  <c r="S175" i="34"/>
  <c r="S159" i="34"/>
  <c r="Q69" i="36"/>
  <c r="Q53" i="36"/>
  <c r="Q175" i="34"/>
  <c r="Q159" i="34"/>
  <c r="L68" i="36"/>
  <c r="L52" i="36"/>
  <c r="L174" i="34"/>
  <c r="L158" i="34"/>
  <c r="M69" i="36"/>
  <c r="M175" i="34"/>
  <c r="M53" i="36"/>
  <c r="M159" i="34"/>
  <c r="Y69" i="36"/>
  <c r="Y53" i="36"/>
  <c r="Y159" i="34"/>
  <c r="Y175" i="34"/>
  <c r="K68" i="36"/>
  <c r="K52" i="36"/>
  <c r="K158" i="34"/>
  <c r="K174" i="34"/>
  <c r="O69" i="36"/>
  <c r="O175" i="34"/>
  <c r="O159" i="34"/>
  <c r="O53" i="36"/>
  <c r="U69" i="36"/>
  <c r="AC69" i="36"/>
  <c r="AC175" i="34"/>
  <c r="AC53" i="36"/>
  <c r="AC159" i="34"/>
  <c r="W69" i="36"/>
  <c r="W175" i="34"/>
  <c r="W159" i="34"/>
  <c r="W53" i="36"/>
  <c r="AH159" i="34"/>
  <c r="AH175" i="34"/>
  <c r="V68" i="36"/>
  <c r="V158" i="34"/>
  <c r="V52" i="36"/>
  <c r="V174" i="34"/>
  <c r="Z52" i="36"/>
  <c r="Z68" i="36"/>
  <c r="Z158" i="34"/>
  <c r="Z174" i="34"/>
  <c r="AA68" i="36"/>
  <c r="AA52" i="36"/>
  <c r="AA158" i="34"/>
  <c r="AA174" i="34"/>
  <c r="N68" i="36"/>
  <c r="N52" i="36"/>
  <c r="N158" i="34"/>
  <c r="N174" i="34"/>
  <c r="L69" i="36"/>
  <c r="L53" i="36"/>
  <c r="L159" i="34"/>
  <c r="L175" i="34"/>
  <c r="R69" i="36"/>
  <c r="R53" i="36"/>
  <c r="R159" i="34"/>
  <c r="R175" i="34"/>
  <c r="T68" i="36"/>
  <c r="T52" i="36"/>
  <c r="T158" i="34"/>
  <c r="T174" i="34"/>
  <c r="K69" i="36"/>
  <c r="K53" i="36"/>
  <c r="K175" i="34"/>
  <c r="K159" i="34"/>
  <c r="AF159" i="34"/>
  <c r="AF175" i="34"/>
  <c r="AE159" i="34"/>
  <c r="AE175" i="34"/>
  <c r="I68" i="36"/>
  <c r="I52" i="36"/>
  <c r="I174" i="34"/>
  <c r="I158" i="34"/>
  <c r="V69" i="36"/>
  <c r="V53" i="36"/>
  <c r="V159" i="34"/>
  <c r="V175" i="34"/>
  <c r="H68" i="36"/>
  <c r="H174" i="34"/>
  <c r="H52" i="36"/>
  <c r="H158" i="34"/>
  <c r="J68" i="36"/>
  <c r="J52" i="36"/>
  <c r="J174" i="34"/>
  <c r="J158" i="34"/>
  <c r="AB68" i="36"/>
  <c r="AB52" i="36"/>
  <c r="AB158" i="34"/>
  <c r="AB174" i="34"/>
  <c r="X68" i="36"/>
  <c r="X174" i="34"/>
  <c r="X52" i="36"/>
  <c r="X158" i="34"/>
  <c r="N69" i="36"/>
  <c r="N53" i="36"/>
  <c r="N159" i="34"/>
  <c r="N175" i="34"/>
  <c r="D20" i="33"/>
  <c r="E22" i="45"/>
  <c r="E7" i="45"/>
  <c r="E8" i="45" s="1"/>
  <c r="E9" i="45" s="1"/>
  <c r="D22" i="45"/>
  <c r="C22" i="62" s="1"/>
  <c r="D7" i="45"/>
  <c r="A19" i="45"/>
  <c r="A60" i="45" s="1"/>
  <c r="A11" i="45"/>
  <c r="A59" i="45" s="1"/>
  <c r="B4" i="45"/>
  <c r="B58" i="45" s="1"/>
  <c r="A4" i="45"/>
  <c r="A58" i="45" s="1"/>
  <c r="B14" i="45"/>
  <c r="C20" i="33"/>
  <c r="C6" i="33"/>
  <c r="C56" i="33"/>
  <c r="D6" i="33"/>
  <c r="D56" i="33"/>
  <c r="N133" i="39"/>
  <c r="N132" i="39"/>
  <c r="N131" i="39"/>
  <c r="N130" i="39"/>
  <c r="N129" i="39"/>
  <c r="N128" i="39"/>
  <c r="N127" i="39"/>
  <c r="N126" i="39"/>
  <c r="N125" i="39"/>
  <c r="N124" i="39"/>
  <c r="N123" i="39"/>
  <c r="N122" i="39"/>
  <c r="N121" i="39"/>
  <c r="N120" i="39"/>
  <c r="N119" i="39"/>
  <c r="N118" i="39"/>
  <c r="N117" i="39"/>
  <c r="N116" i="39"/>
  <c r="N115" i="39"/>
  <c r="N114" i="39"/>
  <c r="N112" i="39"/>
  <c r="H29" i="33" s="1"/>
  <c r="O29" i="34" s="1"/>
  <c r="N110" i="39"/>
  <c r="H28" i="33" s="1"/>
  <c r="R28" i="34" s="1"/>
  <c r="N28" i="39"/>
  <c r="N27" i="39"/>
  <c r="N26" i="39"/>
  <c r="N25" i="39"/>
  <c r="H23" i="33" s="1"/>
  <c r="AP23" i="34" s="1"/>
  <c r="N24" i="39"/>
  <c r="N23" i="39"/>
  <c r="N22" i="39"/>
  <c r="N21" i="39"/>
  <c r="N20" i="39"/>
  <c r="N19" i="39"/>
  <c r="N18" i="39"/>
  <c r="N17" i="39"/>
  <c r="N16" i="39"/>
  <c r="N15" i="39"/>
  <c r="N14" i="39"/>
  <c r="N13" i="39"/>
  <c r="N12" i="39"/>
  <c r="K138" i="39"/>
  <c r="J138" i="39"/>
  <c r="K137" i="39"/>
  <c r="J137" i="39"/>
  <c r="K136" i="39"/>
  <c r="J136" i="39"/>
  <c r="K135" i="39"/>
  <c r="J135" i="39"/>
  <c r="K133" i="39"/>
  <c r="J133" i="39"/>
  <c r="K132" i="39"/>
  <c r="J132" i="39"/>
  <c r="K131" i="39"/>
  <c r="J131" i="39"/>
  <c r="K130" i="39"/>
  <c r="J130" i="39"/>
  <c r="K129" i="39"/>
  <c r="J129" i="39"/>
  <c r="K128" i="39"/>
  <c r="J128" i="39"/>
  <c r="K127" i="39"/>
  <c r="J127" i="39"/>
  <c r="K126" i="39"/>
  <c r="J126" i="39"/>
  <c r="K125" i="39"/>
  <c r="J125" i="39"/>
  <c r="K124" i="39"/>
  <c r="J124" i="39"/>
  <c r="K123" i="39"/>
  <c r="J123" i="39"/>
  <c r="K122" i="39"/>
  <c r="J122" i="39"/>
  <c r="K121" i="39"/>
  <c r="J121" i="39"/>
  <c r="K120" i="39"/>
  <c r="J120" i="39"/>
  <c r="K119" i="39"/>
  <c r="J119" i="39"/>
  <c r="K118" i="39"/>
  <c r="J118" i="39"/>
  <c r="K117" i="39"/>
  <c r="J117" i="39"/>
  <c r="K116" i="39"/>
  <c r="J116" i="39"/>
  <c r="K115" i="39"/>
  <c r="J115" i="39"/>
  <c r="K114" i="39"/>
  <c r="J114" i="39"/>
  <c r="K112" i="39"/>
  <c r="J112" i="39"/>
  <c r="K110" i="39"/>
  <c r="J110" i="39"/>
  <c r="K108" i="39"/>
  <c r="J108" i="39"/>
  <c r="K107" i="39"/>
  <c r="J107" i="39"/>
  <c r="K106" i="39"/>
  <c r="J106" i="39"/>
  <c r="K105" i="39"/>
  <c r="J105" i="39"/>
  <c r="K104" i="39"/>
  <c r="J104" i="39"/>
  <c r="K103" i="39"/>
  <c r="J103" i="39"/>
  <c r="K102" i="39"/>
  <c r="J102" i="39"/>
  <c r="K101" i="39"/>
  <c r="J101" i="39"/>
  <c r="K100" i="39"/>
  <c r="J100" i="39"/>
  <c r="K99" i="39"/>
  <c r="J99" i="39"/>
  <c r="K98" i="39"/>
  <c r="J98" i="39"/>
  <c r="K97" i="39"/>
  <c r="J97" i="39"/>
  <c r="K96" i="39"/>
  <c r="J96" i="39"/>
  <c r="K95" i="39"/>
  <c r="J95" i="39"/>
  <c r="K94" i="39"/>
  <c r="J94" i="39"/>
  <c r="K93" i="39"/>
  <c r="J93" i="39"/>
  <c r="K92" i="39"/>
  <c r="J92" i="39"/>
  <c r="K91" i="39"/>
  <c r="J91" i="39"/>
  <c r="K90" i="39"/>
  <c r="J90" i="39"/>
  <c r="K89" i="39"/>
  <c r="J89" i="39"/>
  <c r="K88" i="39"/>
  <c r="J88" i="39"/>
  <c r="K87" i="39"/>
  <c r="J87" i="39"/>
  <c r="K86" i="39"/>
  <c r="J86" i="39"/>
  <c r="K85" i="39"/>
  <c r="J85" i="39"/>
  <c r="K83" i="39"/>
  <c r="J83" i="39"/>
  <c r="K82" i="39"/>
  <c r="J82" i="39"/>
  <c r="K81" i="39"/>
  <c r="J81" i="39"/>
  <c r="K80" i="39"/>
  <c r="J80" i="39"/>
  <c r="K79" i="39"/>
  <c r="J79" i="39"/>
  <c r="K78" i="39"/>
  <c r="J78" i="39"/>
  <c r="K77" i="39"/>
  <c r="J77" i="39"/>
  <c r="K76" i="39"/>
  <c r="J76" i="39"/>
  <c r="K75" i="39"/>
  <c r="J75" i="39"/>
  <c r="K74" i="39"/>
  <c r="J74" i="39"/>
  <c r="K73" i="39"/>
  <c r="J73" i="39"/>
  <c r="K72" i="39"/>
  <c r="J72" i="39"/>
  <c r="K71" i="39"/>
  <c r="J71" i="39"/>
  <c r="K70" i="39"/>
  <c r="J70" i="39"/>
  <c r="K69" i="39"/>
  <c r="J69" i="39"/>
  <c r="K68" i="39"/>
  <c r="J68" i="39"/>
  <c r="K67" i="39"/>
  <c r="J67" i="39"/>
  <c r="K66" i="39"/>
  <c r="J66" i="39"/>
  <c r="K65" i="39"/>
  <c r="J65" i="39"/>
  <c r="K64" i="39"/>
  <c r="J64" i="39"/>
  <c r="K63" i="39"/>
  <c r="J63" i="39"/>
  <c r="K62" i="39"/>
  <c r="J62" i="39"/>
  <c r="K61" i="39"/>
  <c r="J61" i="39"/>
  <c r="K60" i="39"/>
  <c r="J60" i="39"/>
  <c r="K59" i="39"/>
  <c r="J59" i="39"/>
  <c r="K58" i="39"/>
  <c r="J58" i="39"/>
  <c r="K57" i="39"/>
  <c r="J57" i="39"/>
  <c r="K56" i="39"/>
  <c r="J56" i="39"/>
  <c r="K55" i="39"/>
  <c r="J55" i="39"/>
  <c r="K54" i="39"/>
  <c r="J54" i="39"/>
  <c r="K53" i="39"/>
  <c r="J53" i="39"/>
  <c r="K52" i="39"/>
  <c r="J52" i="39"/>
  <c r="K51" i="39"/>
  <c r="J51" i="39"/>
  <c r="K50" i="39"/>
  <c r="J50" i="39"/>
  <c r="K49" i="39"/>
  <c r="J49" i="39"/>
  <c r="K48" i="39"/>
  <c r="J48" i="39"/>
  <c r="K47" i="39"/>
  <c r="J47" i="39"/>
  <c r="K46" i="39"/>
  <c r="J46" i="39"/>
  <c r="K45" i="39"/>
  <c r="J45" i="39"/>
  <c r="K44" i="39"/>
  <c r="J44" i="39"/>
  <c r="K43" i="39"/>
  <c r="J43" i="39"/>
  <c r="K42" i="39"/>
  <c r="J42" i="39"/>
  <c r="K41" i="39"/>
  <c r="J41" i="39"/>
  <c r="K40" i="39"/>
  <c r="J40" i="39"/>
  <c r="K39" i="39"/>
  <c r="J39" i="39"/>
  <c r="K38" i="39"/>
  <c r="J38" i="39"/>
  <c r="K37" i="39"/>
  <c r="J37" i="39"/>
  <c r="K36" i="39"/>
  <c r="J36" i="39"/>
  <c r="K34" i="39"/>
  <c r="J34" i="39"/>
  <c r="K33" i="39"/>
  <c r="J33" i="39"/>
  <c r="K32" i="39"/>
  <c r="J32" i="39"/>
  <c r="K31" i="39"/>
  <c r="J31" i="39"/>
  <c r="K30" i="39"/>
  <c r="J30" i="39"/>
  <c r="K29" i="39"/>
  <c r="J29" i="39"/>
  <c r="K28" i="39"/>
  <c r="J28" i="39"/>
  <c r="K27" i="39"/>
  <c r="J27" i="39"/>
  <c r="K26" i="39"/>
  <c r="J26" i="39"/>
  <c r="K25" i="39"/>
  <c r="J25" i="39"/>
  <c r="K24" i="39"/>
  <c r="J24" i="39"/>
  <c r="K23" i="39"/>
  <c r="J23" i="39"/>
  <c r="K22" i="39"/>
  <c r="J22" i="39"/>
  <c r="K21" i="39"/>
  <c r="J21" i="39"/>
  <c r="K20" i="39"/>
  <c r="J20" i="39"/>
  <c r="K19" i="39"/>
  <c r="J19" i="39"/>
  <c r="K18" i="39"/>
  <c r="J18" i="39"/>
  <c r="K17" i="39"/>
  <c r="J17" i="39"/>
  <c r="K16" i="39"/>
  <c r="J16" i="39"/>
  <c r="K15" i="39"/>
  <c r="J15" i="39"/>
  <c r="K14" i="39"/>
  <c r="J14" i="39"/>
  <c r="K13" i="39"/>
  <c r="J13" i="39"/>
  <c r="K12" i="39"/>
  <c r="J12" i="39"/>
  <c r="K10" i="39"/>
  <c r="J10" i="39"/>
  <c r="K9" i="39"/>
  <c r="J9" i="39"/>
  <c r="K8" i="39"/>
  <c r="J8" i="39"/>
  <c r="K7" i="39"/>
  <c r="J7" i="39"/>
  <c r="K6" i="39"/>
  <c r="J6" i="39"/>
  <c r="AQ28" i="34" l="1"/>
  <c r="AF29" i="34"/>
  <c r="I23" i="34"/>
  <c r="AE47" i="34"/>
  <c r="J47" i="34"/>
  <c r="L47" i="34"/>
  <c r="V39" i="34"/>
  <c r="X39" i="34"/>
  <c r="P39" i="34"/>
  <c r="O47" i="34"/>
  <c r="U47" i="34"/>
  <c r="AA39" i="34"/>
  <c r="AG39" i="34"/>
  <c r="BB28" i="34"/>
  <c r="AC39" i="34"/>
  <c r="D8" i="45"/>
  <c r="C9" i="62"/>
  <c r="I28" i="34"/>
  <c r="AH47" i="34"/>
  <c r="M47" i="34"/>
  <c r="S39" i="34"/>
  <c r="Y39" i="34"/>
  <c r="U28" i="34"/>
  <c r="AD47" i="34"/>
  <c r="O39" i="34"/>
  <c r="U39" i="34"/>
  <c r="AF28" i="34"/>
  <c r="I38" i="34"/>
  <c r="N38" i="34"/>
  <c r="U38" i="34"/>
  <c r="X38" i="34"/>
  <c r="AA38" i="34"/>
  <c r="K38" i="34"/>
  <c r="Z38" i="34"/>
  <c r="J38" i="34"/>
  <c r="Q38" i="34"/>
  <c r="T38" i="34"/>
  <c r="Q53" i="34"/>
  <c r="S53" i="34"/>
  <c r="U53" i="34"/>
  <c r="AA53" i="34"/>
  <c r="Y53" i="34"/>
  <c r="N53" i="34"/>
  <c r="AC53" i="34"/>
  <c r="V53" i="34"/>
  <c r="O53" i="34"/>
  <c r="W53" i="34"/>
  <c r="P53" i="34"/>
  <c r="J53" i="34"/>
  <c r="T53" i="34"/>
  <c r="R53" i="34"/>
  <c r="X53" i="34"/>
  <c r="Z53" i="34"/>
  <c r="AB53" i="34"/>
  <c r="H53" i="34"/>
  <c r="BM28" i="34"/>
  <c r="Q28" i="34"/>
  <c r="AB28" i="34"/>
  <c r="AM28" i="34"/>
  <c r="AX28" i="34"/>
  <c r="BK29" i="34"/>
  <c r="AR23" i="34"/>
  <c r="H21" i="33"/>
  <c r="BI28" i="34"/>
  <c r="M28" i="34"/>
  <c r="X28" i="34"/>
  <c r="AI28" i="34"/>
  <c r="AT28" i="34"/>
  <c r="AQ29" i="34"/>
  <c r="T23" i="34"/>
  <c r="H31" i="33"/>
  <c r="BE28" i="34"/>
  <c r="BP28" i="34"/>
  <c r="T28" i="34"/>
  <c r="AE28" i="34"/>
  <c r="AP28" i="34"/>
  <c r="K53" i="34"/>
  <c r="AY23" i="34"/>
  <c r="H20" i="33"/>
  <c r="S29" i="34"/>
  <c r="BO29" i="34"/>
  <c r="BD29" i="34"/>
  <c r="AS29" i="34"/>
  <c r="AH29" i="34"/>
  <c r="W29" i="34"/>
  <c r="L29" i="34"/>
  <c r="BH29" i="34"/>
  <c r="AW29" i="34"/>
  <c r="AL29" i="34"/>
  <c r="AA29" i="34"/>
  <c r="P29" i="34"/>
  <c r="BL29" i="34"/>
  <c r="BA29" i="34"/>
  <c r="AP29" i="34"/>
  <c r="AE29" i="34"/>
  <c r="T29" i="34"/>
  <c r="BP29" i="34"/>
  <c r="BE29" i="34"/>
  <c r="AT29" i="34"/>
  <c r="AI29" i="34"/>
  <c r="X29" i="34"/>
  <c r="M29" i="34"/>
  <c r="BI29" i="34"/>
  <c r="AX29" i="34"/>
  <c r="AM29" i="34"/>
  <c r="AB29" i="34"/>
  <c r="Q29" i="34"/>
  <c r="BM29" i="34"/>
  <c r="BB29" i="34"/>
  <c r="AU29" i="34"/>
  <c r="AJ29" i="34"/>
  <c r="Y29" i="34"/>
  <c r="N29" i="34"/>
  <c r="BJ29" i="34"/>
  <c r="AY29" i="34"/>
  <c r="AN29" i="34"/>
  <c r="AC29" i="34"/>
  <c r="R29" i="34"/>
  <c r="BN29" i="34"/>
  <c r="BC29" i="34"/>
  <c r="AR29" i="34"/>
  <c r="AG29" i="34"/>
  <c r="V29" i="34"/>
  <c r="I29" i="34"/>
  <c r="K29" i="34"/>
  <c r="BG29" i="34"/>
  <c r="AV29" i="34"/>
  <c r="AK29" i="34"/>
  <c r="Z29" i="34"/>
  <c r="H29" i="34"/>
  <c r="BA28" i="34"/>
  <c r="BL28" i="34"/>
  <c r="P28" i="34"/>
  <c r="AA28" i="34"/>
  <c r="AL28" i="34"/>
  <c r="I53" i="34"/>
  <c r="AE23" i="34"/>
  <c r="AW28" i="34"/>
  <c r="BH28" i="34"/>
  <c r="L28" i="34"/>
  <c r="W28" i="34"/>
  <c r="AH28" i="34"/>
  <c r="M53" i="34"/>
  <c r="BJ23" i="34"/>
  <c r="H30" i="33"/>
  <c r="AS28" i="34"/>
  <c r="BD28" i="34"/>
  <c r="BO28" i="34"/>
  <c r="S28" i="34"/>
  <c r="AD28" i="34"/>
  <c r="BF29" i="34"/>
  <c r="L53" i="34"/>
  <c r="AC23" i="34"/>
  <c r="R23" i="34"/>
  <c r="BN23" i="34"/>
  <c r="BC23" i="34"/>
  <c r="AV23" i="34"/>
  <c r="AG23" i="34"/>
  <c r="V23" i="34"/>
  <c r="K23" i="34"/>
  <c r="BG23" i="34"/>
  <c r="AZ23" i="34"/>
  <c r="AK23" i="34"/>
  <c r="Z23" i="34"/>
  <c r="O23" i="34"/>
  <c r="BK23" i="34"/>
  <c r="BD23" i="34"/>
  <c r="AO23" i="34"/>
  <c r="AD23" i="34"/>
  <c r="S23" i="34"/>
  <c r="BO23" i="34"/>
  <c r="BH23" i="34"/>
  <c r="AS23" i="34"/>
  <c r="AH23" i="34"/>
  <c r="W23" i="34"/>
  <c r="L23" i="34"/>
  <c r="BL23" i="34"/>
  <c r="AW23" i="34"/>
  <c r="AL23" i="34"/>
  <c r="AA23" i="34"/>
  <c r="P23" i="34"/>
  <c r="BP23" i="34"/>
  <c r="BE23" i="34"/>
  <c r="AT23" i="34"/>
  <c r="AI23" i="34"/>
  <c r="X23" i="34"/>
  <c r="H23" i="34"/>
  <c r="M23" i="34"/>
  <c r="BI23" i="34"/>
  <c r="AX23" i="34"/>
  <c r="AM23" i="34"/>
  <c r="AB23" i="34"/>
  <c r="Q23" i="34"/>
  <c r="BM23" i="34"/>
  <c r="BB23" i="34"/>
  <c r="AQ23" i="34"/>
  <c r="AF23" i="34"/>
  <c r="U23" i="34"/>
  <c r="J23" i="34"/>
  <c r="BF23" i="34"/>
  <c r="AU23" i="34"/>
  <c r="AN23" i="34"/>
  <c r="AO28" i="34"/>
  <c r="AZ28" i="34"/>
  <c r="BK28" i="34"/>
  <c r="O28" i="34"/>
  <c r="Z28" i="34"/>
  <c r="AD29" i="34"/>
  <c r="N23" i="34"/>
  <c r="AK28" i="34"/>
  <c r="AV28" i="34"/>
  <c r="BG28" i="34"/>
  <c r="K28" i="34"/>
  <c r="V28" i="34"/>
  <c r="J29" i="34"/>
  <c r="BA23" i="34"/>
  <c r="AG28" i="34"/>
  <c r="AR28" i="34"/>
  <c r="BC28" i="34"/>
  <c r="BN28" i="34"/>
  <c r="N28" i="34"/>
  <c r="AO29" i="34"/>
  <c r="Y23" i="34"/>
  <c r="AC28" i="34"/>
  <c r="AN28" i="34"/>
  <c r="AY28" i="34"/>
  <c r="BJ28" i="34"/>
  <c r="J28" i="34"/>
  <c r="U29" i="34"/>
  <c r="H28" i="34"/>
  <c r="Y28" i="34"/>
  <c r="AJ28" i="34"/>
  <c r="AU28" i="34"/>
  <c r="BF28" i="34"/>
  <c r="AZ29" i="34"/>
  <c r="AH63" i="36"/>
  <c r="AD63" i="36"/>
  <c r="AH79" i="36"/>
  <c r="AF79" i="36"/>
  <c r="AF63" i="36"/>
  <c r="AE63" i="36"/>
  <c r="AI63" i="36"/>
  <c r="AE79" i="36"/>
  <c r="AG63" i="36"/>
  <c r="AI79" i="36"/>
  <c r="AG79" i="36"/>
  <c r="AD79" i="36"/>
  <c r="AH78" i="36"/>
  <c r="AG62" i="36"/>
  <c r="AI78" i="36"/>
  <c r="AF62" i="36"/>
  <c r="AD62" i="36"/>
  <c r="AF78" i="36"/>
  <c r="AE62" i="36"/>
  <c r="AG78" i="36"/>
  <c r="AH62" i="36"/>
  <c r="AD78" i="36"/>
  <c r="AE78" i="36"/>
  <c r="AI62" i="36"/>
  <c r="BI47" i="34"/>
  <c r="AO47" i="34"/>
  <c r="BB47" i="34"/>
  <c r="AS47" i="34"/>
  <c r="AI47" i="34"/>
  <c r="AL47" i="34"/>
  <c r="AV47" i="34"/>
  <c r="BK47" i="34"/>
  <c r="AU47" i="34"/>
  <c r="AW47" i="34"/>
  <c r="BN47" i="34"/>
  <c r="AJ47" i="34"/>
  <c r="AZ47" i="34"/>
  <c r="BO47" i="34"/>
  <c r="AY47" i="34"/>
  <c r="BF47" i="34"/>
  <c r="AN47" i="34"/>
  <c r="BM47" i="34"/>
  <c r="AP47" i="34"/>
  <c r="BH47" i="34"/>
  <c r="BD47" i="34"/>
  <c r="BE47" i="34"/>
  <c r="BC47" i="34"/>
  <c r="BJ47" i="34"/>
  <c r="BA47" i="34"/>
  <c r="AR47" i="34"/>
  <c r="AM47" i="34"/>
  <c r="AT47" i="34"/>
  <c r="AK47" i="34"/>
  <c r="AX47" i="34"/>
  <c r="BL47" i="34"/>
  <c r="BG47" i="34"/>
  <c r="BP47" i="34"/>
  <c r="AQ47" i="34"/>
  <c r="AE69" i="36"/>
  <c r="AE110" i="34" s="1"/>
  <c r="AF53" i="36"/>
  <c r="AF94" i="34" s="1"/>
  <c r="AI69" i="36"/>
  <c r="AI110" i="34" s="1"/>
  <c r="AD69" i="36"/>
  <c r="AD110" i="34" s="1"/>
  <c r="AI53" i="36"/>
  <c r="AI94" i="34" s="1"/>
  <c r="AD53" i="36"/>
  <c r="AD94" i="34" s="1"/>
  <c r="AG53" i="36"/>
  <c r="AG94" i="34" s="1"/>
  <c r="AF69" i="36"/>
  <c r="AF110" i="34" s="1"/>
  <c r="AH53" i="36"/>
  <c r="AH94" i="34" s="1"/>
  <c r="AE53" i="36"/>
  <c r="AE94" i="34" s="1"/>
  <c r="AG69" i="36"/>
  <c r="AG110" i="34" s="1"/>
  <c r="AH69" i="36"/>
  <c r="AH110" i="34" s="1"/>
  <c r="D111" i="46"/>
  <c r="E93" i="46"/>
  <c r="D101" i="46"/>
  <c r="E83" i="46"/>
  <c r="D112" i="46"/>
  <c r="E94" i="46"/>
  <c r="C38" i="34"/>
  <c r="N94" i="34"/>
  <c r="K94" i="34"/>
  <c r="R94" i="34"/>
  <c r="AA93" i="34"/>
  <c r="AC93" i="34"/>
  <c r="M93" i="34"/>
  <c r="AA110" i="34"/>
  <c r="AB110" i="34"/>
  <c r="S93" i="34"/>
  <c r="P93" i="34"/>
  <c r="W42" i="45"/>
  <c r="W64" i="45" s="1"/>
  <c r="N42" i="45"/>
  <c r="N64" i="45" s="1"/>
  <c r="AA42" i="45"/>
  <c r="AA64" i="45" s="1"/>
  <c r="H42" i="45"/>
  <c r="H64" i="45" s="1"/>
  <c r="Z42" i="45"/>
  <c r="Z64" i="45" s="1"/>
  <c r="Q42" i="45"/>
  <c r="Q64" i="45" s="1"/>
  <c r="S41" i="45"/>
  <c r="S63" i="45" s="1"/>
  <c r="Y41" i="45"/>
  <c r="Y63" i="45" s="1"/>
  <c r="C6" i="34"/>
  <c r="D20" i="34"/>
  <c r="N110" i="34"/>
  <c r="X109" i="34"/>
  <c r="AB109" i="34"/>
  <c r="J109" i="34"/>
  <c r="H109" i="34"/>
  <c r="V110" i="34"/>
  <c r="I109" i="34"/>
  <c r="K110" i="34"/>
  <c r="T109" i="34"/>
  <c r="R110" i="34"/>
  <c r="L110" i="34"/>
  <c r="N109" i="34"/>
  <c r="AA109" i="34"/>
  <c r="Z93" i="34"/>
  <c r="V109" i="34"/>
  <c r="W110" i="34"/>
  <c r="AC110" i="34"/>
  <c r="K93" i="34"/>
  <c r="Y94" i="34"/>
  <c r="L93" i="34"/>
  <c r="Q94" i="34"/>
  <c r="S94" i="34"/>
  <c r="W93" i="34"/>
  <c r="U109" i="34"/>
  <c r="Z94" i="34"/>
  <c r="AB94" i="34"/>
  <c r="J94" i="34"/>
  <c r="H110" i="34"/>
  <c r="Q109" i="34"/>
  <c r="I94" i="34"/>
  <c r="S109" i="34"/>
  <c r="P109" i="34"/>
  <c r="G42" i="45"/>
  <c r="G64" i="45" s="1"/>
  <c r="W41" i="45"/>
  <c r="W63" i="45" s="1"/>
  <c r="I42" i="45"/>
  <c r="I64" i="45" s="1"/>
  <c r="N41" i="45"/>
  <c r="N63" i="45" s="1"/>
  <c r="R42" i="45"/>
  <c r="R64" i="45" s="1"/>
  <c r="K42" i="45"/>
  <c r="K64" i="45" s="1"/>
  <c r="AA41" i="45"/>
  <c r="AA63" i="45" s="1"/>
  <c r="M42" i="45"/>
  <c r="M64" i="45" s="1"/>
  <c r="H41" i="45"/>
  <c r="H63" i="45" s="1"/>
  <c r="Z41" i="45"/>
  <c r="Z63" i="45" s="1"/>
  <c r="L42" i="45"/>
  <c r="L64" i="45" s="1"/>
  <c r="Q41" i="45"/>
  <c r="Q63" i="45" s="1"/>
  <c r="J42" i="45"/>
  <c r="J64" i="45" s="1"/>
  <c r="F41" i="45"/>
  <c r="F63" i="45" s="1"/>
  <c r="J93" i="34"/>
  <c r="V94" i="34"/>
  <c r="T93" i="34"/>
  <c r="L94" i="34"/>
  <c r="Z109" i="34"/>
  <c r="R109" i="34"/>
  <c r="Q93" i="34"/>
  <c r="W94" i="34"/>
  <c r="U110" i="34"/>
  <c r="O110" i="34"/>
  <c r="K109" i="34"/>
  <c r="Y110" i="34"/>
  <c r="M110" i="34"/>
  <c r="L109" i="34"/>
  <c r="Q110" i="34"/>
  <c r="S110" i="34"/>
  <c r="W109" i="34"/>
  <c r="AC109" i="34"/>
  <c r="U93" i="34"/>
  <c r="O93" i="34"/>
  <c r="Y93" i="34"/>
  <c r="R93" i="34"/>
  <c r="G41" i="45"/>
  <c r="G63" i="45" s="1"/>
  <c r="I41" i="45"/>
  <c r="I63" i="45" s="1"/>
  <c r="R41" i="45"/>
  <c r="R63" i="45" s="1"/>
  <c r="K41" i="45"/>
  <c r="K63" i="45" s="1"/>
  <c r="M41" i="45"/>
  <c r="M63" i="45" s="1"/>
  <c r="O42" i="45"/>
  <c r="O64" i="45" s="1"/>
  <c r="U42" i="45"/>
  <c r="U64" i="45" s="1"/>
  <c r="L41" i="45"/>
  <c r="L63" i="45" s="1"/>
  <c r="J41" i="45"/>
  <c r="J63" i="45" s="1"/>
  <c r="P42" i="45"/>
  <c r="P64" i="45" s="1"/>
  <c r="V42" i="45"/>
  <c r="V64" i="45" s="1"/>
  <c r="T110" i="34"/>
  <c r="AB93" i="34"/>
  <c r="I93" i="34"/>
  <c r="N93" i="34"/>
  <c r="M94" i="34"/>
  <c r="P110" i="34"/>
  <c r="Y109" i="34"/>
  <c r="X110" i="34"/>
  <c r="J110" i="34"/>
  <c r="H94" i="34"/>
  <c r="I110" i="34"/>
  <c r="T41" i="45"/>
  <c r="T63" i="45" s="1"/>
  <c r="X41" i="45"/>
  <c r="X63" i="45" s="1"/>
  <c r="F42" i="45"/>
  <c r="F64" i="45" s="1"/>
  <c r="D38" i="34"/>
  <c r="D6" i="34"/>
  <c r="X93" i="34"/>
  <c r="H93" i="34"/>
  <c r="V93" i="34"/>
  <c r="AC94" i="34"/>
  <c r="O94" i="34"/>
  <c r="O109" i="34"/>
  <c r="P94" i="34"/>
  <c r="M109" i="34"/>
  <c r="AA94" i="34"/>
  <c r="X94" i="34"/>
  <c r="T42" i="45"/>
  <c r="T64" i="45" s="1"/>
  <c r="X42" i="45"/>
  <c r="X64" i="45" s="1"/>
  <c r="O41" i="45"/>
  <c r="O63" i="45" s="1"/>
  <c r="U41" i="45"/>
  <c r="U63" i="45" s="1"/>
  <c r="S42" i="45"/>
  <c r="S64" i="45" s="1"/>
  <c r="Y42" i="45"/>
  <c r="Y64" i="45" s="1"/>
  <c r="P41" i="45"/>
  <c r="P63" i="45" s="1"/>
  <c r="V41" i="45"/>
  <c r="V63" i="45" s="1"/>
  <c r="U159" i="34"/>
  <c r="Z69" i="36"/>
  <c r="U53" i="36"/>
  <c r="Z175" i="34"/>
  <c r="T53" i="36"/>
  <c r="T175" i="34"/>
  <c r="T159" i="34"/>
  <c r="I48" i="36"/>
  <c r="I139" i="34"/>
  <c r="I135" i="34"/>
  <c r="I88" i="34"/>
  <c r="G44" i="45" s="1"/>
  <c r="Y48" i="36"/>
  <c r="Y139" i="34"/>
  <c r="Y135" i="34"/>
  <c r="Y88" i="34"/>
  <c r="W44" i="45" s="1"/>
  <c r="K48" i="36"/>
  <c r="K135" i="34"/>
  <c r="K88" i="34"/>
  <c r="I44" i="45" s="1"/>
  <c r="K139" i="34"/>
  <c r="L78" i="36"/>
  <c r="L184" i="34"/>
  <c r="L62" i="36"/>
  <c r="L168" i="34"/>
  <c r="K62" i="36"/>
  <c r="K184" i="34"/>
  <c r="K168" i="34"/>
  <c r="K78" i="36"/>
  <c r="AI168" i="34"/>
  <c r="AI184" i="34"/>
  <c r="M48" i="36"/>
  <c r="M139" i="34"/>
  <c r="M135" i="34"/>
  <c r="M88" i="34"/>
  <c r="K44" i="45" s="1"/>
  <c r="AC48" i="36"/>
  <c r="AC139" i="34"/>
  <c r="AC135" i="34"/>
  <c r="AC88" i="34"/>
  <c r="AA44" i="45" s="1"/>
  <c r="O48" i="36"/>
  <c r="O139" i="34"/>
  <c r="O135" i="34"/>
  <c r="O88" i="34"/>
  <c r="M44" i="45" s="1"/>
  <c r="AE169" i="34"/>
  <c r="AE185" i="34"/>
  <c r="AA184" i="34"/>
  <c r="AA168" i="34"/>
  <c r="AA62" i="36"/>
  <c r="AA78" i="36"/>
  <c r="R79" i="36"/>
  <c r="R185" i="34"/>
  <c r="R169" i="34"/>
  <c r="R63" i="36"/>
  <c r="N48" i="36"/>
  <c r="N88" i="34"/>
  <c r="L44" i="45" s="1"/>
  <c r="N139" i="34"/>
  <c r="N135" i="34"/>
  <c r="L48" i="36"/>
  <c r="L139" i="34"/>
  <c r="L135" i="34"/>
  <c r="L88" i="34"/>
  <c r="J44" i="45" s="1"/>
  <c r="Q78" i="36"/>
  <c r="Q168" i="34"/>
  <c r="Q184" i="34"/>
  <c r="Q62" i="36"/>
  <c r="X79" i="36"/>
  <c r="X185" i="34"/>
  <c r="X63" i="36"/>
  <c r="X169" i="34"/>
  <c r="AH168" i="34"/>
  <c r="AH184" i="34"/>
  <c r="W63" i="36"/>
  <c r="W185" i="34"/>
  <c r="W169" i="34"/>
  <c r="W79" i="36"/>
  <c r="S62" i="36"/>
  <c r="S78" i="36"/>
  <c r="S168" i="34"/>
  <c r="S184" i="34"/>
  <c r="AF168" i="34"/>
  <c r="AF184" i="34"/>
  <c r="Y185" i="34"/>
  <c r="Y63" i="36"/>
  <c r="Y79" i="36"/>
  <c r="Y169" i="34"/>
  <c r="I143" i="34"/>
  <c r="I90" i="34"/>
  <c r="G46" i="45" s="1"/>
  <c r="Y143" i="34"/>
  <c r="Y90" i="34"/>
  <c r="W46" i="45" s="1"/>
  <c r="K143" i="34"/>
  <c r="K90" i="34"/>
  <c r="I46" i="45" s="1"/>
  <c r="V143" i="34"/>
  <c r="V90" i="34"/>
  <c r="T46" i="45" s="1"/>
  <c r="P143" i="34"/>
  <c r="P90" i="34"/>
  <c r="N46" i="45" s="1"/>
  <c r="T143" i="34"/>
  <c r="T90" i="34"/>
  <c r="R46" i="45" s="1"/>
  <c r="P184" i="34"/>
  <c r="P78" i="36"/>
  <c r="P168" i="34"/>
  <c r="P62" i="36"/>
  <c r="L185" i="34"/>
  <c r="L79" i="36"/>
  <c r="L63" i="36"/>
  <c r="L169" i="34"/>
  <c r="AD185" i="34"/>
  <c r="AD169" i="34"/>
  <c r="J63" i="36"/>
  <c r="J79" i="36"/>
  <c r="J169" i="34"/>
  <c r="J185" i="34"/>
  <c r="M143" i="34"/>
  <c r="M90" i="34"/>
  <c r="K46" i="45" s="1"/>
  <c r="AC143" i="34"/>
  <c r="AC90" i="34"/>
  <c r="AA46" i="45" s="1"/>
  <c r="O143" i="34"/>
  <c r="O90" i="34"/>
  <c r="M46" i="45" s="1"/>
  <c r="J143" i="34"/>
  <c r="J90" i="34"/>
  <c r="H46" i="45" s="1"/>
  <c r="Z143" i="34"/>
  <c r="Z90" i="34"/>
  <c r="X46" i="45" s="1"/>
  <c r="AB143" i="34"/>
  <c r="AB90" i="34"/>
  <c r="Z46" i="45" s="1"/>
  <c r="AC79" i="36"/>
  <c r="AC185" i="34"/>
  <c r="AC63" i="36"/>
  <c r="AC169" i="34"/>
  <c r="AE184" i="34"/>
  <c r="AE168" i="34"/>
  <c r="T62" i="36"/>
  <c r="T184" i="34"/>
  <c r="T168" i="34"/>
  <c r="T78" i="36"/>
  <c r="R62" i="36"/>
  <c r="R168" i="34"/>
  <c r="R78" i="36"/>
  <c r="R184" i="34"/>
  <c r="Q48" i="36"/>
  <c r="Q139" i="34"/>
  <c r="Q135" i="34"/>
  <c r="Q88" i="34"/>
  <c r="O44" i="45" s="1"/>
  <c r="W48" i="36"/>
  <c r="W139" i="34"/>
  <c r="W135" i="34"/>
  <c r="W88" i="34"/>
  <c r="U44" i="45" s="1"/>
  <c r="S48" i="36"/>
  <c r="S139" i="34"/>
  <c r="S135" i="34"/>
  <c r="S88" i="34"/>
  <c r="Q44" i="45" s="1"/>
  <c r="Z79" i="36"/>
  <c r="Z169" i="34"/>
  <c r="Z63" i="36"/>
  <c r="Z185" i="34"/>
  <c r="X78" i="36"/>
  <c r="X184" i="34"/>
  <c r="X62" i="36"/>
  <c r="X168" i="34"/>
  <c r="AB185" i="34"/>
  <c r="AB63" i="36"/>
  <c r="AB79" i="36"/>
  <c r="AB169" i="34"/>
  <c r="R48" i="36"/>
  <c r="R88" i="34"/>
  <c r="P44" i="45" s="1"/>
  <c r="R135" i="34"/>
  <c r="R139" i="34"/>
  <c r="X48" i="36"/>
  <c r="X88" i="34"/>
  <c r="V44" i="45" s="1"/>
  <c r="X135" i="34"/>
  <c r="X139" i="34"/>
  <c r="W168" i="34"/>
  <c r="W62" i="36"/>
  <c r="W184" i="34"/>
  <c r="W78" i="36"/>
  <c r="V168" i="34"/>
  <c r="V184" i="34"/>
  <c r="V78" i="36"/>
  <c r="V62" i="36"/>
  <c r="AF185" i="34"/>
  <c r="AF169" i="34"/>
  <c r="H168" i="34"/>
  <c r="H78" i="36"/>
  <c r="H62" i="36"/>
  <c r="H184" i="34"/>
  <c r="AD168" i="34"/>
  <c r="AD184" i="34"/>
  <c r="O169" i="34"/>
  <c r="O79" i="36"/>
  <c r="O63" i="36"/>
  <c r="O185" i="34"/>
  <c r="AC168" i="34"/>
  <c r="AC78" i="36"/>
  <c r="AC62" i="36"/>
  <c r="AC184" i="34"/>
  <c r="U168" i="34"/>
  <c r="U62" i="36"/>
  <c r="U78" i="36"/>
  <c r="U184" i="34"/>
  <c r="T185" i="34"/>
  <c r="T79" i="36"/>
  <c r="T169" i="34"/>
  <c r="T63" i="36"/>
  <c r="Q143" i="34"/>
  <c r="Q90" i="34"/>
  <c r="O46" i="45" s="1"/>
  <c r="W143" i="34"/>
  <c r="W90" i="34"/>
  <c r="U46" i="45" s="1"/>
  <c r="N143" i="34"/>
  <c r="N90" i="34"/>
  <c r="L46" i="45" s="1"/>
  <c r="S143" i="34"/>
  <c r="S90" i="34"/>
  <c r="Q46" i="45" s="1"/>
  <c r="L143" i="34"/>
  <c r="L90" i="34"/>
  <c r="J46" i="45" s="1"/>
  <c r="N185" i="34"/>
  <c r="N169" i="34"/>
  <c r="N79" i="36"/>
  <c r="N63" i="36"/>
  <c r="Z62" i="36"/>
  <c r="Z184" i="34"/>
  <c r="Z78" i="36"/>
  <c r="Z168" i="34"/>
  <c r="AG184" i="34"/>
  <c r="AG168" i="34"/>
  <c r="AB168" i="34"/>
  <c r="AB78" i="36"/>
  <c r="AB62" i="36"/>
  <c r="AB184" i="34"/>
  <c r="U48" i="36"/>
  <c r="U139" i="34"/>
  <c r="U135" i="34"/>
  <c r="U88" i="34"/>
  <c r="S44" i="45" s="1"/>
  <c r="H48" i="36"/>
  <c r="H88" i="34"/>
  <c r="F44" i="45" s="1"/>
  <c r="H139" i="34"/>
  <c r="H135" i="34"/>
  <c r="AA48" i="36"/>
  <c r="AA139" i="34"/>
  <c r="AA135" i="34"/>
  <c r="AA88" i="34"/>
  <c r="Y44" i="45" s="1"/>
  <c r="I79" i="36"/>
  <c r="I185" i="34"/>
  <c r="I63" i="36"/>
  <c r="I169" i="34"/>
  <c r="V185" i="34"/>
  <c r="V63" i="36"/>
  <c r="V79" i="36"/>
  <c r="V169" i="34"/>
  <c r="M63" i="36"/>
  <c r="M169" i="34"/>
  <c r="M79" i="36"/>
  <c r="M185" i="34"/>
  <c r="V48" i="36"/>
  <c r="V135" i="34"/>
  <c r="V139" i="34"/>
  <c r="V88" i="34"/>
  <c r="T44" i="45" s="1"/>
  <c r="P48" i="36"/>
  <c r="P139" i="34"/>
  <c r="P88" i="34"/>
  <c r="N44" i="45" s="1"/>
  <c r="P135" i="34"/>
  <c r="T48" i="36"/>
  <c r="T139" i="34"/>
  <c r="T135" i="34"/>
  <c r="T88" i="34"/>
  <c r="R44" i="45" s="1"/>
  <c r="K79" i="36"/>
  <c r="K185" i="34"/>
  <c r="K63" i="36"/>
  <c r="K169" i="34"/>
  <c r="H79" i="36"/>
  <c r="H63" i="36"/>
  <c r="H169" i="34"/>
  <c r="H185" i="34"/>
  <c r="J78" i="36"/>
  <c r="J184" i="34"/>
  <c r="J62" i="36"/>
  <c r="J168" i="34"/>
  <c r="AI169" i="34"/>
  <c r="AI185" i="34"/>
  <c r="J48" i="36"/>
  <c r="J135" i="34"/>
  <c r="J139" i="34"/>
  <c r="J88" i="34"/>
  <c r="H44" i="45" s="1"/>
  <c r="Z48" i="36"/>
  <c r="Z139" i="34"/>
  <c r="Z135" i="34"/>
  <c r="Z88" i="34"/>
  <c r="X44" i="45" s="1"/>
  <c r="AB48" i="36"/>
  <c r="AB139" i="34"/>
  <c r="AB135" i="34"/>
  <c r="AB88" i="34"/>
  <c r="Z44" i="45" s="1"/>
  <c r="O78" i="36"/>
  <c r="O62" i="36"/>
  <c r="O168" i="34"/>
  <c r="O184" i="34"/>
  <c r="AA185" i="34"/>
  <c r="AA79" i="36"/>
  <c r="AA63" i="36"/>
  <c r="AA169" i="34"/>
  <c r="U185" i="34"/>
  <c r="U63" i="36"/>
  <c r="U79" i="36"/>
  <c r="U169" i="34"/>
  <c r="Q185" i="34"/>
  <c r="Q63" i="36"/>
  <c r="Q79" i="36"/>
  <c r="Q169" i="34"/>
  <c r="N184" i="34"/>
  <c r="N168" i="34"/>
  <c r="N62" i="36"/>
  <c r="N78" i="36"/>
  <c r="AH185" i="34"/>
  <c r="AH169" i="34"/>
  <c r="AG185" i="34"/>
  <c r="AG169" i="34"/>
  <c r="U143" i="34"/>
  <c r="U90" i="34"/>
  <c r="S46" i="45" s="1"/>
  <c r="H90" i="34"/>
  <c r="F46" i="45" s="1"/>
  <c r="H143" i="34"/>
  <c r="AA143" i="34"/>
  <c r="AA90" i="34"/>
  <c r="Y46" i="45" s="1"/>
  <c r="R143" i="34"/>
  <c r="R90" i="34"/>
  <c r="P46" i="45" s="1"/>
  <c r="X143" i="34"/>
  <c r="X90" i="34"/>
  <c r="V46" i="45" s="1"/>
  <c r="S79" i="36"/>
  <c r="S185" i="34"/>
  <c r="S63" i="36"/>
  <c r="S169" i="34"/>
  <c r="I168" i="34"/>
  <c r="I62" i="36"/>
  <c r="I78" i="36"/>
  <c r="I184" i="34"/>
  <c r="Y62" i="36"/>
  <c r="Y184" i="34"/>
  <c r="Y78" i="36"/>
  <c r="Y168" i="34"/>
  <c r="M78" i="36"/>
  <c r="M184" i="34"/>
  <c r="M62" i="36"/>
  <c r="M168" i="34"/>
  <c r="D38" i="33"/>
  <c r="D23" i="45"/>
  <c r="E23" i="45"/>
  <c r="B15" i="45"/>
  <c r="C23" i="45"/>
  <c r="E10" i="45"/>
  <c r="E4" i="45" s="1"/>
  <c r="C38" i="33"/>
  <c r="C20" i="34"/>
  <c r="G86" i="39"/>
  <c r="G87" i="39"/>
  <c r="H87" i="39" s="1"/>
  <c r="G88" i="39"/>
  <c r="G89" i="39"/>
  <c r="G90" i="39"/>
  <c r="G91" i="39"/>
  <c r="G92" i="39"/>
  <c r="G93" i="39"/>
  <c r="G94" i="39"/>
  <c r="G95" i="39"/>
  <c r="G96" i="39"/>
  <c r="H96" i="39" s="1"/>
  <c r="G97" i="39"/>
  <c r="G98" i="39"/>
  <c r="G99" i="39"/>
  <c r="H99" i="39" s="1"/>
  <c r="G100" i="39"/>
  <c r="G101" i="39"/>
  <c r="G102" i="39"/>
  <c r="G85" i="39"/>
  <c r="H51" i="39"/>
  <c r="H53" i="39"/>
  <c r="H55" i="39"/>
  <c r="H57" i="39"/>
  <c r="G37" i="39"/>
  <c r="G38" i="39"/>
  <c r="G39" i="39"/>
  <c r="G40" i="39"/>
  <c r="G41" i="39"/>
  <c r="H41" i="39" s="1"/>
  <c r="G42" i="39"/>
  <c r="G43" i="39"/>
  <c r="G44" i="39"/>
  <c r="G45" i="39"/>
  <c r="H45" i="39" s="1"/>
  <c r="G46" i="39"/>
  <c r="G47" i="39"/>
  <c r="G48" i="39"/>
  <c r="G49" i="39"/>
  <c r="H49" i="39" s="1"/>
  <c r="G50" i="39"/>
  <c r="G51" i="39"/>
  <c r="G52" i="39"/>
  <c r="G53" i="39"/>
  <c r="G54" i="39"/>
  <c r="G55" i="39"/>
  <c r="G56" i="39"/>
  <c r="G57" i="39"/>
  <c r="G58" i="39"/>
  <c r="G59" i="39"/>
  <c r="H59" i="39" s="1"/>
  <c r="G36" i="39"/>
  <c r="H36" i="39" s="1"/>
  <c r="D13" i="36"/>
  <c r="D71" i="46" s="1"/>
  <c r="C12" i="36"/>
  <c r="D11" i="36"/>
  <c r="D69" i="46" s="1"/>
  <c r="G9" i="39"/>
  <c r="H9" i="39" s="1"/>
  <c r="G10" i="39"/>
  <c r="G8" i="39"/>
  <c r="G6" i="39"/>
  <c r="H6" i="39" s="1"/>
  <c r="G7" i="39"/>
  <c r="G5" i="39"/>
  <c r="H133" i="39"/>
  <c r="H130" i="39"/>
  <c r="H129" i="39"/>
  <c r="H124" i="39"/>
  <c r="H17" i="33" s="1"/>
  <c r="H121" i="39"/>
  <c r="H120" i="39"/>
  <c r="H117" i="39"/>
  <c r="H114" i="39"/>
  <c r="H132" i="39"/>
  <c r="H131" i="39"/>
  <c r="H126" i="39"/>
  <c r="H127" i="39"/>
  <c r="H128" i="39"/>
  <c r="H125" i="39"/>
  <c r="H123" i="39"/>
  <c r="H122" i="39"/>
  <c r="H116" i="39"/>
  <c r="H118" i="39"/>
  <c r="H119" i="39"/>
  <c r="H115" i="39"/>
  <c r="H112" i="39"/>
  <c r="H15" i="33" s="1"/>
  <c r="H110" i="39"/>
  <c r="H14" i="33" s="1"/>
  <c r="H105" i="39"/>
  <c r="H102" i="39"/>
  <c r="H100" i="39"/>
  <c r="H95" i="39"/>
  <c r="H92" i="39"/>
  <c r="H90" i="39"/>
  <c r="G104" i="39"/>
  <c r="G105" i="39"/>
  <c r="G106" i="39"/>
  <c r="G107" i="39"/>
  <c r="G108" i="39"/>
  <c r="G103" i="39"/>
  <c r="H74" i="39"/>
  <c r="H67" i="39"/>
  <c r="H63" i="39"/>
  <c r="H62" i="39"/>
  <c r="G61" i="39"/>
  <c r="G62" i="39"/>
  <c r="G63" i="39"/>
  <c r="G64" i="39"/>
  <c r="G65" i="39"/>
  <c r="G66" i="39"/>
  <c r="H66" i="39" s="1"/>
  <c r="G67" i="39"/>
  <c r="G68" i="39"/>
  <c r="G69" i="39"/>
  <c r="G70" i="39"/>
  <c r="H70" i="39" s="1"/>
  <c r="G71" i="39"/>
  <c r="H71" i="39" s="1"/>
  <c r="G72" i="39"/>
  <c r="G73" i="39"/>
  <c r="G74" i="39"/>
  <c r="G75" i="39"/>
  <c r="H75" i="39" s="1"/>
  <c r="G76" i="39"/>
  <c r="G77" i="39"/>
  <c r="G78" i="39"/>
  <c r="G79" i="39"/>
  <c r="G80" i="39"/>
  <c r="G81" i="39"/>
  <c r="G82" i="39"/>
  <c r="G83" i="39"/>
  <c r="H83" i="39" s="1"/>
  <c r="G60" i="39"/>
  <c r="H28" i="39"/>
  <c r="H32" i="39"/>
  <c r="H25" i="39"/>
  <c r="H9" i="33" s="1"/>
  <c r="H26" i="39"/>
  <c r="H23" i="39"/>
  <c r="H24" i="39"/>
  <c r="H15" i="39"/>
  <c r="H16" i="39"/>
  <c r="H19" i="39"/>
  <c r="H20" i="39"/>
  <c r="H7" i="39"/>
  <c r="H10" i="39"/>
  <c r="G30" i="39"/>
  <c r="G31" i="39"/>
  <c r="G32" i="39"/>
  <c r="G33" i="39"/>
  <c r="G34" i="39"/>
  <c r="G29" i="39"/>
  <c r="H13" i="39"/>
  <c r="H14" i="39"/>
  <c r="H17" i="39"/>
  <c r="H18" i="39"/>
  <c r="H21" i="39"/>
  <c r="H22" i="39"/>
  <c r="H27" i="39"/>
  <c r="H12" i="39"/>
  <c r="C133" i="39"/>
  <c r="B133" i="39"/>
  <c r="C132" i="39"/>
  <c r="B132" i="39"/>
  <c r="C131" i="39"/>
  <c r="B131" i="39"/>
  <c r="C130" i="39"/>
  <c r="B130" i="39"/>
  <c r="C129" i="39"/>
  <c r="B129" i="39"/>
  <c r="C128" i="39"/>
  <c r="B128" i="39"/>
  <c r="C127" i="39"/>
  <c r="B127" i="39"/>
  <c r="C126" i="39"/>
  <c r="B126" i="39"/>
  <c r="C125" i="39"/>
  <c r="B125" i="39"/>
  <c r="C124" i="39"/>
  <c r="B124" i="39"/>
  <c r="C123" i="39"/>
  <c r="B123" i="39"/>
  <c r="C122" i="39"/>
  <c r="B122" i="39"/>
  <c r="C121" i="39"/>
  <c r="B121" i="39"/>
  <c r="C120" i="39"/>
  <c r="B120" i="39"/>
  <c r="C119" i="39"/>
  <c r="B119" i="39"/>
  <c r="C118" i="39"/>
  <c r="B118" i="39"/>
  <c r="C117" i="39"/>
  <c r="B117" i="39"/>
  <c r="C116" i="39"/>
  <c r="B116" i="39"/>
  <c r="C115" i="39"/>
  <c r="B115" i="39"/>
  <c r="C114" i="39"/>
  <c r="B114" i="39"/>
  <c r="C112" i="39"/>
  <c r="B112" i="39"/>
  <c r="C110" i="39"/>
  <c r="B110" i="39"/>
  <c r="C108" i="39"/>
  <c r="B108" i="39"/>
  <c r="C107" i="39"/>
  <c r="B107" i="39"/>
  <c r="C106" i="39"/>
  <c r="B106" i="39"/>
  <c r="C105" i="39"/>
  <c r="B105" i="39"/>
  <c r="C104" i="39"/>
  <c r="B104" i="39"/>
  <c r="C103" i="39"/>
  <c r="B103" i="39"/>
  <c r="C102" i="39"/>
  <c r="B102" i="39"/>
  <c r="C101" i="39"/>
  <c r="B101" i="39"/>
  <c r="C100" i="39"/>
  <c r="B100" i="39"/>
  <c r="C99" i="39"/>
  <c r="B99" i="39"/>
  <c r="C98" i="39"/>
  <c r="B98" i="39"/>
  <c r="C97" i="39"/>
  <c r="B97" i="39"/>
  <c r="C96" i="39"/>
  <c r="B96" i="39"/>
  <c r="C95" i="39"/>
  <c r="B95" i="39"/>
  <c r="C94" i="39"/>
  <c r="B94" i="39"/>
  <c r="C93" i="39"/>
  <c r="B93" i="39"/>
  <c r="C92" i="39"/>
  <c r="B92" i="39"/>
  <c r="C91" i="39"/>
  <c r="B91" i="39"/>
  <c r="C90" i="39"/>
  <c r="B90" i="39"/>
  <c r="C89" i="39"/>
  <c r="B89" i="39"/>
  <c r="C88" i="39"/>
  <c r="B88" i="39"/>
  <c r="C87" i="39"/>
  <c r="B87" i="39"/>
  <c r="C86" i="39"/>
  <c r="B86" i="39"/>
  <c r="C85" i="39"/>
  <c r="B85" i="39"/>
  <c r="C83" i="39"/>
  <c r="B83" i="39"/>
  <c r="C82" i="39"/>
  <c r="B82" i="39"/>
  <c r="C81" i="39"/>
  <c r="B81" i="39"/>
  <c r="C80" i="39"/>
  <c r="B80" i="39"/>
  <c r="C79" i="39"/>
  <c r="B79" i="39"/>
  <c r="C78" i="39"/>
  <c r="B78" i="39"/>
  <c r="C77" i="39"/>
  <c r="B77" i="39"/>
  <c r="C76" i="39"/>
  <c r="B76" i="39"/>
  <c r="C75" i="39"/>
  <c r="B75" i="39"/>
  <c r="C74" i="39"/>
  <c r="B74" i="39"/>
  <c r="C73" i="39"/>
  <c r="B73" i="39"/>
  <c r="C72" i="39"/>
  <c r="B72" i="39"/>
  <c r="C71" i="39"/>
  <c r="B71" i="39"/>
  <c r="C70" i="39"/>
  <c r="B70" i="39"/>
  <c r="C69" i="39"/>
  <c r="B69" i="39"/>
  <c r="C68" i="39"/>
  <c r="B68" i="39"/>
  <c r="C67" i="39"/>
  <c r="B67" i="39"/>
  <c r="C66" i="39"/>
  <c r="B66" i="39"/>
  <c r="C65" i="39"/>
  <c r="B65" i="39"/>
  <c r="C64" i="39"/>
  <c r="B64" i="39"/>
  <c r="C63" i="39"/>
  <c r="B63" i="39"/>
  <c r="C62" i="39"/>
  <c r="B62" i="39"/>
  <c r="C61" i="39"/>
  <c r="B61" i="39"/>
  <c r="C60" i="39"/>
  <c r="B60" i="39"/>
  <c r="C59" i="39"/>
  <c r="B59" i="39"/>
  <c r="C58" i="39"/>
  <c r="B58" i="39"/>
  <c r="C57" i="39"/>
  <c r="B57" i="39"/>
  <c r="C56" i="39"/>
  <c r="B56" i="39"/>
  <c r="C55" i="39"/>
  <c r="B55" i="39"/>
  <c r="C54" i="39"/>
  <c r="B54" i="39"/>
  <c r="C53" i="39"/>
  <c r="B53" i="39"/>
  <c r="C52" i="39"/>
  <c r="B52" i="39"/>
  <c r="C51" i="39"/>
  <c r="B51" i="39"/>
  <c r="C50" i="39"/>
  <c r="B50" i="39"/>
  <c r="C49" i="39"/>
  <c r="B49" i="39"/>
  <c r="C48" i="39"/>
  <c r="B48" i="39"/>
  <c r="C47" i="39"/>
  <c r="B47" i="39"/>
  <c r="C46" i="39"/>
  <c r="B46" i="39"/>
  <c r="C45" i="39"/>
  <c r="B45" i="39"/>
  <c r="C44" i="39"/>
  <c r="B44" i="39"/>
  <c r="C43" i="39"/>
  <c r="B43" i="39"/>
  <c r="C42" i="39"/>
  <c r="B42" i="39"/>
  <c r="C41" i="39"/>
  <c r="B41" i="39"/>
  <c r="C40" i="39"/>
  <c r="B40" i="39"/>
  <c r="C39" i="39"/>
  <c r="B39" i="39"/>
  <c r="C38" i="39"/>
  <c r="B38" i="39"/>
  <c r="C37" i="39"/>
  <c r="B37" i="39"/>
  <c r="C36" i="39"/>
  <c r="B36" i="39"/>
  <c r="C34" i="39"/>
  <c r="B34" i="39"/>
  <c r="C33" i="39"/>
  <c r="B33" i="39"/>
  <c r="C32" i="39"/>
  <c r="B32" i="39"/>
  <c r="C31" i="39"/>
  <c r="B31" i="39"/>
  <c r="C30" i="39"/>
  <c r="B30" i="39"/>
  <c r="C29" i="39"/>
  <c r="B29" i="39"/>
  <c r="C28" i="39"/>
  <c r="B28" i="39"/>
  <c r="C27" i="39"/>
  <c r="B27" i="39"/>
  <c r="C26" i="39"/>
  <c r="B26" i="39"/>
  <c r="C25" i="39"/>
  <c r="B25" i="39"/>
  <c r="C24" i="39"/>
  <c r="B24" i="39"/>
  <c r="C23" i="39"/>
  <c r="B23" i="39"/>
  <c r="C22" i="39"/>
  <c r="B22" i="39"/>
  <c r="C21" i="39"/>
  <c r="B21" i="39"/>
  <c r="C20" i="39"/>
  <c r="B20" i="39"/>
  <c r="C19" i="39"/>
  <c r="B19" i="39"/>
  <c r="C18" i="39"/>
  <c r="B18" i="39"/>
  <c r="C17" i="39"/>
  <c r="B17" i="39"/>
  <c r="C16" i="39"/>
  <c r="B16" i="39"/>
  <c r="C15" i="39"/>
  <c r="B15" i="39"/>
  <c r="C14" i="39"/>
  <c r="B14" i="39"/>
  <c r="C13" i="39"/>
  <c r="B13" i="39"/>
  <c r="C12" i="39"/>
  <c r="B12" i="39"/>
  <c r="C10" i="39"/>
  <c r="B10" i="39"/>
  <c r="C9" i="39"/>
  <c r="B9" i="39"/>
  <c r="C8" i="39"/>
  <c r="B8" i="39"/>
  <c r="C7" i="39"/>
  <c r="B7" i="39"/>
  <c r="C6" i="39"/>
  <c r="B6" i="39"/>
  <c r="D9" i="45" l="1"/>
  <c r="C10" i="62"/>
  <c r="T85" i="39"/>
  <c r="N85" i="39"/>
  <c r="M30" i="34"/>
  <c r="AH30" i="34"/>
  <c r="Q30" i="34"/>
  <c r="K30" i="34"/>
  <c r="U30" i="34"/>
  <c r="O30" i="34"/>
  <c r="Y30" i="34"/>
  <c r="S30" i="34"/>
  <c r="AC30" i="34"/>
  <c r="W30" i="34"/>
  <c r="AG30" i="34"/>
  <c r="AA30" i="34"/>
  <c r="L30" i="34"/>
  <c r="J30" i="34"/>
  <c r="AE30" i="34"/>
  <c r="P30" i="34"/>
  <c r="N30" i="34"/>
  <c r="AI30" i="34"/>
  <c r="T30" i="34"/>
  <c r="R30" i="34"/>
  <c r="I30" i="34"/>
  <c r="X30" i="34"/>
  <c r="V30" i="34"/>
  <c r="H30" i="34"/>
  <c r="AB30" i="34"/>
  <c r="Z30" i="34"/>
  <c r="AF30" i="34"/>
  <c r="AD30" i="34"/>
  <c r="H34" i="39"/>
  <c r="T34" i="39"/>
  <c r="N34" i="39"/>
  <c r="H81" i="39"/>
  <c r="T81" i="39"/>
  <c r="N81" i="39"/>
  <c r="H69" i="39"/>
  <c r="T69" i="39"/>
  <c r="N69" i="39"/>
  <c r="H107" i="39"/>
  <c r="T107" i="39"/>
  <c r="N107" i="39"/>
  <c r="T36" i="39"/>
  <c r="N36" i="39"/>
  <c r="H48" i="39"/>
  <c r="T48" i="39"/>
  <c r="N48" i="39"/>
  <c r="T102" i="39"/>
  <c r="N102" i="39"/>
  <c r="T90" i="39"/>
  <c r="N90" i="39"/>
  <c r="H33" i="39"/>
  <c r="T33" i="39"/>
  <c r="N33" i="39"/>
  <c r="H106" i="39"/>
  <c r="T106" i="39"/>
  <c r="N106" i="39"/>
  <c r="H89" i="39"/>
  <c r="T89" i="39"/>
  <c r="N89" i="39"/>
  <c r="Y31" i="34"/>
  <c r="S31" i="34"/>
  <c r="H31" i="34"/>
  <c r="AC31" i="34"/>
  <c r="W31" i="34"/>
  <c r="AG31" i="34"/>
  <c r="AA31" i="34"/>
  <c r="J31" i="34"/>
  <c r="AE31" i="34"/>
  <c r="N31" i="34"/>
  <c r="AI31" i="34"/>
  <c r="R31" i="34"/>
  <c r="L31" i="34"/>
  <c r="Z31" i="34"/>
  <c r="T31" i="34"/>
  <c r="AD31" i="34"/>
  <c r="X31" i="34"/>
  <c r="M31" i="34"/>
  <c r="AH31" i="34"/>
  <c r="AB31" i="34"/>
  <c r="Q31" i="34"/>
  <c r="K31" i="34"/>
  <c r="AF31" i="34"/>
  <c r="O31" i="34"/>
  <c r="P31" i="34"/>
  <c r="I31" i="34"/>
  <c r="V31" i="34"/>
  <c r="U31" i="34"/>
  <c r="H108" i="39"/>
  <c r="T108" i="39"/>
  <c r="N108" i="39"/>
  <c r="T91" i="39"/>
  <c r="N91" i="39"/>
  <c r="T32" i="39"/>
  <c r="N32" i="39"/>
  <c r="T79" i="39"/>
  <c r="N79" i="39"/>
  <c r="T67" i="39"/>
  <c r="N67" i="39"/>
  <c r="T105" i="39"/>
  <c r="N105" i="39"/>
  <c r="H58" i="39"/>
  <c r="T58" i="39"/>
  <c r="N58" i="39"/>
  <c r="H46" i="39"/>
  <c r="T46" i="39"/>
  <c r="N46" i="39"/>
  <c r="T100" i="39"/>
  <c r="N100" i="39"/>
  <c r="T88" i="39"/>
  <c r="N88" i="39"/>
  <c r="T59" i="39"/>
  <c r="N59" i="39"/>
  <c r="H6" i="33"/>
  <c r="T31" i="39"/>
  <c r="N31" i="39"/>
  <c r="T78" i="39"/>
  <c r="N78" i="39"/>
  <c r="T66" i="39"/>
  <c r="N66" i="39"/>
  <c r="H104" i="39"/>
  <c r="T104" i="39"/>
  <c r="N104" i="39"/>
  <c r="T5" i="39"/>
  <c r="N5" i="39"/>
  <c r="T57" i="39"/>
  <c r="N57" i="39"/>
  <c r="T45" i="39"/>
  <c r="N45" i="39"/>
  <c r="T99" i="39"/>
  <c r="N99" i="39"/>
  <c r="T87" i="39"/>
  <c r="N87" i="39"/>
  <c r="H68" i="39"/>
  <c r="T68" i="39"/>
  <c r="N68" i="39"/>
  <c r="H47" i="39"/>
  <c r="T47" i="39"/>
  <c r="N47" i="39"/>
  <c r="T7" i="39"/>
  <c r="N7" i="39"/>
  <c r="H98" i="39"/>
  <c r="T98" i="39"/>
  <c r="N98" i="39"/>
  <c r="T70" i="39"/>
  <c r="N70" i="39"/>
  <c r="H30" i="39"/>
  <c r="T30" i="39"/>
  <c r="N30" i="39"/>
  <c r="H77" i="39"/>
  <c r="T77" i="39"/>
  <c r="N77" i="39"/>
  <c r="H65" i="39"/>
  <c r="T65" i="39"/>
  <c r="N65" i="39"/>
  <c r="H85" i="39"/>
  <c r="H56" i="39"/>
  <c r="T56" i="39"/>
  <c r="N56" i="39"/>
  <c r="H44" i="39"/>
  <c r="T44" i="39"/>
  <c r="N44" i="39"/>
  <c r="T86" i="39"/>
  <c r="N86" i="39"/>
  <c r="H7" i="33"/>
  <c r="H5" i="39"/>
  <c r="H5" i="33" s="1"/>
  <c r="H76" i="39"/>
  <c r="T76" i="39"/>
  <c r="N76" i="39"/>
  <c r="H64" i="39"/>
  <c r="T64" i="39"/>
  <c r="N64" i="39"/>
  <c r="H86" i="39"/>
  <c r="T6" i="39"/>
  <c r="N6" i="39"/>
  <c r="T55" i="39"/>
  <c r="N55" i="39"/>
  <c r="T43" i="39"/>
  <c r="N43" i="39"/>
  <c r="H97" i="39"/>
  <c r="T97" i="39"/>
  <c r="N97" i="39"/>
  <c r="R20" i="34"/>
  <c r="X20" i="34"/>
  <c r="V20" i="34"/>
  <c r="Q20" i="34"/>
  <c r="Z20" i="34"/>
  <c r="Y20" i="34"/>
  <c r="K20" i="34"/>
  <c r="L20" i="34"/>
  <c r="O20" i="34"/>
  <c r="T20" i="34"/>
  <c r="S20" i="34"/>
  <c r="AB20" i="34"/>
  <c r="AA20" i="34"/>
  <c r="H20" i="34"/>
  <c r="M20" i="34"/>
  <c r="U20" i="34"/>
  <c r="J20" i="34"/>
  <c r="AC20" i="34"/>
  <c r="P20" i="34"/>
  <c r="I20" i="34"/>
  <c r="W20" i="34"/>
  <c r="N20" i="34"/>
  <c r="T75" i="39"/>
  <c r="N75" i="39"/>
  <c r="H8" i="39"/>
  <c r="H4" i="33" s="1"/>
  <c r="T8" i="39"/>
  <c r="N8" i="39"/>
  <c r="T49" i="39"/>
  <c r="N49" i="39"/>
  <c r="H80" i="39"/>
  <c r="T80" i="39"/>
  <c r="N80" i="39"/>
  <c r="T63" i="39"/>
  <c r="N63" i="39"/>
  <c r="H78" i="39"/>
  <c r="H54" i="39"/>
  <c r="T54" i="39"/>
  <c r="N54" i="39"/>
  <c r="H42" i="39"/>
  <c r="T42" i="39"/>
  <c r="N42" i="39"/>
  <c r="T96" i="39"/>
  <c r="N96" i="39"/>
  <c r="H31" i="39"/>
  <c r="T74" i="39"/>
  <c r="N74" i="39"/>
  <c r="T62" i="39"/>
  <c r="N62" i="39"/>
  <c r="H79" i="39"/>
  <c r="H88" i="39"/>
  <c r="H16" i="33"/>
  <c r="T10" i="39"/>
  <c r="N10" i="39"/>
  <c r="T53" i="39"/>
  <c r="N53" i="39"/>
  <c r="T41" i="39"/>
  <c r="N41" i="39"/>
  <c r="H43" i="39"/>
  <c r="T95" i="39"/>
  <c r="N95" i="39"/>
  <c r="H29" i="39"/>
  <c r="T29" i="39"/>
  <c r="N29" i="39"/>
  <c r="T82" i="39"/>
  <c r="N82" i="39"/>
  <c r="T37" i="39"/>
  <c r="N37" i="39"/>
  <c r="H101" i="39"/>
  <c r="T101" i="39"/>
  <c r="N101" i="39"/>
  <c r="H61" i="39"/>
  <c r="T61" i="39"/>
  <c r="N61" i="39"/>
  <c r="H52" i="39"/>
  <c r="T52" i="39"/>
  <c r="N52" i="39"/>
  <c r="H60" i="39"/>
  <c r="T60" i="39"/>
  <c r="N60" i="39"/>
  <c r="H72" i="39"/>
  <c r="T72" i="39"/>
  <c r="N72" i="39"/>
  <c r="H91" i="39"/>
  <c r="T51" i="39"/>
  <c r="N51" i="39"/>
  <c r="T39" i="39"/>
  <c r="N39" i="39"/>
  <c r="H39" i="39"/>
  <c r="H93" i="39"/>
  <c r="T93" i="39"/>
  <c r="N93" i="39"/>
  <c r="T21" i="34"/>
  <c r="V21" i="34"/>
  <c r="X21" i="34"/>
  <c r="Z21" i="34"/>
  <c r="K21" i="34"/>
  <c r="AB21" i="34"/>
  <c r="AD21" i="34"/>
  <c r="J21" i="34"/>
  <c r="AF21" i="34"/>
  <c r="AH21" i="34"/>
  <c r="O21" i="34"/>
  <c r="M21" i="34"/>
  <c r="I21" i="34"/>
  <c r="S21" i="34"/>
  <c r="Q21" i="34"/>
  <c r="H21" i="34"/>
  <c r="W21" i="34"/>
  <c r="U21" i="34"/>
  <c r="AA21" i="34"/>
  <c r="Y21" i="34"/>
  <c r="AE21" i="34"/>
  <c r="AC21" i="34"/>
  <c r="AI21" i="34"/>
  <c r="AG21" i="34"/>
  <c r="L21" i="34"/>
  <c r="N21" i="34"/>
  <c r="P21" i="34"/>
  <c r="R21" i="34"/>
  <c r="Y17" i="34"/>
  <c r="S17" i="34"/>
  <c r="H17" i="34"/>
  <c r="R17" i="34"/>
  <c r="L17" i="34"/>
  <c r="AG17" i="34"/>
  <c r="AI17" i="34"/>
  <c r="AC17" i="34"/>
  <c r="J17" i="34"/>
  <c r="P17" i="34"/>
  <c r="N17" i="34"/>
  <c r="T17" i="34"/>
  <c r="AE17" i="34"/>
  <c r="V17" i="34"/>
  <c r="X17" i="34"/>
  <c r="Z17" i="34"/>
  <c r="AB17" i="34"/>
  <c r="AD17" i="34"/>
  <c r="AF17" i="34"/>
  <c r="AH17" i="34"/>
  <c r="I17" i="34"/>
  <c r="K17" i="34"/>
  <c r="M17" i="34"/>
  <c r="O17" i="34"/>
  <c r="Q17" i="34"/>
  <c r="W17" i="34"/>
  <c r="U17" i="34"/>
  <c r="AA17" i="34"/>
  <c r="H73" i="39"/>
  <c r="T73" i="39"/>
  <c r="N73" i="39"/>
  <c r="H82" i="39"/>
  <c r="T9" i="39"/>
  <c r="N9" i="39"/>
  <c r="H40" i="39"/>
  <c r="T40" i="39"/>
  <c r="N40" i="39"/>
  <c r="H94" i="39"/>
  <c r="T94" i="39"/>
  <c r="N94" i="39"/>
  <c r="T83" i="39"/>
  <c r="N83" i="39"/>
  <c r="T71" i="39"/>
  <c r="N71" i="39"/>
  <c r="H103" i="39"/>
  <c r="T103" i="39"/>
  <c r="N103" i="39"/>
  <c r="H50" i="39"/>
  <c r="T50" i="39"/>
  <c r="N50" i="39"/>
  <c r="H38" i="39"/>
  <c r="T38" i="39"/>
  <c r="N38" i="39"/>
  <c r="H37" i="39"/>
  <c r="T92" i="39"/>
  <c r="N92" i="39"/>
  <c r="K15" i="34"/>
  <c r="O15" i="34"/>
  <c r="S15" i="34"/>
  <c r="W15" i="34"/>
  <c r="AA15" i="34"/>
  <c r="AE15" i="34"/>
  <c r="AI15" i="34"/>
  <c r="AM15" i="34"/>
  <c r="L15" i="34"/>
  <c r="P15" i="34"/>
  <c r="T15" i="34"/>
  <c r="X15" i="34"/>
  <c r="AB15" i="34"/>
  <c r="AF15" i="34"/>
  <c r="AJ15" i="34"/>
  <c r="AN15" i="34"/>
  <c r="M15" i="34"/>
  <c r="U15" i="34"/>
  <c r="AC15" i="34"/>
  <c r="AK15" i="34"/>
  <c r="AQ15" i="34"/>
  <c r="AU15" i="34"/>
  <c r="AY15" i="34"/>
  <c r="BC15" i="34"/>
  <c r="BG15" i="34"/>
  <c r="BK15" i="34"/>
  <c r="BO15" i="34"/>
  <c r="N15" i="34"/>
  <c r="V15" i="34"/>
  <c r="AD15" i="34"/>
  <c r="AL15" i="34"/>
  <c r="AR15" i="34"/>
  <c r="AV15" i="34"/>
  <c r="AZ15" i="34"/>
  <c r="BD15" i="34"/>
  <c r="BH15" i="34"/>
  <c r="BL15" i="34"/>
  <c r="BP15" i="34"/>
  <c r="Q15" i="34"/>
  <c r="Y15" i="34"/>
  <c r="AG15" i="34"/>
  <c r="AO15" i="34"/>
  <c r="AS15" i="34"/>
  <c r="AW15" i="34"/>
  <c r="BA15" i="34"/>
  <c r="BE15" i="34"/>
  <c r="BI15" i="34"/>
  <c r="BM15" i="34"/>
  <c r="J15" i="34"/>
  <c r="R15" i="34"/>
  <c r="Z15" i="34"/>
  <c r="AH15" i="34"/>
  <c r="AP15" i="34"/>
  <c r="AT15" i="34"/>
  <c r="AX15" i="34"/>
  <c r="BB15" i="34"/>
  <c r="BF15" i="34"/>
  <c r="BJ15" i="34"/>
  <c r="BN15" i="34"/>
  <c r="I15" i="34"/>
  <c r="H15" i="34"/>
  <c r="K9" i="34"/>
  <c r="O9" i="34"/>
  <c r="S9" i="34"/>
  <c r="W9" i="34"/>
  <c r="AA9" i="34"/>
  <c r="AE9" i="34"/>
  <c r="AI9" i="34"/>
  <c r="AM9" i="34"/>
  <c r="AQ9" i="34"/>
  <c r="AU9" i="34"/>
  <c r="AY9" i="34"/>
  <c r="L9" i="34"/>
  <c r="P9" i="34"/>
  <c r="T9" i="34"/>
  <c r="X9" i="34"/>
  <c r="AB9" i="34"/>
  <c r="AF9" i="34"/>
  <c r="AN9" i="34"/>
  <c r="AR9" i="34"/>
  <c r="AV9" i="34"/>
  <c r="AZ9" i="34"/>
  <c r="M9" i="34"/>
  <c r="Q9" i="34"/>
  <c r="U9" i="34"/>
  <c r="Y9" i="34"/>
  <c r="AC9" i="34"/>
  <c r="AG9" i="34"/>
  <c r="AK9" i="34"/>
  <c r="AO9" i="34"/>
  <c r="AS9" i="34"/>
  <c r="AW9" i="34"/>
  <c r="BA9" i="34"/>
  <c r="J9" i="34"/>
  <c r="N9" i="34"/>
  <c r="R9" i="34"/>
  <c r="V9" i="34"/>
  <c r="Z9" i="34"/>
  <c r="AD9" i="34"/>
  <c r="AH9" i="34"/>
  <c r="AL9" i="34"/>
  <c r="AP9" i="34"/>
  <c r="AT9" i="34"/>
  <c r="AX9" i="34"/>
  <c r="BB9" i="34"/>
  <c r="BC9" i="34"/>
  <c r="BG9" i="34"/>
  <c r="BK9" i="34"/>
  <c r="BO9" i="34"/>
  <c r="BD9" i="34"/>
  <c r="BH9" i="34"/>
  <c r="BL9" i="34"/>
  <c r="BP9" i="34"/>
  <c r="BE9" i="34"/>
  <c r="BI9" i="34"/>
  <c r="BM9" i="34"/>
  <c r="BF9" i="34"/>
  <c r="BJ9" i="34"/>
  <c r="BN9" i="34"/>
  <c r="I9" i="34"/>
  <c r="H9" i="34"/>
  <c r="L14" i="34"/>
  <c r="P14" i="34"/>
  <c r="T14" i="34"/>
  <c r="X14" i="34"/>
  <c r="AB14" i="34"/>
  <c r="AF14" i="34"/>
  <c r="AJ14" i="34"/>
  <c r="AN14" i="34"/>
  <c r="AR14" i="34"/>
  <c r="AV14" i="34"/>
  <c r="AZ14" i="34"/>
  <c r="BD14" i="34"/>
  <c r="BH14" i="34"/>
  <c r="BL14" i="34"/>
  <c r="M14" i="34"/>
  <c r="Q14" i="34"/>
  <c r="U14" i="34"/>
  <c r="Y14" i="34"/>
  <c r="AC14" i="34"/>
  <c r="AG14" i="34"/>
  <c r="AK14" i="34"/>
  <c r="AO14" i="34"/>
  <c r="AS14" i="34"/>
  <c r="AW14" i="34"/>
  <c r="BA14" i="34"/>
  <c r="BE14" i="34"/>
  <c r="J14" i="34"/>
  <c r="N14" i="34"/>
  <c r="R14" i="34"/>
  <c r="V14" i="34"/>
  <c r="Z14" i="34"/>
  <c r="AD14" i="34"/>
  <c r="AH14" i="34"/>
  <c r="AL14" i="34"/>
  <c r="AP14" i="34"/>
  <c r="AT14" i="34"/>
  <c r="AX14" i="34"/>
  <c r="BB14" i="34"/>
  <c r="BF14" i="34"/>
  <c r="BJ14" i="34"/>
  <c r="BN14" i="34"/>
  <c r="K14" i="34"/>
  <c r="O14" i="34"/>
  <c r="S14" i="34"/>
  <c r="W14" i="34"/>
  <c r="AA14" i="34"/>
  <c r="AE14" i="34"/>
  <c r="AI14" i="34"/>
  <c r="AM14" i="34"/>
  <c r="AQ14" i="34"/>
  <c r="AU14" i="34"/>
  <c r="AY14" i="34"/>
  <c r="BC14" i="34"/>
  <c r="BG14" i="34"/>
  <c r="BK14" i="34"/>
  <c r="BO14" i="34"/>
  <c r="BI14" i="34"/>
  <c r="BM14" i="34"/>
  <c r="BP14" i="34"/>
  <c r="I14" i="34"/>
  <c r="H14" i="34"/>
  <c r="D117" i="46"/>
  <c r="E117" i="46" s="1"/>
  <c r="E101" i="46"/>
  <c r="D89" i="46"/>
  <c r="E71" i="46"/>
  <c r="D87" i="46"/>
  <c r="E69" i="46"/>
  <c r="E112" i="46"/>
  <c r="D128" i="46"/>
  <c r="E128" i="46" s="1"/>
  <c r="D127" i="46"/>
  <c r="E127" i="46" s="1"/>
  <c r="E111" i="46"/>
  <c r="H104" i="34"/>
  <c r="V104" i="34"/>
  <c r="W119" i="34"/>
  <c r="J120" i="34"/>
  <c r="L120" i="34"/>
  <c r="S119" i="34"/>
  <c r="AE104" i="34"/>
  <c r="AI103" i="34"/>
  <c r="I119" i="34"/>
  <c r="AG104" i="34"/>
  <c r="O119" i="34"/>
  <c r="AI120" i="34"/>
  <c r="J119" i="34"/>
  <c r="H120" i="34"/>
  <c r="K120" i="34"/>
  <c r="M104" i="34"/>
  <c r="I120" i="34"/>
  <c r="AG103" i="34"/>
  <c r="Z103" i="34"/>
  <c r="U119" i="34"/>
  <c r="AC103" i="34"/>
  <c r="O104" i="34"/>
  <c r="H103" i="34"/>
  <c r="AF104" i="34"/>
  <c r="V119" i="34"/>
  <c r="AB120" i="34"/>
  <c r="X103" i="34"/>
  <c r="Z104" i="34"/>
  <c r="R119" i="34"/>
  <c r="AC104" i="34"/>
  <c r="J104" i="34"/>
  <c r="AD120" i="34"/>
  <c r="S103" i="34"/>
  <c r="W104" i="34"/>
  <c r="AH103" i="34"/>
  <c r="X120" i="34"/>
  <c r="Q119" i="34"/>
  <c r="R120" i="34"/>
  <c r="AI119" i="34"/>
  <c r="K103" i="34"/>
  <c r="L119" i="34"/>
  <c r="U104" i="34"/>
  <c r="AA120" i="34"/>
  <c r="AB119" i="34"/>
  <c r="AG119" i="34"/>
  <c r="T119" i="34"/>
  <c r="AE103" i="34"/>
  <c r="Y104" i="34"/>
  <c r="Y119" i="34"/>
  <c r="AH120" i="34"/>
  <c r="I103" i="34"/>
  <c r="N119" i="34"/>
  <c r="N104" i="34"/>
  <c r="T120" i="34"/>
  <c r="U103" i="34"/>
  <c r="AC119" i="34"/>
  <c r="O120" i="34"/>
  <c r="H119" i="34"/>
  <c r="AF120" i="34"/>
  <c r="W103" i="34"/>
  <c r="AB104" i="34"/>
  <c r="AE119" i="34"/>
  <c r="P103" i="34"/>
  <c r="AF119" i="34"/>
  <c r="W120" i="34"/>
  <c r="Q103" i="34"/>
  <c r="R104" i="34"/>
  <c r="AA119" i="34"/>
  <c r="K119" i="34"/>
  <c r="AG120" i="34"/>
  <c r="Q104" i="34"/>
  <c r="O103" i="34"/>
  <c r="T104" i="34"/>
  <c r="AD119" i="34"/>
  <c r="V103" i="34"/>
  <c r="P119" i="34"/>
  <c r="T94" i="34"/>
  <c r="Z110" i="34"/>
  <c r="M103" i="34"/>
  <c r="S104" i="34"/>
  <c r="M119" i="34"/>
  <c r="Y103" i="34"/>
  <c r="S120" i="34"/>
  <c r="AH104" i="34"/>
  <c r="N103" i="34"/>
  <c r="Q120" i="34"/>
  <c r="U120" i="34"/>
  <c r="AA104" i="34"/>
  <c r="AI104" i="34"/>
  <c r="J103" i="34"/>
  <c r="K104" i="34"/>
  <c r="M120" i="34"/>
  <c r="V120" i="34"/>
  <c r="I104" i="34"/>
  <c r="AB103" i="34"/>
  <c r="Z119" i="34"/>
  <c r="N120" i="34"/>
  <c r="AD103" i="34"/>
  <c r="X119" i="34"/>
  <c r="Z120" i="34"/>
  <c r="R103" i="34"/>
  <c r="T103" i="34"/>
  <c r="AC120" i="34"/>
  <c r="AD104" i="34"/>
  <c r="L104" i="34"/>
  <c r="Y120" i="34"/>
  <c r="AF103" i="34"/>
  <c r="AH119" i="34"/>
  <c r="X104" i="34"/>
  <c r="AA103" i="34"/>
  <c r="AE120" i="34"/>
  <c r="L103" i="34"/>
  <c r="U94" i="34"/>
  <c r="P136" i="34"/>
  <c r="P89" i="34"/>
  <c r="P140" i="34"/>
  <c r="V136" i="34"/>
  <c r="V140" i="34"/>
  <c r="V89" i="34"/>
  <c r="AA89" i="34"/>
  <c r="AA140" i="34"/>
  <c r="AA136" i="34"/>
  <c r="X89" i="34"/>
  <c r="X140" i="34"/>
  <c r="X136" i="34"/>
  <c r="R89" i="34"/>
  <c r="R136" i="34"/>
  <c r="R140" i="34"/>
  <c r="AB140" i="34"/>
  <c r="AB89" i="34"/>
  <c r="AB136" i="34"/>
  <c r="Z140" i="34"/>
  <c r="Z89" i="34"/>
  <c r="Z136" i="34"/>
  <c r="J136" i="34"/>
  <c r="J140" i="34"/>
  <c r="J89" i="34"/>
  <c r="T140" i="34"/>
  <c r="T89" i="34"/>
  <c r="T136" i="34"/>
  <c r="H140" i="34"/>
  <c r="H136" i="34"/>
  <c r="H89" i="34"/>
  <c r="U89" i="34"/>
  <c r="U140" i="34"/>
  <c r="U136" i="34"/>
  <c r="P63" i="36"/>
  <c r="P79" i="36"/>
  <c r="P185" i="34"/>
  <c r="P169" i="34"/>
  <c r="S89" i="34"/>
  <c r="S140" i="34"/>
  <c r="S136" i="34"/>
  <c r="W136" i="34"/>
  <c r="W89" i="34"/>
  <c r="W140" i="34"/>
  <c r="Q140" i="34"/>
  <c r="Q136" i="34"/>
  <c r="Q89" i="34"/>
  <c r="L140" i="34"/>
  <c r="L89" i="34"/>
  <c r="L136" i="34"/>
  <c r="N140" i="34"/>
  <c r="N89" i="34"/>
  <c r="N136" i="34"/>
  <c r="O140" i="34"/>
  <c r="O136" i="34"/>
  <c r="O89" i="34"/>
  <c r="AC136" i="34"/>
  <c r="AC89" i="34"/>
  <c r="AC140" i="34"/>
  <c r="M140" i="34"/>
  <c r="M136" i="34"/>
  <c r="M89" i="34"/>
  <c r="K140" i="34"/>
  <c r="K136" i="34"/>
  <c r="K89" i="34"/>
  <c r="Y140" i="34"/>
  <c r="Y136" i="34"/>
  <c r="Y89" i="34"/>
  <c r="I89" i="34"/>
  <c r="I140" i="34"/>
  <c r="I136" i="34"/>
  <c r="D24" i="45"/>
  <c r="E24" i="45"/>
  <c r="E12" i="45"/>
  <c r="B16" i="45"/>
  <c r="H10" i="33" l="1"/>
  <c r="H27" i="33"/>
  <c r="D10" i="45"/>
  <c r="C11" i="62"/>
  <c r="H22" i="33"/>
  <c r="AB10" i="34"/>
  <c r="O10" i="34"/>
  <c r="M10" i="34"/>
  <c r="S10" i="34"/>
  <c r="Q10" i="34"/>
  <c r="W10" i="34"/>
  <c r="U10" i="34"/>
  <c r="AA10" i="34"/>
  <c r="Y10" i="34"/>
  <c r="H10" i="34"/>
  <c r="AC10" i="34"/>
  <c r="I10" i="34"/>
  <c r="N10" i="34"/>
  <c r="L10" i="34"/>
  <c r="R10" i="34"/>
  <c r="P10" i="34"/>
  <c r="V10" i="34"/>
  <c r="T10" i="34"/>
  <c r="Z10" i="34"/>
  <c r="X10" i="34"/>
  <c r="J10" i="34"/>
  <c r="K10" i="34"/>
  <c r="H72" i="46"/>
  <c r="H45" i="33"/>
  <c r="H12" i="33"/>
  <c r="H13" i="33"/>
  <c r="H25" i="33"/>
  <c r="AD7" i="34"/>
  <c r="X7" i="34"/>
  <c r="AC7" i="34"/>
  <c r="W7" i="34"/>
  <c r="J7" i="34"/>
  <c r="L7" i="34"/>
  <c r="N7" i="34"/>
  <c r="P7" i="34"/>
  <c r="AI7" i="34"/>
  <c r="R7" i="34"/>
  <c r="T7" i="34"/>
  <c r="V7" i="34"/>
  <c r="AB7" i="34"/>
  <c r="Z7" i="34"/>
  <c r="AF7" i="34"/>
  <c r="AH7" i="34"/>
  <c r="I7" i="34"/>
  <c r="K7" i="34"/>
  <c r="H7" i="34"/>
  <c r="M7" i="34"/>
  <c r="O7" i="34"/>
  <c r="AG7" i="34"/>
  <c r="Q7" i="34"/>
  <c r="S7" i="34"/>
  <c r="U7" i="34"/>
  <c r="AA7" i="34"/>
  <c r="Y7" i="34"/>
  <c r="AE7" i="34"/>
  <c r="H70" i="46"/>
  <c r="H43" i="33"/>
  <c r="H24" i="33"/>
  <c r="Q5" i="34"/>
  <c r="AA5" i="34"/>
  <c r="N5" i="34"/>
  <c r="P5" i="34"/>
  <c r="H5" i="34"/>
  <c r="T5" i="34"/>
  <c r="I5" i="34"/>
  <c r="X5" i="34"/>
  <c r="AB5" i="34"/>
  <c r="M5" i="34"/>
  <c r="U5" i="34"/>
  <c r="Y5" i="34"/>
  <c r="K5" i="34"/>
  <c r="AC5" i="34"/>
  <c r="L5" i="34"/>
  <c r="O5" i="34"/>
  <c r="J5" i="34"/>
  <c r="S5" i="34"/>
  <c r="R5" i="34"/>
  <c r="W5" i="34"/>
  <c r="V5" i="34"/>
  <c r="Z5" i="34"/>
  <c r="H11" i="33"/>
  <c r="H69" i="46"/>
  <c r="H42" i="33"/>
  <c r="Y6" i="34"/>
  <c r="I6" i="34"/>
  <c r="AC6" i="34"/>
  <c r="H6" i="34"/>
  <c r="J6" i="34"/>
  <c r="N6" i="34"/>
  <c r="L6" i="34"/>
  <c r="R6" i="34"/>
  <c r="P6" i="34"/>
  <c r="V6" i="34"/>
  <c r="X6" i="34"/>
  <c r="K6" i="34"/>
  <c r="AB6" i="34"/>
  <c r="O6" i="34"/>
  <c r="M6" i="34"/>
  <c r="S6" i="34"/>
  <c r="Q6" i="34"/>
  <c r="W6" i="34"/>
  <c r="AA6" i="34"/>
  <c r="Z6" i="34"/>
  <c r="T6" i="34"/>
  <c r="U6" i="34"/>
  <c r="AR22" i="34"/>
  <c r="AG22" i="34"/>
  <c r="V22" i="34"/>
  <c r="K22" i="34"/>
  <c r="BG22" i="34"/>
  <c r="AV22" i="34"/>
  <c r="AK22" i="34"/>
  <c r="Z22" i="34"/>
  <c r="O22" i="34"/>
  <c r="BK22" i="34"/>
  <c r="AZ22" i="34"/>
  <c r="AO22" i="34"/>
  <c r="AD22" i="34"/>
  <c r="S22" i="34"/>
  <c r="BO22" i="34"/>
  <c r="BD22" i="34"/>
  <c r="AS22" i="34"/>
  <c r="AH22" i="34"/>
  <c r="W22" i="34"/>
  <c r="I22" i="34"/>
  <c r="L22" i="34"/>
  <c r="BH22" i="34"/>
  <c r="AW22" i="34"/>
  <c r="AL22" i="34"/>
  <c r="AA22" i="34"/>
  <c r="H22" i="34"/>
  <c r="P22" i="34"/>
  <c r="BL22" i="34"/>
  <c r="BA22" i="34"/>
  <c r="AP22" i="34"/>
  <c r="AE22" i="34"/>
  <c r="T22" i="34"/>
  <c r="BP22" i="34"/>
  <c r="BE22" i="34"/>
  <c r="AT22" i="34"/>
  <c r="AI22" i="34"/>
  <c r="X22" i="34"/>
  <c r="M22" i="34"/>
  <c r="BI22" i="34"/>
  <c r="AX22" i="34"/>
  <c r="AM22" i="34"/>
  <c r="AB22" i="34"/>
  <c r="Q22" i="34"/>
  <c r="BM22" i="34"/>
  <c r="BB22" i="34"/>
  <c r="AQ22" i="34"/>
  <c r="AF22" i="34"/>
  <c r="U22" i="34"/>
  <c r="J22" i="34"/>
  <c r="BF22" i="34"/>
  <c r="AU22" i="34"/>
  <c r="AJ22" i="34"/>
  <c r="Y22" i="34"/>
  <c r="N22" i="34"/>
  <c r="BJ22" i="34"/>
  <c r="AY22" i="34"/>
  <c r="AN22" i="34"/>
  <c r="AC22" i="34"/>
  <c r="R22" i="34"/>
  <c r="BN22" i="34"/>
  <c r="BC22" i="34"/>
  <c r="M16" i="34"/>
  <c r="AH16" i="34"/>
  <c r="Q16" i="34"/>
  <c r="K16" i="34"/>
  <c r="U16" i="34"/>
  <c r="O16" i="34"/>
  <c r="Y16" i="34"/>
  <c r="S16" i="34"/>
  <c r="AC16" i="34"/>
  <c r="W16" i="34"/>
  <c r="AG16" i="34"/>
  <c r="AA16" i="34"/>
  <c r="P16" i="34"/>
  <c r="N16" i="34"/>
  <c r="AI16" i="34"/>
  <c r="T16" i="34"/>
  <c r="R16" i="34"/>
  <c r="I16" i="34"/>
  <c r="X16" i="34"/>
  <c r="V16" i="34"/>
  <c r="H16" i="34"/>
  <c r="AB16" i="34"/>
  <c r="Z16" i="34"/>
  <c r="L16" i="34"/>
  <c r="AF16" i="34"/>
  <c r="J16" i="34"/>
  <c r="AD16" i="34"/>
  <c r="AE16" i="34"/>
  <c r="H18" i="33"/>
  <c r="H19" i="33"/>
  <c r="H67" i="46"/>
  <c r="H40" i="33"/>
  <c r="H63" i="46"/>
  <c r="H36" i="33"/>
  <c r="H64" i="46"/>
  <c r="H37" i="33"/>
  <c r="H8" i="33"/>
  <c r="R4" i="34"/>
  <c r="AB4" i="34"/>
  <c r="V4" i="34"/>
  <c r="M4" i="34"/>
  <c r="Z4" i="34"/>
  <c r="Q4" i="34"/>
  <c r="K4" i="34"/>
  <c r="U4" i="34"/>
  <c r="O4" i="34"/>
  <c r="Y4" i="34"/>
  <c r="S4" i="34"/>
  <c r="AC4" i="34"/>
  <c r="AA4" i="34"/>
  <c r="H4" i="34"/>
  <c r="L4" i="34"/>
  <c r="P4" i="34"/>
  <c r="J4" i="34"/>
  <c r="T4" i="34"/>
  <c r="X4" i="34"/>
  <c r="I4" i="34"/>
  <c r="W4" i="34"/>
  <c r="N4" i="34"/>
  <c r="H26" i="33"/>
  <c r="AC27" i="34"/>
  <c r="R27" i="34"/>
  <c r="BN27" i="34"/>
  <c r="BC27" i="34"/>
  <c r="AR27" i="34"/>
  <c r="AG27" i="34"/>
  <c r="V27" i="34"/>
  <c r="K27" i="34"/>
  <c r="BG27" i="34"/>
  <c r="AV27" i="34"/>
  <c r="AK27" i="34"/>
  <c r="Z27" i="34"/>
  <c r="O27" i="34"/>
  <c r="BK27" i="34"/>
  <c r="AZ27" i="34"/>
  <c r="AO27" i="34"/>
  <c r="AD27" i="34"/>
  <c r="S27" i="34"/>
  <c r="BO27" i="34"/>
  <c r="BD27" i="34"/>
  <c r="AS27" i="34"/>
  <c r="AH27" i="34"/>
  <c r="W27" i="34"/>
  <c r="L27" i="34"/>
  <c r="BH27" i="34"/>
  <c r="AW27" i="34"/>
  <c r="AL27" i="34"/>
  <c r="AA27" i="34"/>
  <c r="P27" i="34"/>
  <c r="BL27" i="34"/>
  <c r="BE27" i="34"/>
  <c r="AT27" i="34"/>
  <c r="AI27" i="34"/>
  <c r="X27" i="34"/>
  <c r="I27" i="34"/>
  <c r="M27" i="34"/>
  <c r="BI27" i="34"/>
  <c r="AX27" i="34"/>
  <c r="AM27" i="34"/>
  <c r="AB27" i="34"/>
  <c r="H27" i="34"/>
  <c r="Q27" i="34"/>
  <c r="BM27" i="34"/>
  <c r="BB27" i="34"/>
  <c r="AQ27" i="34"/>
  <c r="AF27" i="34"/>
  <c r="U27" i="34"/>
  <c r="J27" i="34"/>
  <c r="BF27" i="34"/>
  <c r="AU27" i="34"/>
  <c r="AJ27" i="34"/>
  <c r="Y27" i="34"/>
  <c r="BA27" i="34"/>
  <c r="N27" i="34"/>
  <c r="AP27" i="34"/>
  <c r="BJ27" i="34"/>
  <c r="AE27" i="34"/>
  <c r="AY27" i="34"/>
  <c r="T27" i="34"/>
  <c r="AN27" i="34"/>
  <c r="BP27" i="34"/>
  <c r="H71" i="46"/>
  <c r="H44" i="33"/>
  <c r="D107" i="46"/>
  <c r="E89" i="46"/>
  <c r="E87" i="46"/>
  <c r="D105" i="46"/>
  <c r="P104" i="34"/>
  <c r="P120" i="34"/>
  <c r="E25" i="45"/>
  <c r="D25" i="45"/>
  <c r="C23" i="62" s="1"/>
  <c r="B17" i="45"/>
  <c r="E13" i="45"/>
  <c r="C12" i="62" l="1"/>
  <c r="D4" i="45"/>
  <c r="D58" i="45" s="1"/>
  <c r="D12" i="45"/>
  <c r="AG74" i="36"/>
  <c r="AG115" i="34" s="1"/>
  <c r="AE74" i="36"/>
  <c r="AE115" i="34" s="1"/>
  <c r="AH74" i="36"/>
  <c r="AH115" i="34" s="1"/>
  <c r="AD74" i="36"/>
  <c r="AD115" i="34" s="1"/>
  <c r="AE58" i="36"/>
  <c r="AE99" i="34" s="1"/>
  <c r="AI58" i="36"/>
  <c r="AI99" i="34" s="1"/>
  <c r="AH58" i="36"/>
  <c r="AH99" i="34" s="1"/>
  <c r="AD58" i="36"/>
  <c r="AD99" i="34" s="1"/>
  <c r="AI74" i="36"/>
  <c r="AI115" i="34" s="1"/>
  <c r="AF74" i="36"/>
  <c r="AF115" i="34" s="1"/>
  <c r="AG58" i="36"/>
  <c r="AG99" i="34" s="1"/>
  <c r="AF58" i="36"/>
  <c r="AF99" i="34" s="1"/>
  <c r="AX74" i="36"/>
  <c r="AX115" i="34" s="1"/>
  <c r="BM74" i="36"/>
  <c r="BM115" i="34" s="1"/>
  <c r="BL74" i="36"/>
  <c r="BL115" i="34" s="1"/>
  <c r="AZ74" i="36"/>
  <c r="AZ115" i="34" s="1"/>
  <c r="AN74" i="36"/>
  <c r="AN115" i="34" s="1"/>
  <c r="BJ58" i="36"/>
  <c r="BJ99" i="34" s="1"/>
  <c r="AL74" i="36"/>
  <c r="AL115" i="34" s="1"/>
  <c r="BI74" i="36"/>
  <c r="BI115" i="34" s="1"/>
  <c r="AO74" i="36"/>
  <c r="AO115" i="34" s="1"/>
  <c r="BG74" i="36"/>
  <c r="BG115" i="34" s="1"/>
  <c r="AU74" i="36"/>
  <c r="AU115" i="34" s="1"/>
  <c r="BC180" i="34"/>
  <c r="BP74" i="36"/>
  <c r="BP115" i="34" s="1"/>
  <c r="AR58" i="36"/>
  <c r="AR99" i="34" s="1"/>
  <c r="AT74" i="36"/>
  <c r="AT115" i="34" s="1"/>
  <c r="AY58" i="36"/>
  <c r="AY99" i="34" s="1"/>
  <c r="BF180" i="34"/>
  <c r="BD180" i="34"/>
  <c r="AX58" i="36"/>
  <c r="AX99" i="34" s="1"/>
  <c r="BM58" i="36"/>
  <c r="BM99" i="34" s="1"/>
  <c r="BL58" i="36"/>
  <c r="BL99" i="34" s="1"/>
  <c r="AZ58" i="36"/>
  <c r="AZ99" i="34" s="1"/>
  <c r="AN58" i="36"/>
  <c r="AN99" i="34" s="1"/>
  <c r="BJ74" i="36"/>
  <c r="BJ115" i="34" s="1"/>
  <c r="AL58" i="36"/>
  <c r="AL99" i="34" s="1"/>
  <c r="BI58" i="36"/>
  <c r="BI99" i="34" s="1"/>
  <c r="AO58" i="36"/>
  <c r="AO99" i="34" s="1"/>
  <c r="BG58" i="36"/>
  <c r="BG99" i="34" s="1"/>
  <c r="AU58" i="36"/>
  <c r="AU99" i="34" s="1"/>
  <c r="AW180" i="34"/>
  <c r="AX164" i="34"/>
  <c r="BM164" i="34"/>
  <c r="BL164" i="34"/>
  <c r="AZ180" i="34"/>
  <c r="AN164" i="34"/>
  <c r="BJ180" i="34"/>
  <c r="AL164" i="34"/>
  <c r="BI180" i="34"/>
  <c r="AO180" i="34"/>
  <c r="BG180" i="34"/>
  <c r="AU180" i="34"/>
  <c r="BP164" i="34"/>
  <c r="AX180" i="34"/>
  <c r="BM180" i="34"/>
  <c r="BL180" i="34"/>
  <c r="AZ164" i="34"/>
  <c r="AN180" i="34"/>
  <c r="BJ164" i="34"/>
  <c r="AL180" i="34"/>
  <c r="BI164" i="34"/>
  <c r="AO164" i="34"/>
  <c r="BG164" i="34"/>
  <c r="AU164" i="34"/>
  <c r="AW58" i="36"/>
  <c r="AW99" i="34" s="1"/>
  <c r="AM58" i="36"/>
  <c r="AM99" i="34" s="1"/>
  <c r="BN74" i="36"/>
  <c r="BN115" i="34" s="1"/>
  <c r="AP74" i="36"/>
  <c r="AP115" i="34" s="1"/>
  <c r="BA74" i="36"/>
  <c r="BA115" i="34" s="1"/>
  <c r="BH74" i="36"/>
  <c r="BH115" i="34" s="1"/>
  <c r="AV74" i="36"/>
  <c r="AV115" i="34" s="1"/>
  <c r="AJ58" i="36"/>
  <c r="AJ99" i="34" s="1"/>
  <c r="BB58" i="36"/>
  <c r="BB99" i="34" s="1"/>
  <c r="BE74" i="36"/>
  <c r="BE115" i="34" s="1"/>
  <c r="AK74" i="36"/>
  <c r="AK115" i="34" s="1"/>
  <c r="BO74" i="36"/>
  <c r="BO115" i="34" s="1"/>
  <c r="BC74" i="36"/>
  <c r="BC115" i="34" s="1"/>
  <c r="AQ74" i="36"/>
  <c r="AQ115" i="34" s="1"/>
  <c r="AS58" i="36"/>
  <c r="AS99" i="34" s="1"/>
  <c r="BD58" i="36"/>
  <c r="BD99" i="34" s="1"/>
  <c r="BN58" i="36"/>
  <c r="BN99" i="34" s="1"/>
  <c r="AP58" i="36"/>
  <c r="AP99" i="34" s="1"/>
  <c r="BA58" i="36"/>
  <c r="BA99" i="34" s="1"/>
  <c r="BH58" i="36"/>
  <c r="BH99" i="34" s="1"/>
  <c r="AV58" i="36"/>
  <c r="AV99" i="34" s="1"/>
  <c r="AJ74" i="36"/>
  <c r="AJ115" i="34" s="1"/>
  <c r="BB74" i="36"/>
  <c r="BB115" i="34" s="1"/>
  <c r="BE58" i="36"/>
  <c r="BE99" i="34" s="1"/>
  <c r="AK58" i="36"/>
  <c r="AK99" i="34" s="1"/>
  <c r="BO58" i="36"/>
  <c r="BO99" i="34" s="1"/>
  <c r="BC58" i="36"/>
  <c r="BC99" i="34" s="1"/>
  <c r="AQ58" i="36"/>
  <c r="AQ99" i="34" s="1"/>
  <c r="BE164" i="34"/>
  <c r="BC164" i="34"/>
  <c r="AQ180" i="34"/>
  <c r="AT180" i="34"/>
  <c r="AY164" i="34"/>
  <c r="BN164" i="34"/>
  <c r="AP164" i="34"/>
  <c r="BA164" i="34"/>
  <c r="BH180" i="34"/>
  <c r="AV164" i="34"/>
  <c r="AJ180" i="34"/>
  <c r="BB164" i="34"/>
  <c r="AK164" i="34"/>
  <c r="BO180" i="34"/>
  <c r="BK58" i="36"/>
  <c r="BK99" i="34" s="1"/>
  <c r="BK164" i="34"/>
  <c r="BN180" i="34"/>
  <c r="AP180" i="34"/>
  <c r="BA180" i="34"/>
  <c r="BH164" i="34"/>
  <c r="AV180" i="34"/>
  <c r="AJ164" i="34"/>
  <c r="BB180" i="34"/>
  <c r="BE180" i="34"/>
  <c r="AK180" i="34"/>
  <c r="BO164" i="34"/>
  <c r="AQ164" i="34"/>
  <c r="BF58" i="36"/>
  <c r="BF99" i="34" s="1"/>
  <c r="AR180" i="34"/>
  <c r="BF74" i="36"/>
  <c r="BF115" i="34" s="1"/>
  <c r="AS74" i="36"/>
  <c r="AS115" i="34" s="1"/>
  <c r="BP58" i="36"/>
  <c r="BP99" i="34" s="1"/>
  <c r="BD74" i="36"/>
  <c r="BD115" i="34" s="1"/>
  <c r="AR74" i="36"/>
  <c r="AR115" i="34" s="1"/>
  <c r="AT58" i="36"/>
  <c r="AT99" i="34" s="1"/>
  <c r="AW74" i="36"/>
  <c r="AW115" i="34" s="1"/>
  <c r="BK74" i="36"/>
  <c r="BK115" i="34" s="1"/>
  <c r="AY74" i="36"/>
  <c r="AY115" i="34" s="1"/>
  <c r="AM74" i="36"/>
  <c r="AM115" i="34" s="1"/>
  <c r="BF164" i="34"/>
  <c r="AS180" i="34"/>
  <c r="BP180" i="34"/>
  <c r="BD164" i="34"/>
  <c r="AR164" i="34"/>
  <c r="AT164" i="34"/>
  <c r="AW164" i="34"/>
  <c r="BK180" i="34"/>
  <c r="AY180" i="34"/>
  <c r="AM164" i="34"/>
  <c r="AS164" i="34"/>
  <c r="AM180" i="34"/>
  <c r="K180" i="34"/>
  <c r="T74" i="36"/>
  <c r="T115" i="34" s="1"/>
  <c r="L164" i="34"/>
  <c r="V164" i="34"/>
  <c r="J58" i="36"/>
  <c r="J99" i="34" s="1"/>
  <c r="AH180" i="34"/>
  <c r="M58" i="36"/>
  <c r="M99" i="34" s="1"/>
  <c r="O58" i="36"/>
  <c r="O99" i="34" s="1"/>
  <c r="AH164" i="34"/>
  <c r="P164" i="34"/>
  <c r="T164" i="34"/>
  <c r="AC180" i="34"/>
  <c r="X164" i="34"/>
  <c r="J164" i="34"/>
  <c r="AF180" i="34"/>
  <c r="AA58" i="36"/>
  <c r="AA99" i="34" s="1"/>
  <c r="S164" i="34"/>
  <c r="K74" i="36"/>
  <c r="K115" i="34" s="1"/>
  <c r="P58" i="36"/>
  <c r="P99" i="34" s="1"/>
  <c r="T180" i="34"/>
  <c r="AC74" i="36"/>
  <c r="AC115" i="34" s="1"/>
  <c r="X58" i="36"/>
  <c r="X99" i="34" s="1"/>
  <c r="J180" i="34"/>
  <c r="AF164" i="34"/>
  <c r="AA180" i="34"/>
  <c r="S74" i="36"/>
  <c r="S115" i="34" s="1"/>
  <c r="P74" i="36"/>
  <c r="P115" i="34" s="1"/>
  <c r="U58" i="36"/>
  <c r="U99" i="34" s="1"/>
  <c r="AC164" i="34"/>
  <c r="X74" i="36"/>
  <c r="X115" i="34" s="1"/>
  <c r="N164" i="34"/>
  <c r="W58" i="36"/>
  <c r="W99" i="34" s="1"/>
  <c r="AA74" i="36"/>
  <c r="AA115" i="34" s="1"/>
  <c r="S58" i="36"/>
  <c r="S99" i="34" s="1"/>
  <c r="T58" i="36"/>
  <c r="T99" i="34" s="1"/>
  <c r="P180" i="34"/>
  <c r="U180" i="34"/>
  <c r="AC58" i="36"/>
  <c r="AC99" i="34" s="1"/>
  <c r="X180" i="34"/>
  <c r="N58" i="36"/>
  <c r="N99" i="34" s="1"/>
  <c r="W74" i="36"/>
  <c r="W115" i="34" s="1"/>
  <c r="AA164" i="34"/>
  <c r="S180" i="34"/>
  <c r="K164" i="34"/>
  <c r="AB74" i="36"/>
  <c r="AB115" i="34" s="1"/>
  <c r="Z164" i="34"/>
  <c r="U164" i="34"/>
  <c r="Q58" i="36"/>
  <c r="Q99" i="34" s="1"/>
  <c r="R180" i="34"/>
  <c r="N74" i="36"/>
  <c r="N115" i="34" s="1"/>
  <c r="W180" i="34"/>
  <c r="H180" i="34"/>
  <c r="I180" i="34"/>
  <c r="M74" i="36"/>
  <c r="M115" i="34" s="1"/>
  <c r="AB58" i="36"/>
  <c r="AB99" i="34" s="1"/>
  <c r="Z180" i="34"/>
  <c r="U74" i="36"/>
  <c r="U115" i="34" s="1"/>
  <c r="Q180" i="34"/>
  <c r="R164" i="34"/>
  <c r="N180" i="34"/>
  <c r="W164" i="34"/>
  <c r="H74" i="36"/>
  <c r="H115" i="34" s="1"/>
  <c r="I58" i="36"/>
  <c r="I99" i="34" s="1"/>
  <c r="J74" i="36"/>
  <c r="J115" i="34" s="1"/>
  <c r="AB164" i="34"/>
  <c r="Z58" i="36"/>
  <c r="Z99" i="34" s="1"/>
  <c r="AE164" i="34"/>
  <c r="Q164" i="34"/>
  <c r="R58" i="36"/>
  <c r="R99" i="34" s="1"/>
  <c r="Y180" i="34"/>
  <c r="AD164" i="34"/>
  <c r="H58" i="36"/>
  <c r="H99" i="34" s="1"/>
  <c r="I74" i="36"/>
  <c r="I115" i="34" s="1"/>
  <c r="L74" i="36"/>
  <c r="L115" i="34" s="1"/>
  <c r="AB180" i="34"/>
  <c r="Z74" i="36"/>
  <c r="Z115" i="34" s="1"/>
  <c r="AE180" i="34"/>
  <c r="Q74" i="36"/>
  <c r="Q115" i="34" s="1"/>
  <c r="R74" i="36"/>
  <c r="R115" i="34" s="1"/>
  <c r="Y58" i="36"/>
  <c r="Y99" i="34" s="1"/>
  <c r="AD180" i="34"/>
  <c r="H164" i="34"/>
  <c r="I164" i="34"/>
  <c r="Y164" i="34"/>
  <c r="V74" i="36"/>
  <c r="V115" i="34" s="1"/>
  <c r="AG164" i="34"/>
  <c r="V180" i="34"/>
  <c r="AI164" i="34"/>
  <c r="M180" i="34"/>
  <c r="O180" i="34"/>
  <c r="K58" i="36"/>
  <c r="K99" i="34" s="1"/>
  <c r="AG180" i="34"/>
  <c r="L180" i="34"/>
  <c r="V58" i="36"/>
  <c r="V99" i="34" s="1"/>
  <c r="AI180" i="34"/>
  <c r="Y74" i="36"/>
  <c r="Y115" i="34" s="1"/>
  <c r="M164" i="34"/>
  <c r="O164" i="34"/>
  <c r="L58" i="36"/>
  <c r="L99" i="34" s="1"/>
  <c r="O74" i="36"/>
  <c r="O115" i="34" s="1"/>
  <c r="AP45" i="34"/>
  <c r="BP45" i="34"/>
  <c r="AN45" i="34"/>
  <c r="AK45" i="34"/>
  <c r="AY45" i="34"/>
  <c r="BD45" i="34"/>
  <c r="AL45" i="34"/>
  <c r="BB45" i="34"/>
  <c r="AS45" i="34"/>
  <c r="AQ45" i="34"/>
  <c r="AM45" i="34"/>
  <c r="AO45" i="34"/>
  <c r="AR45" i="34"/>
  <c r="AT45" i="34"/>
  <c r="AJ45" i="34"/>
  <c r="AZ45" i="34"/>
  <c r="AU45" i="34"/>
  <c r="BG45" i="34"/>
  <c r="BI45" i="34"/>
  <c r="AX45" i="34"/>
  <c r="BK45" i="34"/>
  <c r="BJ45" i="34"/>
  <c r="BN45" i="34"/>
  <c r="BF45" i="34"/>
  <c r="BO45" i="34"/>
  <c r="BC45" i="34"/>
  <c r="AI45" i="34"/>
  <c r="BA45" i="34"/>
  <c r="BL45" i="34"/>
  <c r="BM45" i="34"/>
  <c r="AW45" i="34"/>
  <c r="AV45" i="34"/>
  <c r="BE45" i="34"/>
  <c r="BH45" i="34"/>
  <c r="J45" i="34"/>
  <c r="AE45" i="34"/>
  <c r="AG45" i="34"/>
  <c r="N45" i="34"/>
  <c r="L45" i="34"/>
  <c r="I45" i="34"/>
  <c r="AA45" i="34"/>
  <c r="R45" i="34"/>
  <c r="P45" i="34"/>
  <c r="H45" i="34"/>
  <c r="V45" i="34"/>
  <c r="T45" i="34"/>
  <c r="Z45" i="34"/>
  <c r="X45" i="34"/>
  <c r="AD45" i="34"/>
  <c r="AB45" i="34"/>
  <c r="AH45" i="34"/>
  <c r="AF45" i="34"/>
  <c r="K45" i="34"/>
  <c r="M45" i="34"/>
  <c r="AC45" i="34"/>
  <c r="O45" i="34"/>
  <c r="Q45" i="34"/>
  <c r="S45" i="34"/>
  <c r="U45" i="34"/>
  <c r="W45" i="34"/>
  <c r="Y45" i="34"/>
  <c r="AN26" i="34"/>
  <c r="AC26" i="34"/>
  <c r="R26" i="34"/>
  <c r="BN26" i="34"/>
  <c r="BC26" i="34"/>
  <c r="AR26" i="34"/>
  <c r="AG26" i="34"/>
  <c r="V26" i="34"/>
  <c r="K26" i="34"/>
  <c r="BG26" i="34"/>
  <c r="AV26" i="34"/>
  <c r="AK26" i="34"/>
  <c r="Z26" i="34"/>
  <c r="O26" i="34"/>
  <c r="BK26" i="34"/>
  <c r="AZ26" i="34"/>
  <c r="AO26" i="34"/>
  <c r="AD26" i="34"/>
  <c r="S26" i="34"/>
  <c r="BO26" i="34"/>
  <c r="BD26" i="34"/>
  <c r="AS26" i="34"/>
  <c r="AH26" i="34"/>
  <c r="W26" i="34"/>
  <c r="H26" i="34"/>
  <c r="L26" i="34"/>
  <c r="BH26" i="34"/>
  <c r="AW26" i="34"/>
  <c r="AL26" i="34"/>
  <c r="AA26" i="34"/>
  <c r="I26" i="34"/>
  <c r="P26" i="34"/>
  <c r="BL26" i="34"/>
  <c r="BA26" i="34"/>
  <c r="AP26" i="34"/>
  <c r="AE26" i="34"/>
  <c r="T26" i="34"/>
  <c r="BP26" i="34"/>
  <c r="BE26" i="34"/>
  <c r="AT26" i="34"/>
  <c r="AI26" i="34"/>
  <c r="X26" i="34"/>
  <c r="M26" i="34"/>
  <c r="BI26" i="34"/>
  <c r="AX26" i="34"/>
  <c r="AM26" i="34"/>
  <c r="AB26" i="34"/>
  <c r="Q26" i="34"/>
  <c r="BM26" i="34"/>
  <c r="BB26" i="34"/>
  <c r="AQ26" i="34"/>
  <c r="AF26" i="34"/>
  <c r="U26" i="34"/>
  <c r="J26" i="34"/>
  <c r="BF26" i="34"/>
  <c r="AU26" i="34"/>
  <c r="Y26" i="34"/>
  <c r="AJ26" i="34"/>
  <c r="N26" i="34"/>
  <c r="BJ26" i="34"/>
  <c r="AY26" i="34"/>
  <c r="N37" i="34"/>
  <c r="X37" i="34"/>
  <c r="R37" i="34"/>
  <c r="AB37" i="34"/>
  <c r="V37" i="34"/>
  <c r="M37" i="34"/>
  <c r="T37" i="34"/>
  <c r="Z37" i="34"/>
  <c r="Q37" i="34"/>
  <c r="J37" i="34"/>
  <c r="K37" i="34"/>
  <c r="U37" i="34"/>
  <c r="O37" i="34"/>
  <c r="Y37" i="34"/>
  <c r="S37" i="34"/>
  <c r="AC37" i="34"/>
  <c r="W37" i="34"/>
  <c r="I37" i="34"/>
  <c r="AA37" i="34"/>
  <c r="H37" i="34"/>
  <c r="L37" i="34"/>
  <c r="P37" i="34"/>
  <c r="X178" i="34"/>
  <c r="Z72" i="36"/>
  <c r="Z113" i="34" s="1"/>
  <c r="O72" i="36"/>
  <c r="O113" i="34" s="1"/>
  <c r="J162" i="34"/>
  <c r="J178" i="34"/>
  <c r="J72" i="36"/>
  <c r="J113" i="34" s="1"/>
  <c r="J56" i="36"/>
  <c r="J97" i="34" s="1"/>
  <c r="R56" i="36"/>
  <c r="R97" i="34" s="1"/>
  <c r="V56" i="36"/>
  <c r="V97" i="34" s="1"/>
  <c r="Q72" i="36"/>
  <c r="Q113" i="34" s="1"/>
  <c r="R178" i="34"/>
  <c r="U178" i="34"/>
  <c r="AB72" i="36"/>
  <c r="AB113" i="34" s="1"/>
  <c r="AA162" i="34"/>
  <c r="S178" i="34"/>
  <c r="V162" i="34"/>
  <c r="V72" i="36"/>
  <c r="V113" i="34" s="1"/>
  <c r="AB162" i="34"/>
  <c r="AC72" i="36"/>
  <c r="AC113" i="34" s="1"/>
  <c r="Z162" i="34"/>
  <c r="R72" i="36"/>
  <c r="R113" i="34" s="1"/>
  <c r="AA178" i="34"/>
  <c r="Z56" i="36"/>
  <c r="Z97" i="34" s="1"/>
  <c r="Z178" i="34"/>
  <c r="P72" i="36"/>
  <c r="P113" i="34" s="1"/>
  <c r="O162" i="34"/>
  <c r="I178" i="34"/>
  <c r="S72" i="36"/>
  <c r="S113" i="34" s="1"/>
  <c r="X56" i="36"/>
  <c r="X97" i="34" s="1"/>
  <c r="N162" i="34"/>
  <c r="P162" i="34"/>
  <c r="T178" i="34"/>
  <c r="O178" i="34"/>
  <c r="I162" i="34"/>
  <c r="X162" i="34"/>
  <c r="W162" i="34"/>
  <c r="P178" i="34"/>
  <c r="AA56" i="36"/>
  <c r="AA97" i="34" s="1"/>
  <c r="X72" i="36"/>
  <c r="X113" i="34" s="1"/>
  <c r="P56" i="36"/>
  <c r="P97" i="34" s="1"/>
  <c r="U56" i="36"/>
  <c r="U97" i="34" s="1"/>
  <c r="L178" i="34"/>
  <c r="L56" i="36"/>
  <c r="L97" i="34" s="1"/>
  <c r="AB178" i="34"/>
  <c r="I56" i="36"/>
  <c r="I97" i="34" s="1"/>
  <c r="L162" i="34"/>
  <c r="Q178" i="34"/>
  <c r="Q162" i="34"/>
  <c r="S56" i="36"/>
  <c r="S97" i="34" s="1"/>
  <c r="K162" i="34"/>
  <c r="K178" i="34"/>
  <c r="AB56" i="36"/>
  <c r="AB97" i="34" s="1"/>
  <c r="U72" i="36"/>
  <c r="U113" i="34" s="1"/>
  <c r="S162" i="34"/>
  <c r="V178" i="34"/>
  <c r="W178" i="34"/>
  <c r="AA72" i="36"/>
  <c r="AA113" i="34" s="1"/>
  <c r="O56" i="36"/>
  <c r="O97" i="34" s="1"/>
  <c r="Q56" i="36"/>
  <c r="Q97" i="34" s="1"/>
  <c r="I72" i="36"/>
  <c r="I113" i="34" s="1"/>
  <c r="R162" i="34"/>
  <c r="L72" i="36"/>
  <c r="L113" i="34" s="1"/>
  <c r="U162" i="34"/>
  <c r="T56" i="36"/>
  <c r="T97" i="34" s="1"/>
  <c r="N178" i="34"/>
  <c r="T72" i="36"/>
  <c r="T113" i="34" s="1"/>
  <c r="AC178" i="34"/>
  <c r="N72" i="36"/>
  <c r="N113" i="34" s="1"/>
  <c r="K56" i="36"/>
  <c r="K97" i="34" s="1"/>
  <c r="N56" i="36"/>
  <c r="N97" i="34" s="1"/>
  <c r="K72" i="36"/>
  <c r="K113" i="34" s="1"/>
  <c r="W72" i="36"/>
  <c r="W113" i="34" s="1"/>
  <c r="W56" i="36"/>
  <c r="W97" i="34" s="1"/>
  <c r="H178" i="34"/>
  <c r="M178" i="34"/>
  <c r="H56" i="36"/>
  <c r="H97" i="34" s="1"/>
  <c r="M56" i="36"/>
  <c r="M97" i="34" s="1"/>
  <c r="H162" i="34"/>
  <c r="M72" i="36"/>
  <c r="M113" i="34" s="1"/>
  <c r="T162" i="34"/>
  <c r="H72" i="36"/>
  <c r="H113" i="34" s="1"/>
  <c r="M162" i="34"/>
  <c r="Y56" i="36"/>
  <c r="Y97" i="34" s="1"/>
  <c r="AC162" i="34"/>
  <c r="Y162" i="34"/>
  <c r="Y72" i="36"/>
  <c r="Y113" i="34" s="1"/>
  <c r="AC56" i="36"/>
  <c r="AC97" i="34" s="1"/>
  <c r="Y178" i="34"/>
  <c r="S24" i="34"/>
  <c r="AC24" i="34"/>
  <c r="J24" i="34"/>
  <c r="T24" i="34"/>
  <c r="O24" i="34"/>
  <c r="H24" i="34"/>
  <c r="W24" i="34"/>
  <c r="AA24" i="34"/>
  <c r="L24" i="34"/>
  <c r="P24" i="34"/>
  <c r="X24" i="34"/>
  <c r="AB24" i="34"/>
  <c r="N24" i="34"/>
  <c r="M24" i="34"/>
  <c r="R24" i="34"/>
  <c r="Q24" i="34"/>
  <c r="I24" i="34"/>
  <c r="V24" i="34"/>
  <c r="U24" i="34"/>
  <c r="K24" i="34"/>
  <c r="Z24" i="34"/>
  <c r="Y24" i="34"/>
  <c r="AG75" i="36"/>
  <c r="AG116" i="34" s="1"/>
  <c r="AD59" i="36"/>
  <c r="AD100" i="34" s="1"/>
  <c r="AE75" i="36"/>
  <c r="AE116" i="34" s="1"/>
  <c r="AI59" i="36"/>
  <c r="AI100" i="34" s="1"/>
  <c r="AH75" i="36"/>
  <c r="AH116" i="34" s="1"/>
  <c r="AE59" i="36"/>
  <c r="AE100" i="34" s="1"/>
  <c r="AI75" i="36"/>
  <c r="AI116" i="34" s="1"/>
  <c r="AH59" i="36"/>
  <c r="AH100" i="34" s="1"/>
  <c r="AD75" i="36"/>
  <c r="AD116" i="34" s="1"/>
  <c r="AF59" i="36"/>
  <c r="AF100" i="34" s="1"/>
  <c r="AG59" i="36"/>
  <c r="AG100" i="34" s="1"/>
  <c r="AF75" i="36"/>
  <c r="AF116" i="34" s="1"/>
  <c r="BM75" i="36"/>
  <c r="BM116" i="34" s="1"/>
  <c r="AO59" i="36"/>
  <c r="AO100" i="34" s="1"/>
  <c r="BD75" i="36"/>
  <c r="BD116" i="34" s="1"/>
  <c r="BO75" i="36"/>
  <c r="BO116" i="34" s="1"/>
  <c r="BC75" i="36"/>
  <c r="BC116" i="34" s="1"/>
  <c r="AQ75" i="36"/>
  <c r="AQ116" i="34" s="1"/>
  <c r="BA75" i="36"/>
  <c r="BA116" i="34" s="1"/>
  <c r="AZ75" i="36"/>
  <c r="AZ116" i="34" s="1"/>
  <c r="BJ59" i="36"/>
  <c r="BJ100" i="34" s="1"/>
  <c r="AX75" i="36"/>
  <c r="AX116" i="34" s="1"/>
  <c r="AL59" i="36"/>
  <c r="AL100" i="34" s="1"/>
  <c r="AW75" i="36"/>
  <c r="AW116" i="34" s="1"/>
  <c r="BG59" i="36"/>
  <c r="BG100" i="34" s="1"/>
  <c r="AU59" i="36"/>
  <c r="AU100" i="34" s="1"/>
  <c r="BN59" i="36"/>
  <c r="BN100" i="34" s="1"/>
  <c r="BN165" i="34"/>
  <c r="BM59" i="36"/>
  <c r="BM100" i="34" s="1"/>
  <c r="AO75" i="36"/>
  <c r="AO116" i="34" s="1"/>
  <c r="BD59" i="36"/>
  <c r="BD100" i="34" s="1"/>
  <c r="BO59" i="36"/>
  <c r="BO100" i="34" s="1"/>
  <c r="BC59" i="36"/>
  <c r="BC100" i="34" s="1"/>
  <c r="AQ59" i="36"/>
  <c r="AQ100" i="34" s="1"/>
  <c r="BA59" i="36"/>
  <c r="BA100" i="34" s="1"/>
  <c r="AZ59" i="36"/>
  <c r="AZ100" i="34" s="1"/>
  <c r="BJ75" i="36"/>
  <c r="BJ116" i="34" s="1"/>
  <c r="AX59" i="36"/>
  <c r="AX100" i="34" s="1"/>
  <c r="AL75" i="36"/>
  <c r="AL116" i="34" s="1"/>
  <c r="AN59" i="36"/>
  <c r="AN100" i="34" s="1"/>
  <c r="BH59" i="36"/>
  <c r="BH100" i="34" s="1"/>
  <c r="BM165" i="34"/>
  <c r="AO181" i="34"/>
  <c r="BD181" i="34"/>
  <c r="BO165" i="34"/>
  <c r="BC165" i="34"/>
  <c r="AQ181" i="34"/>
  <c r="BA165" i="34"/>
  <c r="AZ165" i="34"/>
  <c r="BJ165" i="34"/>
  <c r="AX165" i="34"/>
  <c r="AL181" i="34"/>
  <c r="BF181" i="34"/>
  <c r="BB59" i="36"/>
  <c r="BB100" i="34" s="1"/>
  <c r="BL181" i="34"/>
  <c r="BG181" i="34"/>
  <c r="BI181" i="34"/>
  <c r="AP165" i="34"/>
  <c r="BM181" i="34"/>
  <c r="AO165" i="34"/>
  <c r="BD165" i="34"/>
  <c r="BO181" i="34"/>
  <c r="BC181" i="34"/>
  <c r="AQ165" i="34"/>
  <c r="BA181" i="34"/>
  <c r="AZ181" i="34"/>
  <c r="BJ181" i="34"/>
  <c r="AX181" i="34"/>
  <c r="AL165" i="34"/>
  <c r="BL59" i="36"/>
  <c r="BL100" i="34" s="1"/>
  <c r="BH181" i="34"/>
  <c r="BE59" i="36"/>
  <c r="BE100" i="34" s="1"/>
  <c r="AV75" i="36"/>
  <c r="AV116" i="34" s="1"/>
  <c r="BK75" i="36"/>
  <c r="BK116" i="34" s="1"/>
  <c r="AY59" i="36"/>
  <c r="AY100" i="34" s="1"/>
  <c r="AM75" i="36"/>
  <c r="AM116" i="34" s="1"/>
  <c r="AS75" i="36"/>
  <c r="AS116" i="34" s="1"/>
  <c r="BP75" i="36"/>
  <c r="BP116" i="34" s="1"/>
  <c r="AR75" i="36"/>
  <c r="AR116" i="34" s="1"/>
  <c r="BF75" i="36"/>
  <c r="BF116" i="34" s="1"/>
  <c r="AT75" i="36"/>
  <c r="AT116" i="34" s="1"/>
  <c r="AK59" i="36"/>
  <c r="AK100" i="34" s="1"/>
  <c r="AP59" i="36"/>
  <c r="AP100" i="34" s="1"/>
  <c r="AK165" i="34"/>
  <c r="BE75" i="36"/>
  <c r="BE116" i="34" s="1"/>
  <c r="AV59" i="36"/>
  <c r="AV100" i="34" s="1"/>
  <c r="BK59" i="36"/>
  <c r="BK100" i="34" s="1"/>
  <c r="AY75" i="36"/>
  <c r="AY116" i="34" s="1"/>
  <c r="AM59" i="36"/>
  <c r="AM100" i="34" s="1"/>
  <c r="AS59" i="36"/>
  <c r="AS100" i="34" s="1"/>
  <c r="BP59" i="36"/>
  <c r="BP100" i="34" s="1"/>
  <c r="AR59" i="36"/>
  <c r="AR100" i="34" s="1"/>
  <c r="BF59" i="36"/>
  <c r="BF100" i="34" s="1"/>
  <c r="AT59" i="36"/>
  <c r="AT100" i="34" s="1"/>
  <c r="AT181" i="34"/>
  <c r="BI59" i="36"/>
  <c r="BI100" i="34" s="1"/>
  <c r="AN181" i="34"/>
  <c r="BE165" i="34"/>
  <c r="AV165" i="34"/>
  <c r="BK181" i="34"/>
  <c r="AY181" i="34"/>
  <c r="AM165" i="34"/>
  <c r="AS181" i="34"/>
  <c r="BP165" i="34"/>
  <c r="AR181" i="34"/>
  <c r="BE181" i="34"/>
  <c r="AV181" i="34"/>
  <c r="BK165" i="34"/>
  <c r="AY165" i="34"/>
  <c r="AM181" i="34"/>
  <c r="AS165" i="34"/>
  <c r="BP181" i="34"/>
  <c r="AR165" i="34"/>
  <c r="BF165" i="34"/>
  <c r="AT165" i="34"/>
  <c r="AJ59" i="36"/>
  <c r="AJ100" i="34" s="1"/>
  <c r="AW181" i="34"/>
  <c r="AU181" i="34"/>
  <c r="BB165" i="34"/>
  <c r="AW59" i="36"/>
  <c r="AW100" i="34" s="1"/>
  <c r="BL75" i="36"/>
  <c r="BL116" i="34" s="1"/>
  <c r="AN75" i="36"/>
  <c r="AN116" i="34" s="1"/>
  <c r="BG75" i="36"/>
  <c r="BG116" i="34" s="1"/>
  <c r="AU75" i="36"/>
  <c r="AU116" i="34" s="1"/>
  <c r="BI75" i="36"/>
  <c r="BI116" i="34" s="1"/>
  <c r="AK75" i="36"/>
  <c r="AK116" i="34" s="1"/>
  <c r="BH75" i="36"/>
  <c r="BH116" i="34" s="1"/>
  <c r="AJ75" i="36"/>
  <c r="AJ116" i="34" s="1"/>
  <c r="BN75" i="36"/>
  <c r="BN116" i="34" s="1"/>
  <c r="BB75" i="36"/>
  <c r="BB116" i="34" s="1"/>
  <c r="AP75" i="36"/>
  <c r="AP116" i="34" s="1"/>
  <c r="AW165" i="34"/>
  <c r="BL165" i="34"/>
  <c r="AN165" i="34"/>
  <c r="BG165" i="34"/>
  <c r="AU165" i="34"/>
  <c r="BI165" i="34"/>
  <c r="AK181" i="34"/>
  <c r="BH165" i="34"/>
  <c r="AJ165" i="34"/>
  <c r="BN181" i="34"/>
  <c r="BB181" i="34"/>
  <c r="AP181" i="34"/>
  <c r="AJ181" i="34"/>
  <c r="M75" i="36"/>
  <c r="M116" i="34" s="1"/>
  <c r="AI181" i="34"/>
  <c r="Z165" i="34"/>
  <c r="V59" i="36"/>
  <c r="V100" i="34" s="1"/>
  <c r="AD165" i="34"/>
  <c r="I181" i="34"/>
  <c r="P165" i="34"/>
  <c r="Q165" i="34"/>
  <c r="H59" i="36"/>
  <c r="H100" i="34" s="1"/>
  <c r="AA59" i="36"/>
  <c r="AA100" i="34" s="1"/>
  <c r="Z59" i="36"/>
  <c r="Z100" i="34" s="1"/>
  <c r="M59" i="36"/>
  <c r="M100" i="34" s="1"/>
  <c r="AI165" i="34"/>
  <c r="Z75" i="36"/>
  <c r="Z116" i="34" s="1"/>
  <c r="V165" i="34"/>
  <c r="AD181" i="34"/>
  <c r="I165" i="34"/>
  <c r="P181" i="34"/>
  <c r="Q59" i="36"/>
  <c r="Q100" i="34" s="1"/>
  <c r="X75" i="36"/>
  <c r="X116" i="34" s="1"/>
  <c r="W181" i="34"/>
  <c r="S75" i="36"/>
  <c r="S116" i="34" s="1"/>
  <c r="K59" i="36"/>
  <c r="K100" i="34" s="1"/>
  <c r="AC59" i="36"/>
  <c r="AC100" i="34" s="1"/>
  <c r="AF181" i="34"/>
  <c r="I75" i="36"/>
  <c r="I116" i="34" s="1"/>
  <c r="AB181" i="34"/>
  <c r="L165" i="34"/>
  <c r="U181" i="34"/>
  <c r="N165" i="34"/>
  <c r="W75" i="36"/>
  <c r="W116" i="34" s="1"/>
  <c r="S181" i="34"/>
  <c r="K181" i="34"/>
  <c r="AC75" i="36"/>
  <c r="AC116" i="34" s="1"/>
  <c r="AF165" i="34"/>
  <c r="I59" i="36"/>
  <c r="I100" i="34" s="1"/>
  <c r="AB165" i="34"/>
  <c r="L75" i="36"/>
  <c r="L116" i="34" s="1"/>
  <c r="T75" i="36"/>
  <c r="T116" i="34" s="1"/>
  <c r="J59" i="36"/>
  <c r="J100" i="34" s="1"/>
  <c r="Q181" i="34"/>
  <c r="W165" i="34"/>
  <c r="S59" i="36"/>
  <c r="S100" i="34" s="1"/>
  <c r="K75" i="36"/>
  <c r="K116" i="34" s="1"/>
  <c r="AC165" i="34"/>
  <c r="Y181" i="34"/>
  <c r="O75" i="36"/>
  <c r="O116" i="34" s="1"/>
  <c r="AB75" i="36"/>
  <c r="AB116" i="34" s="1"/>
  <c r="L59" i="36"/>
  <c r="L100" i="34" s="1"/>
  <c r="AA75" i="36"/>
  <c r="AA116" i="34" s="1"/>
  <c r="W59" i="36"/>
  <c r="W100" i="34" s="1"/>
  <c r="S165" i="34"/>
  <c r="K165" i="34"/>
  <c r="AC181" i="34"/>
  <c r="Y59" i="36"/>
  <c r="Y100" i="34" s="1"/>
  <c r="O165" i="34"/>
  <c r="AB59" i="36"/>
  <c r="AB100" i="34" s="1"/>
  <c r="L181" i="34"/>
  <c r="H181" i="34"/>
  <c r="AH181" i="34"/>
  <c r="T165" i="34"/>
  <c r="AE181" i="34"/>
  <c r="Y165" i="34"/>
  <c r="O59" i="36"/>
  <c r="O100" i="34" s="1"/>
  <c r="U165" i="34"/>
  <c r="AG165" i="34"/>
  <c r="V181" i="34"/>
  <c r="R181" i="34"/>
  <c r="X165" i="34"/>
  <c r="R165" i="34"/>
  <c r="P59" i="36"/>
  <c r="P100" i="34" s="1"/>
  <c r="H75" i="36"/>
  <c r="H116" i="34" s="1"/>
  <c r="AH165" i="34"/>
  <c r="T59" i="36"/>
  <c r="T100" i="34" s="1"/>
  <c r="R75" i="36"/>
  <c r="R116" i="34" s="1"/>
  <c r="AE165" i="34"/>
  <c r="Y75" i="36"/>
  <c r="Y116" i="34" s="1"/>
  <c r="O181" i="34"/>
  <c r="X59" i="36"/>
  <c r="X100" i="34" s="1"/>
  <c r="U75" i="36"/>
  <c r="U116" i="34" s="1"/>
  <c r="J165" i="34"/>
  <c r="H165" i="34"/>
  <c r="N181" i="34"/>
  <c r="T181" i="34"/>
  <c r="R59" i="36"/>
  <c r="R100" i="34" s="1"/>
  <c r="AA165" i="34"/>
  <c r="J75" i="36"/>
  <c r="J116" i="34" s="1"/>
  <c r="AG181" i="34"/>
  <c r="X181" i="34"/>
  <c r="U59" i="36"/>
  <c r="U100" i="34" s="1"/>
  <c r="N75" i="36"/>
  <c r="N116" i="34" s="1"/>
  <c r="M181" i="34"/>
  <c r="N59" i="36"/>
  <c r="N100" i="34" s="1"/>
  <c r="Z181" i="34"/>
  <c r="V75" i="36"/>
  <c r="V116" i="34" s="1"/>
  <c r="AA181" i="34"/>
  <c r="J181" i="34"/>
  <c r="P75" i="36"/>
  <c r="P116" i="34" s="1"/>
  <c r="Q75" i="36"/>
  <c r="Q116" i="34" s="1"/>
  <c r="M165" i="34"/>
  <c r="Q157" i="34"/>
  <c r="Z51" i="36"/>
  <c r="Z92" i="34" s="1"/>
  <c r="S157" i="34"/>
  <c r="N67" i="36"/>
  <c r="N108" i="34" s="1"/>
  <c r="V67" i="36"/>
  <c r="V108" i="34" s="1"/>
  <c r="W51" i="36"/>
  <c r="W92" i="34" s="1"/>
  <c r="L173" i="34"/>
  <c r="AB51" i="36"/>
  <c r="AB92" i="34" s="1"/>
  <c r="I157" i="34"/>
  <c r="O173" i="34"/>
  <c r="Q173" i="34"/>
  <c r="I67" i="36"/>
  <c r="I108" i="34" s="1"/>
  <c r="O67" i="36"/>
  <c r="O108" i="34" s="1"/>
  <c r="P51" i="36"/>
  <c r="P92" i="34" s="1"/>
  <c r="K67" i="36"/>
  <c r="K108" i="34" s="1"/>
  <c r="Y173" i="34"/>
  <c r="AC173" i="34"/>
  <c r="W67" i="36"/>
  <c r="W108" i="34" s="1"/>
  <c r="AA157" i="34"/>
  <c r="P173" i="34"/>
  <c r="K157" i="34"/>
  <c r="Y51" i="36"/>
  <c r="Y92" i="34" s="1"/>
  <c r="S51" i="36"/>
  <c r="S92" i="34" s="1"/>
  <c r="Z67" i="36"/>
  <c r="Z108" i="34" s="1"/>
  <c r="AA51" i="36"/>
  <c r="AA92" i="34" s="1"/>
  <c r="P67" i="36"/>
  <c r="P108" i="34" s="1"/>
  <c r="K51" i="36"/>
  <c r="K92" i="34" s="1"/>
  <c r="Y67" i="36"/>
  <c r="Y108" i="34" s="1"/>
  <c r="AC157" i="34"/>
  <c r="AC67" i="36"/>
  <c r="AC108" i="34" s="1"/>
  <c r="N157" i="34"/>
  <c r="H51" i="36"/>
  <c r="H92" i="34" s="1"/>
  <c r="AB67" i="36"/>
  <c r="AB108" i="34" s="1"/>
  <c r="L51" i="36"/>
  <c r="L92" i="34" s="1"/>
  <c r="AB157" i="34"/>
  <c r="V51" i="36"/>
  <c r="V92" i="34" s="1"/>
  <c r="P157" i="34"/>
  <c r="K173" i="34"/>
  <c r="Y157" i="34"/>
  <c r="AC51" i="36"/>
  <c r="AC92" i="34" s="1"/>
  <c r="Q67" i="36"/>
  <c r="Q108" i="34" s="1"/>
  <c r="L157" i="34"/>
  <c r="S173" i="34"/>
  <c r="AA67" i="36"/>
  <c r="AA108" i="34" s="1"/>
  <c r="J157" i="34"/>
  <c r="R173" i="34"/>
  <c r="T173" i="34"/>
  <c r="X67" i="36"/>
  <c r="X108" i="34" s="1"/>
  <c r="Q51" i="36"/>
  <c r="Q92" i="34" s="1"/>
  <c r="O157" i="34"/>
  <c r="I51" i="36"/>
  <c r="I92" i="34" s="1"/>
  <c r="Z173" i="34"/>
  <c r="N173" i="34"/>
  <c r="J51" i="36"/>
  <c r="J92" i="34" s="1"/>
  <c r="R157" i="34"/>
  <c r="T67" i="36"/>
  <c r="T108" i="34" s="1"/>
  <c r="X51" i="36"/>
  <c r="X92" i="34" s="1"/>
  <c r="W157" i="34"/>
  <c r="AA173" i="34"/>
  <c r="J173" i="34"/>
  <c r="T51" i="36"/>
  <c r="T92" i="34" s="1"/>
  <c r="X157" i="34"/>
  <c r="H67" i="36"/>
  <c r="H108" i="34" s="1"/>
  <c r="L67" i="36"/>
  <c r="L108" i="34" s="1"/>
  <c r="U67" i="36"/>
  <c r="U108" i="34" s="1"/>
  <c r="I173" i="34"/>
  <c r="R51" i="36"/>
  <c r="R92" i="34" s="1"/>
  <c r="AB173" i="34"/>
  <c r="V173" i="34"/>
  <c r="J67" i="36"/>
  <c r="J108" i="34" s="1"/>
  <c r="R67" i="36"/>
  <c r="R108" i="34" s="1"/>
  <c r="T157" i="34"/>
  <c r="X173" i="34"/>
  <c r="M67" i="36"/>
  <c r="M108" i="34" s="1"/>
  <c r="Z157" i="34"/>
  <c r="S67" i="36"/>
  <c r="S108" i="34" s="1"/>
  <c r="N51" i="36"/>
  <c r="N92" i="34" s="1"/>
  <c r="M173" i="34"/>
  <c r="U157" i="34"/>
  <c r="H173" i="34"/>
  <c r="U51" i="36"/>
  <c r="U92" i="34" s="1"/>
  <c r="W173" i="34"/>
  <c r="O51" i="36"/>
  <c r="O92" i="34" s="1"/>
  <c r="V157" i="34"/>
  <c r="M157" i="34"/>
  <c r="U173" i="34"/>
  <c r="H157" i="34"/>
  <c r="M51" i="36"/>
  <c r="M92" i="34" s="1"/>
  <c r="Q11" i="34"/>
  <c r="W11" i="34"/>
  <c r="N11" i="34"/>
  <c r="X11" i="34"/>
  <c r="S11" i="34"/>
  <c r="AA11" i="34"/>
  <c r="M11" i="34"/>
  <c r="L11" i="34"/>
  <c r="U11" i="34"/>
  <c r="P11" i="34"/>
  <c r="Y11" i="34"/>
  <c r="T11" i="34"/>
  <c r="AC11" i="34"/>
  <c r="AB11" i="34"/>
  <c r="J11" i="34"/>
  <c r="I11" i="34"/>
  <c r="R11" i="34"/>
  <c r="H11" i="34"/>
  <c r="V11" i="34"/>
  <c r="Z11" i="34"/>
  <c r="O11" i="34"/>
  <c r="K11" i="34"/>
  <c r="P43" i="34"/>
  <c r="N43" i="34"/>
  <c r="T43" i="34"/>
  <c r="V43" i="34"/>
  <c r="X43" i="34"/>
  <c r="Q43" i="34"/>
  <c r="AB43" i="34"/>
  <c r="Y43" i="34"/>
  <c r="K43" i="34"/>
  <c r="J43" i="34"/>
  <c r="O43" i="34"/>
  <c r="R43" i="34"/>
  <c r="S43" i="34"/>
  <c r="Z43" i="34"/>
  <c r="W43" i="34"/>
  <c r="I43" i="34"/>
  <c r="AA43" i="34"/>
  <c r="H43" i="34"/>
  <c r="M43" i="34"/>
  <c r="U43" i="34"/>
  <c r="L43" i="34"/>
  <c r="AC43" i="34"/>
  <c r="Q36" i="34"/>
  <c r="W36" i="34"/>
  <c r="U36" i="34"/>
  <c r="AA36" i="34"/>
  <c r="Y36" i="34"/>
  <c r="L36" i="34"/>
  <c r="AC36" i="34"/>
  <c r="P36" i="34"/>
  <c r="J36" i="34"/>
  <c r="T36" i="34"/>
  <c r="N36" i="34"/>
  <c r="X36" i="34"/>
  <c r="V36" i="34"/>
  <c r="I36" i="34"/>
  <c r="Z36" i="34"/>
  <c r="H36" i="34"/>
  <c r="K36" i="34"/>
  <c r="O36" i="34"/>
  <c r="M36" i="34"/>
  <c r="R36" i="34"/>
  <c r="S36" i="34"/>
  <c r="AB36" i="34"/>
  <c r="K57" i="36"/>
  <c r="K98" i="34" s="1"/>
  <c r="V57" i="36"/>
  <c r="V98" i="34" s="1"/>
  <c r="H179" i="34"/>
  <c r="AA57" i="36"/>
  <c r="AA98" i="34" s="1"/>
  <c r="AA73" i="36"/>
  <c r="AA114" i="34" s="1"/>
  <c r="Z163" i="34"/>
  <c r="V73" i="36"/>
  <c r="V114" i="34" s="1"/>
  <c r="H57" i="36"/>
  <c r="H98" i="34" s="1"/>
  <c r="AA163" i="34"/>
  <c r="H73" i="36"/>
  <c r="H114" i="34" s="1"/>
  <c r="N73" i="36"/>
  <c r="N114" i="34" s="1"/>
  <c r="Z73" i="36"/>
  <c r="Z114" i="34" s="1"/>
  <c r="J179" i="34"/>
  <c r="T179" i="34"/>
  <c r="Z179" i="34"/>
  <c r="J57" i="36"/>
  <c r="J98" i="34" s="1"/>
  <c r="T57" i="36"/>
  <c r="T98" i="34" s="1"/>
  <c r="V163" i="34"/>
  <c r="N179" i="34"/>
  <c r="AB73" i="36"/>
  <c r="AB114" i="34" s="1"/>
  <c r="Z57" i="36"/>
  <c r="Z98" i="34" s="1"/>
  <c r="J163" i="34"/>
  <c r="T73" i="36"/>
  <c r="T114" i="34" s="1"/>
  <c r="W179" i="34"/>
  <c r="N163" i="34"/>
  <c r="AB179" i="34"/>
  <c r="W57" i="36"/>
  <c r="W98" i="34" s="1"/>
  <c r="J73" i="36"/>
  <c r="J114" i="34" s="1"/>
  <c r="T163" i="34"/>
  <c r="K179" i="34"/>
  <c r="AB163" i="34"/>
  <c r="R163" i="34"/>
  <c r="P57" i="36"/>
  <c r="P98" i="34" s="1"/>
  <c r="X57" i="36"/>
  <c r="X98" i="34" s="1"/>
  <c r="AB57" i="36"/>
  <c r="AB98" i="34" s="1"/>
  <c r="R57" i="36"/>
  <c r="R98" i="34" s="1"/>
  <c r="P163" i="34"/>
  <c r="X73" i="36"/>
  <c r="X114" i="34" s="1"/>
  <c r="AC179" i="34"/>
  <c r="K73" i="36"/>
  <c r="K114" i="34" s="1"/>
  <c r="R179" i="34"/>
  <c r="P73" i="36"/>
  <c r="P114" i="34" s="1"/>
  <c r="X163" i="34"/>
  <c r="AC163" i="34"/>
  <c r="R73" i="36"/>
  <c r="R114" i="34" s="1"/>
  <c r="P179" i="34"/>
  <c r="X179" i="34"/>
  <c r="AC73" i="36"/>
  <c r="AC114" i="34" s="1"/>
  <c r="N57" i="36"/>
  <c r="N98" i="34" s="1"/>
  <c r="V179" i="34"/>
  <c r="H163" i="34"/>
  <c r="AA179" i="34"/>
  <c r="AC57" i="36"/>
  <c r="AC98" i="34" s="1"/>
  <c r="K163" i="34"/>
  <c r="Y73" i="36"/>
  <c r="Y114" i="34" s="1"/>
  <c r="Y163" i="34"/>
  <c r="Y179" i="34"/>
  <c r="U73" i="36"/>
  <c r="U114" i="34" s="1"/>
  <c r="Y57" i="36"/>
  <c r="Y98" i="34" s="1"/>
  <c r="W163" i="34"/>
  <c r="W73" i="36"/>
  <c r="W114" i="34" s="1"/>
  <c r="U57" i="36"/>
  <c r="U98" i="34" s="1"/>
  <c r="I179" i="34"/>
  <c r="M57" i="36"/>
  <c r="M98" i="34" s="1"/>
  <c r="I57" i="36"/>
  <c r="I98" i="34" s="1"/>
  <c r="I73" i="36"/>
  <c r="I114" i="34" s="1"/>
  <c r="S179" i="34"/>
  <c r="L163" i="34"/>
  <c r="S57" i="36"/>
  <c r="S98" i="34" s="1"/>
  <c r="L73" i="36"/>
  <c r="L114" i="34" s="1"/>
  <c r="M73" i="36"/>
  <c r="M114" i="34" s="1"/>
  <c r="S73" i="36"/>
  <c r="S114" i="34" s="1"/>
  <c r="L179" i="34"/>
  <c r="S163" i="34"/>
  <c r="L57" i="36"/>
  <c r="L98" i="34" s="1"/>
  <c r="O179" i="34"/>
  <c r="Q57" i="36"/>
  <c r="Q98" i="34" s="1"/>
  <c r="Q179" i="34"/>
  <c r="O57" i="36"/>
  <c r="O98" i="34" s="1"/>
  <c r="M163" i="34"/>
  <c r="O73" i="36"/>
  <c r="O114" i="34" s="1"/>
  <c r="Q163" i="34"/>
  <c r="O163" i="34"/>
  <c r="Q73" i="36"/>
  <c r="Q114" i="34" s="1"/>
  <c r="U163" i="34"/>
  <c r="I163" i="34"/>
  <c r="M179" i="34"/>
  <c r="U179" i="34"/>
  <c r="R156" i="34"/>
  <c r="V156" i="34"/>
  <c r="K156" i="34"/>
  <c r="AB156" i="34"/>
  <c r="Q50" i="36"/>
  <c r="Q91" i="34" s="1"/>
  <c r="X66" i="36"/>
  <c r="X107" i="34" s="1"/>
  <c r="H156" i="34"/>
  <c r="AB50" i="36"/>
  <c r="AB91" i="34" s="1"/>
  <c r="R66" i="36"/>
  <c r="R107" i="34" s="1"/>
  <c r="V172" i="34"/>
  <c r="K50" i="36"/>
  <c r="K91" i="34" s="1"/>
  <c r="AB66" i="36"/>
  <c r="AB107" i="34" s="1"/>
  <c r="Q66" i="36"/>
  <c r="Q107" i="34" s="1"/>
  <c r="X50" i="36"/>
  <c r="X91" i="34" s="1"/>
  <c r="H172" i="34"/>
  <c r="X156" i="34"/>
  <c r="O172" i="34"/>
  <c r="S172" i="34"/>
  <c r="J156" i="34"/>
  <c r="AA156" i="34"/>
  <c r="L50" i="36"/>
  <c r="L91" i="34" s="1"/>
  <c r="AC50" i="36"/>
  <c r="AC91" i="34" s="1"/>
  <c r="T50" i="36"/>
  <c r="T91" i="34" s="1"/>
  <c r="V66" i="36"/>
  <c r="V107" i="34" s="1"/>
  <c r="O66" i="36"/>
  <c r="O107" i="34" s="1"/>
  <c r="S156" i="34"/>
  <c r="J66" i="36"/>
  <c r="J107" i="34" s="1"/>
  <c r="AA172" i="34"/>
  <c r="L156" i="34"/>
  <c r="AC66" i="36"/>
  <c r="AC107" i="34" s="1"/>
  <c r="T172" i="34"/>
  <c r="Q172" i="34"/>
  <c r="Y50" i="36"/>
  <c r="Y91" i="34" s="1"/>
  <c r="O156" i="34"/>
  <c r="S66" i="36"/>
  <c r="S107" i="34" s="1"/>
  <c r="J50" i="36"/>
  <c r="J91" i="34" s="1"/>
  <c r="AA50" i="36"/>
  <c r="AA91" i="34" s="1"/>
  <c r="L66" i="36"/>
  <c r="L107" i="34" s="1"/>
  <c r="AC156" i="34"/>
  <c r="T66" i="36"/>
  <c r="T107" i="34" s="1"/>
  <c r="U156" i="34"/>
  <c r="Y172" i="34"/>
  <c r="O50" i="36"/>
  <c r="O91" i="34" s="1"/>
  <c r="S50" i="36"/>
  <c r="S91" i="34" s="1"/>
  <c r="J172" i="34"/>
  <c r="AA66" i="36"/>
  <c r="AA107" i="34" s="1"/>
  <c r="L172" i="34"/>
  <c r="AC172" i="34"/>
  <c r="T156" i="34"/>
  <c r="Y66" i="36"/>
  <c r="Y107" i="34" s="1"/>
  <c r="I50" i="36"/>
  <c r="I91" i="34" s="1"/>
  <c r="Z156" i="34"/>
  <c r="P172" i="34"/>
  <c r="W172" i="34"/>
  <c r="N172" i="34"/>
  <c r="M66" i="36"/>
  <c r="M107" i="34" s="1"/>
  <c r="R172" i="34"/>
  <c r="Y156" i="34"/>
  <c r="I66" i="36"/>
  <c r="I107" i="34" s="1"/>
  <c r="Z66" i="36"/>
  <c r="Z107" i="34" s="1"/>
  <c r="P50" i="36"/>
  <c r="P91" i="34" s="1"/>
  <c r="W156" i="34"/>
  <c r="N50" i="36"/>
  <c r="N91" i="34" s="1"/>
  <c r="M156" i="34"/>
  <c r="K66" i="36"/>
  <c r="K107" i="34" s="1"/>
  <c r="U50" i="36"/>
  <c r="U91" i="34" s="1"/>
  <c r="I172" i="34"/>
  <c r="Z50" i="36"/>
  <c r="Z91" i="34" s="1"/>
  <c r="P156" i="34"/>
  <c r="W66" i="36"/>
  <c r="W107" i="34" s="1"/>
  <c r="N156" i="34"/>
  <c r="M172" i="34"/>
  <c r="H66" i="36"/>
  <c r="H107" i="34" s="1"/>
  <c r="U172" i="34"/>
  <c r="I156" i="34"/>
  <c r="Z172" i="34"/>
  <c r="P66" i="36"/>
  <c r="P107" i="34" s="1"/>
  <c r="W50" i="36"/>
  <c r="W91" i="34" s="1"/>
  <c r="N66" i="36"/>
  <c r="N107" i="34" s="1"/>
  <c r="M50" i="36"/>
  <c r="M91" i="34" s="1"/>
  <c r="U66" i="36"/>
  <c r="U107" i="34" s="1"/>
  <c r="V50" i="36"/>
  <c r="V91" i="34" s="1"/>
  <c r="K172" i="34"/>
  <c r="AB172" i="34"/>
  <c r="Q156" i="34"/>
  <c r="X172" i="34"/>
  <c r="H50" i="36"/>
  <c r="H91" i="34" s="1"/>
  <c r="R50" i="36"/>
  <c r="R91" i="34" s="1"/>
  <c r="AR40" i="34"/>
  <c r="AJ40" i="34"/>
  <c r="AT40" i="34"/>
  <c r="AN40" i="34"/>
  <c r="AI40" i="34"/>
  <c r="AS40" i="34"/>
  <c r="AM40" i="34"/>
  <c r="BB40" i="34"/>
  <c r="BO40" i="34"/>
  <c r="AO40" i="34"/>
  <c r="BC40" i="34"/>
  <c r="BM40" i="34"/>
  <c r="BF40" i="34"/>
  <c r="BJ40" i="34"/>
  <c r="BI40" i="34"/>
  <c r="AV40" i="34"/>
  <c r="AZ40" i="34"/>
  <c r="BG40" i="34"/>
  <c r="BD40" i="34"/>
  <c r="AU40" i="34"/>
  <c r="AL40" i="34"/>
  <c r="BA40" i="34"/>
  <c r="AW40" i="34"/>
  <c r="AX40" i="34"/>
  <c r="BH40" i="34"/>
  <c r="BK40" i="34"/>
  <c r="BL40" i="34"/>
  <c r="BP40" i="34"/>
  <c r="AQ40" i="34"/>
  <c r="AY40" i="34"/>
  <c r="AK40" i="34"/>
  <c r="BN40" i="34"/>
  <c r="BE40" i="34"/>
  <c r="AP40" i="34"/>
  <c r="Y40" i="34"/>
  <c r="S40" i="34"/>
  <c r="AC40" i="34"/>
  <c r="W40" i="34"/>
  <c r="AG40" i="34"/>
  <c r="AA40" i="34"/>
  <c r="J40" i="34"/>
  <c r="AE40" i="34"/>
  <c r="N40" i="34"/>
  <c r="L40" i="34"/>
  <c r="R40" i="34"/>
  <c r="P40" i="34"/>
  <c r="Z40" i="34"/>
  <c r="X40" i="34"/>
  <c r="AD40" i="34"/>
  <c r="AB40" i="34"/>
  <c r="M40" i="34"/>
  <c r="AH40" i="34"/>
  <c r="AF40" i="34"/>
  <c r="Q40" i="34"/>
  <c r="K40" i="34"/>
  <c r="H40" i="34"/>
  <c r="U40" i="34"/>
  <c r="V40" i="34"/>
  <c r="O40" i="34"/>
  <c r="T40" i="34"/>
  <c r="I40" i="34"/>
  <c r="AD70" i="36"/>
  <c r="AD111" i="34" s="1"/>
  <c r="AI54" i="36"/>
  <c r="AI95" i="34" s="1"/>
  <c r="AF70" i="36"/>
  <c r="AF111" i="34" s="1"/>
  <c r="AD54" i="36"/>
  <c r="AD95" i="34" s="1"/>
  <c r="AE54" i="36"/>
  <c r="AE95" i="34" s="1"/>
  <c r="AH54" i="36"/>
  <c r="AH95" i="34" s="1"/>
  <c r="AG70" i="36"/>
  <c r="AG111" i="34" s="1"/>
  <c r="AH70" i="36"/>
  <c r="AH111" i="34" s="1"/>
  <c r="AI70" i="36"/>
  <c r="AI111" i="34" s="1"/>
  <c r="AF54" i="36"/>
  <c r="AF95" i="34" s="1"/>
  <c r="AE70" i="36"/>
  <c r="AE111" i="34" s="1"/>
  <c r="AG54" i="36"/>
  <c r="AG95" i="34" s="1"/>
  <c r="BF160" i="34"/>
  <c r="BI176" i="34"/>
  <c r="AK176" i="34"/>
  <c r="AM160" i="34"/>
  <c r="AW176" i="34"/>
  <c r="BL160" i="34"/>
  <c r="AZ176" i="34"/>
  <c r="AN176" i="34"/>
  <c r="AY176" i="34"/>
  <c r="BJ160" i="34"/>
  <c r="AT160" i="34"/>
  <c r="AT176" i="34"/>
  <c r="AO54" i="36"/>
  <c r="AO95" i="34" s="1"/>
  <c r="AQ54" i="36"/>
  <c r="AQ95" i="34" s="1"/>
  <c r="AP176" i="34"/>
  <c r="BP54" i="36"/>
  <c r="BP95" i="34" s="1"/>
  <c r="BN70" i="36"/>
  <c r="BN111" i="34" s="1"/>
  <c r="BN54" i="36"/>
  <c r="BN95" i="34" s="1"/>
  <c r="BP160" i="34"/>
  <c r="BE176" i="34"/>
  <c r="BL70" i="36"/>
  <c r="BL111" i="34" s="1"/>
  <c r="AT70" i="36"/>
  <c r="AT111" i="34" s="1"/>
  <c r="AW54" i="36"/>
  <c r="AW95" i="34" s="1"/>
  <c r="AN54" i="36"/>
  <c r="AN95" i="34" s="1"/>
  <c r="BI160" i="34"/>
  <c r="AK160" i="34"/>
  <c r="AM176" i="34"/>
  <c r="AW160" i="34"/>
  <c r="BL176" i="34"/>
  <c r="AZ160" i="34"/>
  <c r="AN160" i="34"/>
  <c r="AY160" i="34"/>
  <c r="BJ176" i="34"/>
  <c r="BH54" i="36"/>
  <c r="BH95" i="34" s="1"/>
  <c r="AJ70" i="36"/>
  <c r="AJ111" i="34" s="1"/>
  <c r="AP54" i="36"/>
  <c r="AP95" i="34" s="1"/>
  <c r="AS70" i="36"/>
  <c r="AS111" i="34" s="1"/>
  <c r="BK54" i="36"/>
  <c r="BK95" i="34" s="1"/>
  <c r="BD54" i="36"/>
  <c r="BD95" i="34" s="1"/>
  <c r="BD160" i="34"/>
  <c r="AS160" i="34"/>
  <c r="AY70" i="36"/>
  <c r="AY111" i="34" s="1"/>
  <c r="AK54" i="36"/>
  <c r="AK95" i="34" s="1"/>
  <c r="BJ54" i="36"/>
  <c r="BJ95" i="34" s="1"/>
  <c r="BG70" i="36"/>
  <c r="BG111" i="34" s="1"/>
  <c r="BA70" i="36"/>
  <c r="BA111" i="34" s="1"/>
  <c r="BO70" i="36"/>
  <c r="BO111" i="34" s="1"/>
  <c r="BM70" i="36"/>
  <c r="BM111" i="34" s="1"/>
  <c r="AO70" i="36"/>
  <c r="AO111" i="34" s="1"/>
  <c r="BH70" i="36"/>
  <c r="BH111" i="34" s="1"/>
  <c r="AV70" i="36"/>
  <c r="AV111" i="34" s="1"/>
  <c r="AJ54" i="36"/>
  <c r="AJ95" i="34" s="1"/>
  <c r="AQ70" i="36"/>
  <c r="AQ111" i="34" s="1"/>
  <c r="BB70" i="36"/>
  <c r="BB111" i="34" s="1"/>
  <c r="AP70" i="36"/>
  <c r="AP111" i="34" s="1"/>
  <c r="AV54" i="36"/>
  <c r="AV95" i="34" s="1"/>
  <c r="BC54" i="36"/>
  <c r="BC95" i="34" s="1"/>
  <c r="BC160" i="34"/>
  <c r="BN176" i="34"/>
  <c r="AL176" i="34"/>
  <c r="AK70" i="36"/>
  <c r="AK111" i="34" s="1"/>
  <c r="BG54" i="36"/>
  <c r="BG95" i="34" s="1"/>
  <c r="BA54" i="36"/>
  <c r="BA95" i="34" s="1"/>
  <c r="BO54" i="36"/>
  <c r="BO95" i="34" s="1"/>
  <c r="BM54" i="36"/>
  <c r="BM95" i="34" s="1"/>
  <c r="BB54" i="36"/>
  <c r="BB95" i="34" s="1"/>
  <c r="AR54" i="36"/>
  <c r="AR95" i="34" s="1"/>
  <c r="BK70" i="36"/>
  <c r="BK111" i="34" s="1"/>
  <c r="BN160" i="34"/>
  <c r="BC176" i="34"/>
  <c r="AN70" i="36"/>
  <c r="AN111" i="34" s="1"/>
  <c r="AM54" i="36"/>
  <c r="AM95" i="34" s="1"/>
  <c r="BG160" i="34"/>
  <c r="BA176" i="34"/>
  <c r="BO160" i="34"/>
  <c r="BM176" i="34"/>
  <c r="AO160" i="34"/>
  <c r="BH160" i="34"/>
  <c r="AV176" i="34"/>
  <c r="AJ160" i="34"/>
  <c r="AQ160" i="34"/>
  <c r="BB160" i="34"/>
  <c r="AP160" i="34"/>
  <c r="BH176" i="34"/>
  <c r="AQ176" i="34"/>
  <c r="BE54" i="36"/>
  <c r="BE95" i="34" s="1"/>
  <c r="AL70" i="36"/>
  <c r="AL111" i="34" s="1"/>
  <c r="AX54" i="36"/>
  <c r="AX95" i="34" s="1"/>
  <c r="BE160" i="34"/>
  <c r="BP176" i="34"/>
  <c r="AX176" i="34"/>
  <c r="AW70" i="36"/>
  <c r="AW111" i="34" s="1"/>
  <c r="BI54" i="36"/>
  <c r="BI95" i="34" s="1"/>
  <c r="BG176" i="34"/>
  <c r="BA160" i="34"/>
  <c r="BO176" i="34"/>
  <c r="BM160" i="34"/>
  <c r="AO176" i="34"/>
  <c r="AV160" i="34"/>
  <c r="AJ176" i="34"/>
  <c r="BB176" i="34"/>
  <c r="BD70" i="36"/>
  <c r="BD111" i="34" s="1"/>
  <c r="AX70" i="36"/>
  <c r="AX111" i="34" s="1"/>
  <c r="AR70" i="36"/>
  <c r="AR111" i="34" s="1"/>
  <c r="AR160" i="34"/>
  <c r="AL160" i="34"/>
  <c r="AR176" i="34"/>
  <c r="BI70" i="36"/>
  <c r="BI111" i="34" s="1"/>
  <c r="AT54" i="36"/>
  <c r="AT95" i="34" s="1"/>
  <c r="AU54" i="36"/>
  <c r="AU95" i="34" s="1"/>
  <c r="AU176" i="34"/>
  <c r="AZ54" i="36"/>
  <c r="AZ95" i="34" s="1"/>
  <c r="AU70" i="36"/>
  <c r="AU111" i="34" s="1"/>
  <c r="AS54" i="36"/>
  <c r="AS95" i="34" s="1"/>
  <c r="BC70" i="36"/>
  <c r="BC111" i="34" s="1"/>
  <c r="BE70" i="36"/>
  <c r="BE111" i="34" s="1"/>
  <c r="BP70" i="36"/>
  <c r="BP111" i="34" s="1"/>
  <c r="AL54" i="36"/>
  <c r="AL95" i="34" s="1"/>
  <c r="AX160" i="34"/>
  <c r="BD176" i="34"/>
  <c r="AZ70" i="36"/>
  <c r="AZ111" i="34" s="1"/>
  <c r="BJ70" i="36"/>
  <c r="BJ111" i="34" s="1"/>
  <c r="BL54" i="36"/>
  <c r="BL95" i="34" s="1"/>
  <c r="AY54" i="36"/>
  <c r="AY95" i="34" s="1"/>
  <c r="AU160" i="34"/>
  <c r="AS176" i="34"/>
  <c r="BK160" i="34"/>
  <c r="BK176" i="34"/>
  <c r="AM70" i="36"/>
  <c r="AM111" i="34" s="1"/>
  <c r="BF54" i="36"/>
  <c r="BF95" i="34" s="1"/>
  <c r="BF176" i="34"/>
  <c r="BF70" i="36"/>
  <c r="BF111" i="34" s="1"/>
  <c r="AF176" i="34"/>
  <c r="AD160" i="34"/>
  <c r="X54" i="36"/>
  <c r="X95" i="34" s="1"/>
  <c r="AC160" i="34"/>
  <c r="L54" i="36"/>
  <c r="L95" i="34" s="1"/>
  <c r="Q176" i="34"/>
  <c r="R160" i="34"/>
  <c r="AF160" i="34"/>
  <c r="AI160" i="34"/>
  <c r="AD176" i="34"/>
  <c r="X160" i="34"/>
  <c r="W54" i="36"/>
  <c r="W95" i="34" s="1"/>
  <c r="L160" i="34"/>
  <c r="AE176" i="34"/>
  <c r="H54" i="36"/>
  <c r="H95" i="34" s="1"/>
  <c r="AB70" i="36"/>
  <c r="AB111" i="34" s="1"/>
  <c r="AA70" i="36"/>
  <c r="AA111" i="34" s="1"/>
  <c r="W70" i="36"/>
  <c r="W111" i="34" s="1"/>
  <c r="L176" i="34"/>
  <c r="L70" i="36"/>
  <c r="L111" i="34" s="1"/>
  <c r="AE160" i="34"/>
  <c r="H70" i="36"/>
  <c r="H111" i="34" s="1"/>
  <c r="AB54" i="36"/>
  <c r="AB95" i="34" s="1"/>
  <c r="AA54" i="36"/>
  <c r="AA95" i="34" s="1"/>
  <c r="W160" i="34"/>
  <c r="R70" i="36"/>
  <c r="R111" i="34" s="1"/>
  <c r="Y70" i="36"/>
  <c r="Y111" i="34" s="1"/>
  <c r="H176" i="34"/>
  <c r="AB160" i="34"/>
  <c r="AA160" i="34"/>
  <c r="W176" i="34"/>
  <c r="R54" i="36"/>
  <c r="R95" i="34" s="1"/>
  <c r="AH160" i="34"/>
  <c r="J160" i="34"/>
  <c r="N70" i="36"/>
  <c r="N111" i="34" s="1"/>
  <c r="H160" i="34"/>
  <c r="AB176" i="34"/>
  <c r="AA176" i="34"/>
  <c r="Q70" i="36"/>
  <c r="Q111" i="34" s="1"/>
  <c r="Y54" i="36"/>
  <c r="Y95" i="34" s="1"/>
  <c r="AH176" i="34"/>
  <c r="R176" i="34"/>
  <c r="N176" i="34"/>
  <c r="AG176" i="34"/>
  <c r="Z70" i="36"/>
  <c r="Z111" i="34" s="1"/>
  <c r="AC176" i="34"/>
  <c r="N54" i="36"/>
  <c r="N95" i="34" s="1"/>
  <c r="AG160" i="34"/>
  <c r="Z54" i="36"/>
  <c r="Z95" i="34" s="1"/>
  <c r="Q54" i="36"/>
  <c r="Q95" i="34" s="1"/>
  <c r="Y160" i="34"/>
  <c r="N160" i="34"/>
  <c r="J70" i="36"/>
  <c r="J111" i="34" s="1"/>
  <c r="Z176" i="34"/>
  <c r="Q160" i="34"/>
  <c r="Y176" i="34"/>
  <c r="X176" i="34"/>
  <c r="J176" i="34"/>
  <c r="Z160" i="34"/>
  <c r="AC70" i="36"/>
  <c r="AC111" i="34" s="1"/>
  <c r="AI176" i="34"/>
  <c r="J54" i="36"/>
  <c r="J95" i="34" s="1"/>
  <c r="X70" i="36"/>
  <c r="X111" i="34" s="1"/>
  <c r="AC54" i="36"/>
  <c r="AC95" i="34" s="1"/>
  <c r="I70" i="36"/>
  <c r="I111" i="34" s="1"/>
  <c r="M70" i="36"/>
  <c r="M111" i="34" s="1"/>
  <c r="P70" i="36"/>
  <c r="P111" i="34" s="1"/>
  <c r="I160" i="34"/>
  <c r="M176" i="34"/>
  <c r="P176" i="34"/>
  <c r="V54" i="36"/>
  <c r="V95" i="34" s="1"/>
  <c r="I54" i="36"/>
  <c r="I95" i="34" s="1"/>
  <c r="M54" i="36"/>
  <c r="M95" i="34" s="1"/>
  <c r="P160" i="34"/>
  <c r="I176" i="34"/>
  <c r="M160" i="34"/>
  <c r="P54" i="36"/>
  <c r="P95" i="34" s="1"/>
  <c r="V160" i="34"/>
  <c r="O176" i="34"/>
  <c r="U70" i="36"/>
  <c r="U111" i="34" s="1"/>
  <c r="T70" i="36"/>
  <c r="T111" i="34" s="1"/>
  <c r="K70" i="36"/>
  <c r="K111" i="34" s="1"/>
  <c r="U54" i="36"/>
  <c r="U95" i="34" s="1"/>
  <c r="T54" i="36"/>
  <c r="T95" i="34" s="1"/>
  <c r="K54" i="36"/>
  <c r="K95" i="34" s="1"/>
  <c r="U176" i="34"/>
  <c r="K160" i="34"/>
  <c r="T176" i="34"/>
  <c r="S54" i="36"/>
  <c r="S95" i="34" s="1"/>
  <c r="U160" i="34"/>
  <c r="T160" i="34"/>
  <c r="K176" i="34"/>
  <c r="S160" i="34"/>
  <c r="S70" i="36"/>
  <c r="S111" i="34" s="1"/>
  <c r="O54" i="36"/>
  <c r="O95" i="34" s="1"/>
  <c r="V70" i="36"/>
  <c r="V111" i="34" s="1"/>
  <c r="O70" i="36"/>
  <c r="O111" i="34" s="1"/>
  <c r="S176" i="34"/>
  <c r="O160" i="34"/>
  <c r="V176" i="34"/>
  <c r="AP8" i="34"/>
  <c r="AE8" i="34"/>
  <c r="T8" i="34"/>
  <c r="BP8" i="34"/>
  <c r="BE8" i="34"/>
  <c r="AT8" i="34"/>
  <c r="AI8" i="34"/>
  <c r="X8" i="34"/>
  <c r="M8" i="34"/>
  <c r="BI8" i="34"/>
  <c r="AX8" i="34"/>
  <c r="AM8" i="34"/>
  <c r="AB8" i="34"/>
  <c r="Q8" i="34"/>
  <c r="BM8" i="34"/>
  <c r="BB8" i="34"/>
  <c r="AQ8" i="34"/>
  <c r="AF8" i="34"/>
  <c r="U8" i="34"/>
  <c r="I8" i="34"/>
  <c r="J8" i="34"/>
  <c r="BF8" i="34"/>
  <c r="AU8" i="34"/>
  <c r="AJ8" i="34"/>
  <c r="Y8" i="34"/>
  <c r="H8" i="34"/>
  <c r="N8" i="34"/>
  <c r="BJ8" i="34"/>
  <c r="AY8" i="34"/>
  <c r="AN8" i="34"/>
  <c r="AC8" i="34"/>
  <c r="R8" i="34"/>
  <c r="BN8" i="34"/>
  <c r="BC8" i="34"/>
  <c r="AR8" i="34"/>
  <c r="AG8" i="34"/>
  <c r="V8" i="34"/>
  <c r="K8" i="34"/>
  <c r="BG8" i="34"/>
  <c r="AV8" i="34"/>
  <c r="AK8" i="34"/>
  <c r="Z8" i="34"/>
  <c r="O8" i="34"/>
  <c r="BK8" i="34"/>
  <c r="AZ8" i="34"/>
  <c r="AO8" i="34"/>
  <c r="AD8" i="34"/>
  <c r="S8" i="34"/>
  <c r="BO8" i="34"/>
  <c r="BD8" i="34"/>
  <c r="AS8" i="34"/>
  <c r="AH8" i="34"/>
  <c r="W8" i="34"/>
  <c r="L8" i="34"/>
  <c r="BH8" i="34"/>
  <c r="AW8" i="34"/>
  <c r="AL8" i="34"/>
  <c r="AA8" i="34"/>
  <c r="P8" i="34"/>
  <c r="BL8" i="34"/>
  <c r="BA8" i="34"/>
  <c r="W42" i="34"/>
  <c r="J42" i="34"/>
  <c r="AA42" i="34"/>
  <c r="N42" i="34"/>
  <c r="L42" i="34"/>
  <c r="R42" i="34"/>
  <c r="P42" i="34"/>
  <c r="V42" i="34"/>
  <c r="T42" i="34"/>
  <c r="Z42" i="34"/>
  <c r="X42" i="34"/>
  <c r="I42" i="34"/>
  <c r="M42" i="34"/>
  <c r="Q42" i="34"/>
  <c r="K42" i="34"/>
  <c r="U42" i="34"/>
  <c r="O42" i="34"/>
  <c r="Y42" i="34"/>
  <c r="S42" i="34"/>
  <c r="AB42" i="34"/>
  <c r="AC42" i="34"/>
  <c r="H42" i="34"/>
  <c r="P19" i="34"/>
  <c r="V19" i="34"/>
  <c r="T19" i="34"/>
  <c r="Z19" i="34"/>
  <c r="X19" i="34"/>
  <c r="I19" i="34"/>
  <c r="AB19" i="34"/>
  <c r="H19" i="34"/>
  <c r="M19" i="34"/>
  <c r="Q19" i="34"/>
  <c r="K19" i="34"/>
  <c r="U19" i="34"/>
  <c r="O19" i="34"/>
  <c r="Y19" i="34"/>
  <c r="S19" i="34"/>
  <c r="AC19" i="34"/>
  <c r="W19" i="34"/>
  <c r="J19" i="34"/>
  <c r="AA19" i="34"/>
  <c r="N19" i="34"/>
  <c r="L19" i="34"/>
  <c r="R19" i="34"/>
  <c r="L18" i="34"/>
  <c r="P18" i="34"/>
  <c r="J18" i="34"/>
  <c r="T18" i="34"/>
  <c r="N18" i="34"/>
  <c r="X18" i="34"/>
  <c r="R18" i="34"/>
  <c r="AB18" i="34"/>
  <c r="V18" i="34"/>
  <c r="M18" i="34"/>
  <c r="K18" i="34"/>
  <c r="U18" i="34"/>
  <c r="O18" i="34"/>
  <c r="Y18" i="34"/>
  <c r="S18" i="34"/>
  <c r="AC18" i="34"/>
  <c r="W18" i="34"/>
  <c r="H18" i="34"/>
  <c r="Z18" i="34"/>
  <c r="AA18" i="34"/>
  <c r="Q18" i="34"/>
  <c r="I18" i="34"/>
  <c r="K25" i="34"/>
  <c r="U25" i="34"/>
  <c r="O25" i="34"/>
  <c r="Y25" i="34"/>
  <c r="S25" i="34"/>
  <c r="AC25" i="34"/>
  <c r="W25" i="34"/>
  <c r="J25" i="34"/>
  <c r="AA25" i="34"/>
  <c r="N25" i="34"/>
  <c r="L25" i="34"/>
  <c r="R25" i="34"/>
  <c r="T25" i="34"/>
  <c r="Z25" i="34"/>
  <c r="X25" i="34"/>
  <c r="I25" i="34"/>
  <c r="AB25" i="34"/>
  <c r="H25" i="34"/>
  <c r="M25" i="34"/>
  <c r="P25" i="34"/>
  <c r="Q25" i="34"/>
  <c r="V25" i="34"/>
  <c r="AM13" i="34"/>
  <c r="AB13" i="34"/>
  <c r="Q13" i="34"/>
  <c r="BM13" i="34"/>
  <c r="BB13" i="34"/>
  <c r="AQ13" i="34"/>
  <c r="AF13" i="34"/>
  <c r="U13" i="34"/>
  <c r="J13" i="34"/>
  <c r="BF13" i="34"/>
  <c r="AU13" i="34"/>
  <c r="AJ13" i="34"/>
  <c r="Y13" i="34"/>
  <c r="N13" i="34"/>
  <c r="BJ13" i="34"/>
  <c r="AY13" i="34"/>
  <c r="AN13" i="34"/>
  <c r="AC13" i="34"/>
  <c r="R13" i="34"/>
  <c r="BN13" i="34"/>
  <c r="BC13" i="34"/>
  <c r="AR13" i="34"/>
  <c r="AG13" i="34"/>
  <c r="V13" i="34"/>
  <c r="I13" i="34"/>
  <c r="K13" i="34"/>
  <c r="BG13" i="34"/>
  <c r="AV13" i="34"/>
  <c r="AK13" i="34"/>
  <c r="Z13" i="34"/>
  <c r="H13" i="34"/>
  <c r="O13" i="34"/>
  <c r="BK13" i="34"/>
  <c r="AZ13" i="34"/>
  <c r="AO13" i="34"/>
  <c r="AD13" i="34"/>
  <c r="S13" i="34"/>
  <c r="BO13" i="34"/>
  <c r="BD13" i="34"/>
  <c r="AS13" i="34"/>
  <c r="AH13" i="34"/>
  <c r="W13" i="34"/>
  <c r="L13" i="34"/>
  <c r="BH13" i="34"/>
  <c r="AW13" i="34"/>
  <c r="AL13" i="34"/>
  <c r="AA13" i="34"/>
  <c r="P13" i="34"/>
  <c r="BL13" i="34"/>
  <c r="BA13" i="34"/>
  <c r="AP13" i="34"/>
  <c r="AE13" i="34"/>
  <c r="T13" i="34"/>
  <c r="BP13" i="34"/>
  <c r="BE13" i="34"/>
  <c r="AT13" i="34"/>
  <c r="X13" i="34"/>
  <c r="M13" i="34"/>
  <c r="BI13" i="34"/>
  <c r="AX13" i="34"/>
  <c r="AI13" i="34"/>
  <c r="AN44" i="34"/>
  <c r="AJ44" i="34"/>
  <c r="AT44" i="34"/>
  <c r="AR44" i="34"/>
  <c r="AS44" i="34"/>
  <c r="AI44" i="34"/>
  <c r="AM44" i="34"/>
  <c r="AX44" i="34"/>
  <c r="BE44" i="34"/>
  <c r="BA44" i="34"/>
  <c r="AW44" i="34"/>
  <c r="AZ44" i="34"/>
  <c r="BC44" i="34"/>
  <c r="BF44" i="34"/>
  <c r="BL44" i="34"/>
  <c r="BN44" i="34"/>
  <c r="AL44" i="34"/>
  <c r="AK44" i="34"/>
  <c r="AP44" i="34"/>
  <c r="AV44" i="34"/>
  <c r="AY44" i="34"/>
  <c r="BB44" i="34"/>
  <c r="AU44" i="34"/>
  <c r="BI44" i="34"/>
  <c r="BO44" i="34"/>
  <c r="BK44" i="34"/>
  <c r="BG44" i="34"/>
  <c r="BM44" i="34"/>
  <c r="BP44" i="34"/>
  <c r="AO44" i="34"/>
  <c r="AQ44" i="34"/>
  <c r="BH44" i="34"/>
  <c r="BJ44" i="34"/>
  <c r="BD44" i="34"/>
  <c r="M44" i="34"/>
  <c r="AH44" i="34"/>
  <c r="AF44" i="34"/>
  <c r="Q44" i="34"/>
  <c r="K44" i="34"/>
  <c r="H44" i="34"/>
  <c r="U44" i="34"/>
  <c r="O44" i="34"/>
  <c r="I44" i="34"/>
  <c r="Y44" i="34"/>
  <c r="S44" i="34"/>
  <c r="AC44" i="34"/>
  <c r="W44" i="34"/>
  <c r="AG44" i="34"/>
  <c r="AA44" i="34"/>
  <c r="N44" i="34"/>
  <c r="L44" i="34"/>
  <c r="R44" i="34"/>
  <c r="P44" i="34"/>
  <c r="V44" i="34"/>
  <c r="T44" i="34"/>
  <c r="Z44" i="34"/>
  <c r="X44" i="34"/>
  <c r="AE44" i="34"/>
  <c r="AD44" i="34"/>
  <c r="AB44" i="34"/>
  <c r="J44" i="34"/>
  <c r="BB12" i="34"/>
  <c r="AQ12" i="34"/>
  <c r="AF12" i="34"/>
  <c r="U12" i="34"/>
  <c r="I12" i="34"/>
  <c r="J12" i="34"/>
  <c r="BF12" i="34"/>
  <c r="AU12" i="34"/>
  <c r="AJ12" i="34"/>
  <c r="Y12" i="34"/>
  <c r="H12" i="34"/>
  <c r="N12" i="34"/>
  <c r="BJ12" i="34"/>
  <c r="AY12" i="34"/>
  <c r="AN12" i="34"/>
  <c r="AC12" i="34"/>
  <c r="R12" i="34"/>
  <c r="BN12" i="34"/>
  <c r="BC12" i="34"/>
  <c r="AR12" i="34"/>
  <c r="AG12" i="34"/>
  <c r="V12" i="34"/>
  <c r="K12" i="34"/>
  <c r="BG12" i="34"/>
  <c r="AV12" i="34"/>
  <c r="AK12" i="34"/>
  <c r="Z12" i="34"/>
  <c r="O12" i="34"/>
  <c r="BK12" i="34"/>
  <c r="AZ12" i="34"/>
  <c r="AO12" i="34"/>
  <c r="AD12" i="34"/>
  <c r="S12" i="34"/>
  <c r="BO12" i="34"/>
  <c r="BD12" i="34"/>
  <c r="AS12" i="34"/>
  <c r="AH12" i="34"/>
  <c r="W12" i="34"/>
  <c r="L12" i="34"/>
  <c r="BH12" i="34"/>
  <c r="AW12" i="34"/>
  <c r="AL12" i="34"/>
  <c r="AA12" i="34"/>
  <c r="P12" i="34"/>
  <c r="BL12" i="34"/>
  <c r="BA12" i="34"/>
  <c r="AP12" i="34"/>
  <c r="AE12" i="34"/>
  <c r="T12" i="34"/>
  <c r="BP12" i="34"/>
  <c r="BE12" i="34"/>
  <c r="AT12" i="34"/>
  <c r="AI12" i="34"/>
  <c r="X12" i="34"/>
  <c r="M12" i="34"/>
  <c r="BI12" i="34"/>
  <c r="AX12" i="34"/>
  <c r="AM12" i="34"/>
  <c r="AB12" i="34"/>
  <c r="Q12" i="34"/>
  <c r="BM12" i="34"/>
  <c r="D121" i="46"/>
  <c r="E121" i="46" s="1"/>
  <c r="E105" i="46"/>
  <c r="D123" i="46"/>
  <c r="E123" i="46" s="1"/>
  <c r="E107" i="46"/>
  <c r="D63" i="36"/>
  <c r="D52" i="36"/>
  <c r="D62" i="36"/>
  <c r="D26" i="45"/>
  <c r="C24" i="62" s="1"/>
  <c r="E26" i="45"/>
  <c r="E14" i="45"/>
  <c r="B18" i="45"/>
  <c r="D13" i="45" l="1"/>
  <c r="C13" i="62"/>
  <c r="E52" i="36"/>
  <c r="D93" i="34"/>
  <c r="D68" i="36"/>
  <c r="E63" i="36"/>
  <c r="D104" i="34"/>
  <c r="D79" i="36"/>
  <c r="D78" i="36"/>
  <c r="E62" i="36"/>
  <c r="D103" i="34"/>
  <c r="E19" i="45"/>
  <c r="D19" i="45"/>
  <c r="D60" i="45" s="1"/>
  <c r="B11" i="45"/>
  <c r="B59" i="45" s="1"/>
  <c r="E15" i="45"/>
  <c r="C14" i="62" l="1"/>
  <c r="D14" i="45"/>
  <c r="E78" i="36"/>
  <c r="D218" i="33"/>
  <c r="E218" i="33" s="1"/>
  <c r="D168" i="34"/>
  <c r="E68" i="36"/>
  <c r="D158" i="34"/>
  <c r="D208" i="33"/>
  <c r="E208" i="33" s="1"/>
  <c r="E79" i="36"/>
  <c r="D169" i="34"/>
  <c r="D219" i="33"/>
  <c r="E219" i="33" s="1"/>
  <c r="D58" i="36"/>
  <c r="D109" i="34"/>
  <c r="E109" i="34" s="1"/>
  <c r="E93" i="34"/>
  <c r="D56" i="36"/>
  <c r="D119" i="34"/>
  <c r="E119" i="34" s="1"/>
  <c r="E103" i="34"/>
  <c r="D120" i="34"/>
  <c r="E120" i="34" s="1"/>
  <c r="E104" i="34"/>
  <c r="E16" i="45"/>
  <c r="C15" i="62" l="1"/>
  <c r="D15" i="45"/>
  <c r="D185" i="34"/>
  <c r="E185" i="34" s="1"/>
  <c r="E169" i="34"/>
  <c r="E168" i="34"/>
  <c r="D184" i="34"/>
  <c r="E184" i="34" s="1"/>
  <c r="E158" i="34"/>
  <c r="D174" i="34"/>
  <c r="E174" i="34" s="1"/>
  <c r="E56" i="36"/>
  <c r="D97" i="34"/>
  <c r="D72" i="36"/>
  <c r="E58" i="36"/>
  <c r="D99" i="34"/>
  <c r="D74" i="36"/>
  <c r="E17" i="45"/>
  <c r="C16" i="62" l="1"/>
  <c r="D16" i="45"/>
  <c r="E74" i="36"/>
  <c r="D214" i="33"/>
  <c r="E214" i="33" s="1"/>
  <c r="D164" i="34"/>
  <c r="E72" i="36"/>
  <c r="D212" i="33"/>
  <c r="E212" i="33" s="1"/>
  <c r="D162" i="34"/>
  <c r="E97" i="34"/>
  <c r="D113" i="34"/>
  <c r="E113" i="34" s="1"/>
  <c r="D115" i="34"/>
  <c r="E115" i="34" s="1"/>
  <c r="E99" i="34"/>
  <c r="E18" i="45"/>
  <c r="C17" i="62" l="1"/>
  <c r="D17" i="45"/>
  <c r="E164" i="34"/>
  <c r="D180" i="34"/>
  <c r="E180" i="34" s="1"/>
  <c r="D178" i="34"/>
  <c r="E178" i="34" s="1"/>
  <c r="E162" i="34"/>
  <c r="E11" i="45"/>
  <c r="C18" i="62" l="1"/>
  <c r="D18" i="45"/>
  <c r="E18" i="34"/>
  <c r="E19" i="34" s="1"/>
  <c r="E4" i="34"/>
  <c r="E5" i="34" s="1"/>
  <c r="E18" i="33"/>
  <c r="E36" i="33" s="1"/>
  <c r="E4" i="33"/>
  <c r="C19" i="62" l="1"/>
  <c r="D11" i="45"/>
  <c r="D59" i="45" s="1"/>
  <c r="E21" i="34"/>
  <c r="E22" i="34" s="1"/>
  <c r="E23" i="34" s="1"/>
  <c r="E24" i="34" s="1"/>
  <c r="E25" i="34" s="1"/>
  <c r="E26" i="34" s="1"/>
  <c r="E27" i="34" s="1"/>
  <c r="E28" i="34" s="1"/>
  <c r="E29" i="34" s="1"/>
  <c r="E30" i="34" s="1"/>
  <c r="E20" i="34"/>
  <c r="E7" i="34"/>
  <c r="E8" i="34" s="1"/>
  <c r="E9" i="34" s="1"/>
  <c r="E10" i="34" s="1"/>
  <c r="E11" i="34" s="1"/>
  <c r="E12" i="34" s="1"/>
  <c r="E13" i="34" s="1"/>
  <c r="E14" i="34" s="1"/>
  <c r="E15" i="34" s="1"/>
  <c r="E16" i="34" s="1"/>
  <c r="E17" i="34" s="1"/>
  <c r="E6" i="34"/>
  <c r="H77" i="36" l="1"/>
  <c r="H61" i="36"/>
  <c r="H167" i="34"/>
  <c r="H183" i="34"/>
  <c r="E31" i="34"/>
  <c r="E32" i="34" s="1"/>
  <c r="E33" i="34" s="1"/>
  <c r="E34" i="34" s="1"/>
  <c r="E35" i="34" s="1"/>
  <c r="E36" i="34" s="1"/>
  <c r="E37" i="34" s="1"/>
  <c r="F9" i="45" l="1"/>
  <c r="F16" i="45"/>
  <c r="H102" i="34"/>
  <c r="F24" i="45"/>
  <c r="H118" i="34"/>
  <c r="I61" i="36"/>
  <c r="I77" i="36"/>
  <c r="I167" i="34"/>
  <c r="I183" i="34"/>
  <c r="E39" i="34"/>
  <c r="E40" i="34" s="1"/>
  <c r="E41" i="34" s="1"/>
  <c r="E42" i="34" s="1"/>
  <c r="E43" i="34" s="1"/>
  <c r="E44" i="34" s="1"/>
  <c r="E45" i="34" s="1"/>
  <c r="E46" i="34" s="1"/>
  <c r="E47" i="34" s="1"/>
  <c r="E48" i="34" s="1"/>
  <c r="E49" i="34" s="1"/>
  <c r="E50" i="34" s="1"/>
  <c r="E51" i="34" s="1"/>
  <c r="E52" i="34" s="1"/>
  <c r="E53" i="34" s="1"/>
  <c r="E38" i="34"/>
  <c r="G16" i="45" l="1"/>
  <c r="I102" i="34"/>
  <c r="G24" i="45"/>
  <c r="G9" i="45"/>
  <c r="I118" i="34"/>
  <c r="K61" i="36" l="1"/>
  <c r="K77" i="36"/>
  <c r="K167" i="34"/>
  <c r="K183" i="34"/>
  <c r="J77" i="36"/>
  <c r="J61" i="36"/>
  <c r="J167" i="34"/>
  <c r="J183" i="34"/>
  <c r="I24" i="45" l="1"/>
  <c r="J102" i="34"/>
  <c r="H16" i="45"/>
  <c r="H9" i="45"/>
  <c r="J118" i="34"/>
  <c r="K118" i="34"/>
  <c r="I9" i="45"/>
  <c r="I16" i="45"/>
  <c r="H24" i="45"/>
  <c r="K102" i="34"/>
  <c r="L77" i="36"/>
  <c r="L61" i="36"/>
  <c r="L167" i="34"/>
  <c r="L183" i="34"/>
  <c r="J16" i="45" l="1"/>
  <c r="J9" i="45"/>
  <c r="L102" i="34"/>
  <c r="J24" i="45"/>
  <c r="L118" i="34"/>
  <c r="M77" i="36"/>
  <c r="M61" i="36"/>
  <c r="M183" i="34"/>
  <c r="M167" i="34"/>
  <c r="K9" i="45" l="1"/>
  <c r="K24" i="45"/>
  <c r="M102" i="34"/>
  <c r="M118" i="34"/>
  <c r="K16" i="45"/>
  <c r="N77" i="36"/>
  <c r="N61" i="36"/>
  <c r="N183" i="34"/>
  <c r="N167" i="34"/>
  <c r="L16" i="45" l="1"/>
  <c r="L9" i="45"/>
  <c r="N102" i="34"/>
  <c r="L24" i="45"/>
  <c r="N118" i="34"/>
  <c r="O61" i="36"/>
  <c r="O77" i="36"/>
  <c r="O167" i="34"/>
  <c r="O183" i="34"/>
  <c r="M9" i="45" l="1"/>
  <c r="O102" i="34"/>
  <c r="M24" i="45"/>
  <c r="M16" i="45"/>
  <c r="O118" i="34"/>
  <c r="P77" i="36"/>
  <c r="P61" i="36"/>
  <c r="P167" i="34"/>
  <c r="P183" i="34"/>
  <c r="N16" i="45" l="1"/>
  <c r="P102" i="34"/>
  <c r="P118" i="34"/>
  <c r="N24" i="45"/>
  <c r="N9" i="45"/>
  <c r="Q77" i="36"/>
  <c r="Q61" i="36"/>
  <c r="Q167" i="34"/>
  <c r="Q183" i="34"/>
  <c r="O24" i="45" l="1"/>
  <c r="O9" i="45"/>
  <c r="Q118" i="34"/>
  <c r="Q102" i="34"/>
  <c r="O16" i="45"/>
  <c r="R77" i="36"/>
  <c r="R61" i="36"/>
  <c r="R183" i="34"/>
  <c r="R167" i="34"/>
  <c r="R102" i="34" l="1"/>
  <c r="R118" i="34"/>
  <c r="P16" i="45"/>
  <c r="P24" i="45"/>
  <c r="P9" i="45"/>
  <c r="S61" i="36"/>
  <c r="S77" i="36"/>
  <c r="S183" i="34"/>
  <c r="S167" i="34"/>
  <c r="Q24" i="45" l="1"/>
  <c r="Q16" i="45"/>
  <c r="S102" i="34"/>
  <c r="Q9" i="45"/>
  <c r="S118" i="34"/>
  <c r="T77" i="36"/>
  <c r="T61" i="36"/>
  <c r="T183" i="34"/>
  <c r="T167" i="34"/>
  <c r="R9" i="45" l="1"/>
  <c r="T102" i="34"/>
  <c r="R16" i="45"/>
  <c r="T118" i="34"/>
  <c r="R24" i="45"/>
  <c r="U77" i="36"/>
  <c r="U61" i="36"/>
  <c r="U167" i="34"/>
  <c r="U183" i="34"/>
  <c r="U102" i="34" l="1"/>
  <c r="U118" i="34"/>
  <c r="S9" i="45"/>
  <c r="S24" i="45"/>
  <c r="S16" i="45"/>
  <c r="V77" i="36"/>
  <c r="V61" i="36"/>
  <c r="V167" i="34"/>
  <c r="V183" i="34"/>
  <c r="T9" i="45" l="1"/>
  <c r="T24" i="45"/>
  <c r="V118" i="34"/>
  <c r="V102" i="34"/>
  <c r="T16" i="45"/>
  <c r="W77" i="36"/>
  <c r="W61" i="36"/>
  <c r="W167" i="34"/>
  <c r="W183" i="34"/>
  <c r="U24" i="45" l="1"/>
  <c r="W118" i="34"/>
  <c r="U9" i="45"/>
  <c r="U16" i="45"/>
  <c r="W102" i="34"/>
  <c r="X61" i="36"/>
  <c r="X77" i="36"/>
  <c r="X167" i="34"/>
  <c r="X183" i="34"/>
  <c r="X102" i="34" l="1"/>
  <c r="V9" i="45"/>
  <c r="V24" i="45"/>
  <c r="X118" i="34"/>
  <c r="V16" i="45"/>
  <c r="Y61" i="36"/>
  <c r="Y77" i="36"/>
  <c r="Y183" i="34"/>
  <c r="Y167" i="34"/>
  <c r="W9" i="45" l="1"/>
  <c r="Y102" i="34"/>
  <c r="Y118" i="34"/>
  <c r="W24" i="45"/>
  <c r="W16" i="45"/>
  <c r="Z77" i="36"/>
  <c r="Z61" i="36"/>
  <c r="Z167" i="34"/>
  <c r="Z183" i="34"/>
  <c r="Z102" i="34" l="1"/>
  <c r="X24" i="45"/>
  <c r="Z118" i="34"/>
  <c r="X16" i="45"/>
  <c r="X9" i="45"/>
  <c r="AA77" i="36"/>
  <c r="AA61" i="36"/>
  <c r="AA167" i="34"/>
  <c r="AA183" i="34"/>
  <c r="Y9" i="45" l="1"/>
  <c r="Y16" i="45"/>
  <c r="AA102" i="34"/>
  <c r="Y24" i="45"/>
  <c r="AA118" i="34"/>
  <c r="AB77" i="36"/>
  <c r="AB61" i="36"/>
  <c r="AB167" i="34"/>
  <c r="AB183" i="34"/>
  <c r="Z9" i="45" l="1"/>
  <c r="Z24" i="45"/>
  <c r="AB118" i="34"/>
  <c r="AB102" i="34"/>
  <c r="Z16" i="45"/>
  <c r="AC77" i="36"/>
  <c r="AC61" i="36"/>
  <c r="AC167" i="34"/>
  <c r="AC183" i="34"/>
  <c r="AA9" i="45" l="1"/>
  <c r="AC118" i="34"/>
  <c r="AC102" i="34"/>
  <c r="AA24" i="45"/>
  <c r="AA16" i="45"/>
  <c r="AD183" i="34"/>
  <c r="AD167" i="34"/>
  <c r="AD118" i="34" l="1"/>
  <c r="AB24" i="45"/>
  <c r="AB9" i="45"/>
  <c r="D11" i="62" s="1"/>
  <c r="AD102" i="34"/>
  <c r="AB16" i="45"/>
  <c r="D17" i="62" s="1"/>
  <c r="AE167" i="34"/>
  <c r="AE183" i="34"/>
  <c r="AE118" i="34" l="1"/>
  <c r="AC9" i="45"/>
  <c r="E11" i="62" s="1"/>
  <c r="AE102" i="34"/>
  <c r="AC24" i="45"/>
  <c r="AC16" i="45"/>
  <c r="E17" i="62" s="1"/>
  <c r="AF167" i="34"/>
  <c r="AF183" i="34"/>
  <c r="AF118" i="34" l="1"/>
  <c r="AD9" i="45"/>
  <c r="F11" i="62" s="1"/>
  <c r="AD16" i="45"/>
  <c r="F17" i="62" s="1"/>
  <c r="AD24" i="45"/>
  <c r="AF102" i="34"/>
  <c r="AG167" i="34"/>
  <c r="AG183" i="34"/>
  <c r="AE16" i="45" l="1"/>
  <c r="G17" i="62" s="1"/>
  <c r="AE24" i="45"/>
  <c r="AE9" i="45"/>
  <c r="G11" i="62" s="1"/>
  <c r="AG102" i="34"/>
  <c r="AG118" i="34"/>
  <c r="AH183" i="34"/>
  <c r="AH167" i="34"/>
  <c r="AF16" i="45" l="1"/>
  <c r="H17" i="62" s="1"/>
  <c r="AF24" i="45"/>
  <c r="AF9" i="45"/>
  <c r="H11" i="62" s="1"/>
  <c r="AH102" i="34"/>
  <c r="AH118" i="34"/>
  <c r="AI183" i="34"/>
  <c r="AI167" i="34"/>
  <c r="AG24" i="45" l="1"/>
  <c r="AI118" i="34"/>
  <c r="AG9" i="45"/>
  <c r="I11" i="62" s="1"/>
  <c r="AG16" i="45"/>
  <c r="I17" i="62" s="1"/>
  <c r="AI102" i="34"/>
  <c r="AJ77" i="36" l="1"/>
  <c r="AJ167" i="34"/>
  <c r="AJ183" i="34"/>
  <c r="AJ61" i="36"/>
  <c r="AH16" i="45" l="1"/>
  <c r="J17" i="62" s="1"/>
  <c r="AH9" i="45"/>
  <c r="J11" i="62" s="1"/>
  <c r="AH24" i="45"/>
  <c r="AJ102" i="34"/>
  <c r="AJ118" i="34"/>
  <c r="AK77" i="36"/>
  <c r="AK167" i="34"/>
  <c r="AK183" i="34"/>
  <c r="AK61" i="36"/>
  <c r="AK102" i="34" l="1"/>
  <c r="AI24" i="45"/>
  <c r="AI16" i="45"/>
  <c r="K17" i="62" s="1"/>
  <c r="AK118" i="34"/>
  <c r="AI9" i="45"/>
  <c r="K11" i="62" s="1"/>
  <c r="AL77" i="36"/>
  <c r="AL167" i="34"/>
  <c r="AL183" i="34"/>
  <c r="AL61" i="36"/>
  <c r="AL102" i="34" l="1"/>
  <c r="AJ9" i="45"/>
  <c r="L11" i="62" s="1"/>
  <c r="AJ24" i="45"/>
  <c r="AJ16" i="45"/>
  <c r="L17" i="62" s="1"/>
  <c r="AL118" i="34"/>
  <c r="AM77" i="36"/>
  <c r="AM167" i="34"/>
  <c r="AM183" i="34"/>
  <c r="AM61" i="36"/>
  <c r="AM102" i="34" l="1"/>
  <c r="AK24" i="45"/>
  <c r="AK9" i="45"/>
  <c r="M11" i="62" s="1"/>
  <c r="AM118" i="34"/>
  <c r="AK16" i="45"/>
  <c r="M17" i="62" s="1"/>
  <c r="AN77" i="36"/>
  <c r="AN167" i="34"/>
  <c r="AN183" i="34"/>
  <c r="AN61" i="36"/>
  <c r="AL9" i="45" l="1"/>
  <c r="N11" i="62" s="1"/>
  <c r="AN102" i="34"/>
  <c r="AN118" i="34"/>
  <c r="AL24" i="45"/>
  <c r="AL16" i="45"/>
  <c r="N17" i="62" s="1"/>
  <c r="AO77" i="36"/>
  <c r="AO167" i="34"/>
  <c r="AO183" i="34"/>
  <c r="AO61" i="36"/>
  <c r="AM16" i="45" l="1"/>
  <c r="O17" i="62" s="1"/>
  <c r="AO118" i="34"/>
  <c r="AM9" i="45"/>
  <c r="O11" i="62" s="1"/>
  <c r="AO102" i="34"/>
  <c r="AM24" i="45"/>
  <c r="AP77" i="36"/>
  <c r="AP167" i="34"/>
  <c r="AP183" i="34"/>
  <c r="AP61" i="36"/>
  <c r="AP102" i="34" l="1"/>
  <c r="AP118" i="34"/>
  <c r="AN9" i="45"/>
  <c r="P11" i="62" s="1"/>
  <c r="AN24" i="45"/>
  <c r="AN16" i="45"/>
  <c r="P17" i="62" s="1"/>
  <c r="AQ77" i="36"/>
  <c r="AQ167" i="34"/>
  <c r="AQ183" i="34"/>
  <c r="AQ61" i="36"/>
  <c r="AO9" i="45" l="1"/>
  <c r="Q11" i="62" s="1"/>
  <c r="AQ118" i="34"/>
  <c r="AO24" i="45"/>
  <c r="AQ102" i="34"/>
  <c r="AO16" i="45"/>
  <c r="Q17" i="62" s="1"/>
  <c r="AR77" i="36"/>
  <c r="AR167" i="34"/>
  <c r="AR183" i="34"/>
  <c r="AR61" i="36"/>
  <c r="AP16" i="45" l="1"/>
  <c r="R17" i="62" s="1"/>
  <c r="AR118" i="34"/>
  <c r="AP24" i="45"/>
  <c r="AR102" i="34"/>
  <c r="AP9" i="45"/>
  <c r="R11" i="62" s="1"/>
  <c r="AS77" i="36"/>
  <c r="AS167" i="34"/>
  <c r="AS183" i="34"/>
  <c r="AS61" i="36"/>
  <c r="AQ16" i="45" l="1"/>
  <c r="S17" i="62" s="1"/>
  <c r="AS102" i="34"/>
  <c r="AS118" i="34"/>
  <c r="AQ9" i="45"/>
  <c r="S11" i="62" s="1"/>
  <c r="AQ24" i="45"/>
  <c r="AT77" i="36"/>
  <c r="AT167" i="34"/>
  <c r="AT183" i="34"/>
  <c r="AT61" i="36"/>
  <c r="AR16" i="45" l="1"/>
  <c r="T17" i="62" s="1"/>
  <c r="AT102" i="34"/>
  <c r="AT118" i="34"/>
  <c r="AR9" i="45"/>
  <c r="T11" i="62" s="1"/>
  <c r="AR24" i="45"/>
  <c r="AU77" i="36"/>
  <c r="AU167" i="34"/>
  <c r="AU183" i="34"/>
  <c r="AU61" i="36"/>
  <c r="AU102" i="34" l="1"/>
  <c r="AU118" i="34"/>
  <c r="AS16" i="45"/>
  <c r="U17" i="62" s="1"/>
  <c r="AS9" i="45"/>
  <c r="U11" i="62" s="1"/>
  <c r="AS24" i="45"/>
  <c r="AV77" i="36"/>
  <c r="AV167" i="34"/>
  <c r="AV183" i="34"/>
  <c r="AV61" i="36"/>
  <c r="AV102" i="34" l="1"/>
  <c r="AV118" i="34"/>
  <c r="AT16" i="45"/>
  <c r="V17" i="62" s="1"/>
  <c r="AT24" i="45"/>
  <c r="AT9" i="45"/>
  <c r="V11" i="62" s="1"/>
  <c r="AW77" i="36"/>
  <c r="AW167" i="34"/>
  <c r="AW183" i="34"/>
  <c r="AW61" i="36"/>
  <c r="AU9" i="45" l="1"/>
  <c r="W11" i="62" s="1"/>
  <c r="AW118" i="34"/>
  <c r="AW102" i="34"/>
  <c r="AU24" i="45"/>
  <c r="AU16" i="45"/>
  <c r="W17" i="62" s="1"/>
  <c r="AX77" i="36"/>
  <c r="AX167" i="34"/>
  <c r="AX183" i="34"/>
  <c r="AX61" i="36"/>
  <c r="AV9" i="45" l="1"/>
  <c r="X11" i="62" s="1"/>
  <c r="AX102" i="34"/>
  <c r="AX118" i="34"/>
  <c r="AV24" i="45"/>
  <c r="AV16" i="45"/>
  <c r="X17" i="62" s="1"/>
  <c r="AY77" i="36"/>
  <c r="AY167" i="34"/>
  <c r="AY183" i="34"/>
  <c r="AY61" i="36"/>
  <c r="AY102" i="34" l="1"/>
  <c r="AW9" i="45"/>
  <c r="Y11" i="62" s="1"/>
  <c r="AW24" i="45"/>
  <c r="AW16" i="45"/>
  <c r="Y17" i="62" s="1"/>
  <c r="AY118" i="34"/>
  <c r="AZ77" i="36"/>
  <c r="AZ167" i="34"/>
  <c r="AZ183" i="34"/>
  <c r="AZ61" i="36"/>
  <c r="AZ102" i="34" l="1"/>
  <c r="AZ118" i="34"/>
  <c r="AX16" i="45"/>
  <c r="Z17" i="62" s="1"/>
  <c r="AX24" i="45"/>
  <c r="AX9" i="45"/>
  <c r="Z11" i="62" s="1"/>
  <c r="BA77" i="36"/>
  <c r="BA167" i="34"/>
  <c r="BA183" i="34"/>
  <c r="BA61" i="36"/>
  <c r="AY9" i="45" l="1"/>
  <c r="AA11" i="62" s="1"/>
  <c r="BA102" i="34"/>
  <c r="BA118" i="34"/>
  <c r="AY24" i="45"/>
  <c r="AY16" i="45"/>
  <c r="AA17" i="62" s="1"/>
  <c r="BB77" i="36"/>
  <c r="BB167" i="34"/>
  <c r="BB183" i="34"/>
  <c r="BB61" i="36"/>
  <c r="AZ9" i="45" l="1"/>
  <c r="AB11" i="62" s="1"/>
  <c r="BB102" i="34"/>
  <c r="BB118" i="34"/>
  <c r="AZ24" i="45"/>
  <c r="AZ16" i="45"/>
  <c r="AB17" i="62" s="1"/>
  <c r="BC77" i="36"/>
  <c r="BC167" i="34"/>
  <c r="BC183" i="34"/>
  <c r="BC61" i="36"/>
  <c r="BA16" i="45" l="1"/>
  <c r="AC17" i="62" s="1"/>
  <c r="BC118" i="34"/>
  <c r="BA9" i="45"/>
  <c r="AC11" i="62" s="1"/>
  <c r="BA24" i="45"/>
  <c r="BC102" i="34"/>
  <c r="BD77" i="36"/>
  <c r="BD167" i="34"/>
  <c r="BD183" i="34"/>
  <c r="BD61" i="36"/>
  <c r="BB16" i="45" l="1"/>
  <c r="AD17" i="62" s="1"/>
  <c r="BD102" i="34"/>
  <c r="BD118" i="34"/>
  <c r="BB9" i="45"/>
  <c r="AD11" i="62" s="1"/>
  <c r="BB24" i="45"/>
  <c r="BE77" i="36"/>
  <c r="BE167" i="34"/>
  <c r="BE183" i="34"/>
  <c r="BE61" i="36"/>
  <c r="BC9" i="45" l="1"/>
  <c r="AE11" i="62" s="1"/>
  <c r="BE102" i="34"/>
  <c r="BE118" i="34"/>
  <c r="BC24" i="45"/>
  <c r="BC16" i="45"/>
  <c r="AE17" i="62" s="1"/>
  <c r="BF77" i="36"/>
  <c r="BF167" i="34"/>
  <c r="BF183" i="34"/>
  <c r="BF61" i="36"/>
  <c r="BD9" i="45" l="1"/>
  <c r="AF11" i="62" s="1"/>
  <c r="BF102" i="34"/>
  <c r="BF118" i="34"/>
  <c r="BD16" i="45"/>
  <c r="AF17" i="62" s="1"/>
  <c r="BD24" i="45"/>
  <c r="BG77" i="36"/>
  <c r="BG167" i="34"/>
  <c r="BG183" i="34"/>
  <c r="BG61" i="36"/>
  <c r="BE9" i="45" l="1"/>
  <c r="AG11" i="62" s="1"/>
  <c r="BG102" i="34"/>
  <c r="BG118" i="34"/>
  <c r="BE24" i="45"/>
  <c r="BE16" i="45"/>
  <c r="AG17" i="62" s="1"/>
  <c r="BH77" i="36"/>
  <c r="BH183" i="34"/>
  <c r="BH167" i="34"/>
  <c r="BH61" i="36"/>
  <c r="BH118" i="34" l="1"/>
  <c r="BF24" i="45"/>
  <c r="BF9" i="45"/>
  <c r="AH11" i="62" s="1"/>
  <c r="BH102" i="34"/>
  <c r="BF16" i="45"/>
  <c r="AH17" i="62" s="1"/>
  <c r="BI77" i="36"/>
  <c r="BI167" i="34"/>
  <c r="BI183" i="34"/>
  <c r="BI61" i="36"/>
  <c r="BG16" i="45" l="1"/>
  <c r="AI17" i="62" s="1"/>
  <c r="BI102" i="34"/>
  <c r="BI118" i="34"/>
  <c r="BG9" i="45"/>
  <c r="AI11" i="62" s="1"/>
  <c r="BG24" i="45"/>
  <c r="BJ77" i="36"/>
  <c r="BJ167" i="34"/>
  <c r="BJ183" i="34"/>
  <c r="BJ61" i="36"/>
  <c r="BH9" i="45" l="1"/>
  <c r="AJ11" i="62" s="1"/>
  <c r="BH16" i="45"/>
  <c r="AJ17" i="62" s="1"/>
  <c r="BJ102" i="34"/>
  <c r="BJ118" i="34"/>
  <c r="BH24" i="45"/>
  <c r="BK77" i="36"/>
  <c r="BK167" i="34"/>
  <c r="BK183" i="34"/>
  <c r="BK61" i="36"/>
  <c r="BI16" i="45" l="1"/>
  <c r="AK17" i="62" s="1"/>
  <c r="BK102" i="34"/>
  <c r="BK118" i="34"/>
  <c r="BI9" i="45"/>
  <c r="AK11" i="62" s="1"/>
  <c r="BI24" i="45"/>
  <c r="BL77" i="36"/>
  <c r="BL167" i="34"/>
  <c r="BL183" i="34"/>
  <c r="BL61" i="36"/>
  <c r="BL102" i="34" l="1"/>
  <c r="BJ9" i="45"/>
  <c r="AL11" i="62" s="1"/>
  <c r="BL118" i="34"/>
  <c r="BJ24" i="45"/>
  <c r="BJ16" i="45"/>
  <c r="AL17" i="62" s="1"/>
  <c r="BM77" i="36"/>
  <c r="BM167" i="34"/>
  <c r="BM183" i="34"/>
  <c r="BM61" i="36"/>
  <c r="BK16" i="45" l="1"/>
  <c r="AM17" i="62" s="1"/>
  <c r="BM102" i="34"/>
  <c r="BM118" i="34"/>
  <c r="BK9" i="45"/>
  <c r="AM11" i="62" s="1"/>
  <c r="BK24" i="45"/>
  <c r="BN77" i="36"/>
  <c r="BN167" i="34"/>
  <c r="BN183" i="34"/>
  <c r="BN61" i="36"/>
  <c r="BL9" i="45" l="1"/>
  <c r="AN11" i="62" s="1"/>
  <c r="BN102" i="34"/>
  <c r="BN118" i="34"/>
  <c r="BL24" i="45"/>
  <c r="BL16" i="45"/>
  <c r="AN17" i="62" s="1"/>
  <c r="BP77" i="36"/>
  <c r="BP167" i="34"/>
  <c r="BP183" i="34"/>
  <c r="BO77" i="36"/>
  <c r="BO167" i="34"/>
  <c r="BO183" i="34"/>
  <c r="BP61" i="36"/>
  <c r="BO61" i="36"/>
  <c r="BN16" i="45" l="1"/>
  <c r="AP17" i="62" s="1"/>
  <c r="BO102" i="34"/>
  <c r="BM24" i="45"/>
  <c r="BP118" i="34"/>
  <c r="BM9" i="45"/>
  <c r="AO11" i="62" s="1"/>
  <c r="BN9" i="45"/>
  <c r="AP11" i="62" s="1"/>
  <c r="BM16" i="45"/>
  <c r="AO17" i="62" s="1"/>
  <c r="BP102" i="34"/>
  <c r="BO118" i="34"/>
  <c r="BN24" i="45"/>
  <c r="G55" i="33"/>
  <c r="F55" i="33"/>
  <c r="F5" i="33"/>
  <c r="E19" i="33"/>
  <c r="E5" i="33"/>
  <c r="E6" i="33" s="1"/>
  <c r="G5" i="33"/>
  <c r="D20" i="36"/>
  <c r="D78" i="46" s="1"/>
  <c r="D21" i="36"/>
  <c r="D79" i="46" s="1"/>
  <c r="D22" i="36"/>
  <c r="D80" i="46" s="1"/>
  <c r="D19" i="36"/>
  <c r="D77" i="46" s="1"/>
  <c r="C19" i="36"/>
  <c r="A65" i="57" s="1"/>
  <c r="C17" i="36"/>
  <c r="A63" i="57" s="1"/>
  <c r="D16" i="36"/>
  <c r="D74" i="46" s="1"/>
  <c r="C16" i="36"/>
  <c r="A62" i="57" s="1"/>
  <c r="D15" i="36"/>
  <c r="D73" i="46" s="1"/>
  <c r="C15" i="36"/>
  <c r="C13" i="36"/>
  <c r="A59" i="57" s="1"/>
  <c r="D12" i="36"/>
  <c r="C11" i="36"/>
  <c r="A57" i="57" s="1"/>
  <c r="D10" i="36"/>
  <c r="D68" i="46" s="1"/>
  <c r="D9" i="36"/>
  <c r="D67" i="46" s="1"/>
  <c r="D8" i="36"/>
  <c r="F6" i="36"/>
  <c r="F5" i="34"/>
  <c r="D6" i="36"/>
  <c r="D64" i="46" s="1"/>
  <c r="D5" i="36"/>
  <c r="D63" i="46" s="1"/>
  <c r="E5" i="36"/>
  <c r="E6" i="36" s="1"/>
  <c r="C5" i="36"/>
  <c r="G5" i="34"/>
  <c r="D66" i="46" l="1"/>
  <c r="D84" i="46" s="1"/>
  <c r="A54" i="57"/>
  <c r="D70" i="46"/>
  <c r="E70" i="46" s="1"/>
  <c r="A58" i="57"/>
  <c r="A51" i="57"/>
  <c r="A61" i="57"/>
  <c r="D91" i="46"/>
  <c r="E73" i="46"/>
  <c r="D81" i="46"/>
  <c r="E63" i="46"/>
  <c r="E66" i="46"/>
  <c r="D88" i="46"/>
  <c r="D95" i="46"/>
  <c r="E77" i="46"/>
  <c r="D85" i="46"/>
  <c r="E67" i="46"/>
  <c r="D92" i="46"/>
  <c r="E74" i="46"/>
  <c r="D98" i="46"/>
  <c r="E98" i="46" s="1"/>
  <c r="E80" i="46"/>
  <c r="D96" i="46"/>
  <c r="E78" i="46"/>
  <c r="E64" i="46"/>
  <c r="D82" i="46"/>
  <c r="D86" i="46"/>
  <c r="E68" i="46"/>
  <c r="D97" i="46"/>
  <c r="E97" i="46" s="1"/>
  <c r="E79" i="46"/>
  <c r="E20" i="33"/>
  <c r="E38" i="33" s="1"/>
  <c r="E37" i="33"/>
  <c r="G7" i="34"/>
  <c r="G8" i="34" s="1"/>
  <c r="G9" i="34" s="1"/>
  <c r="G10" i="34" s="1"/>
  <c r="G11" i="34" s="1"/>
  <c r="G12" i="34" s="1"/>
  <c r="G13" i="34" s="1"/>
  <c r="G14" i="34" s="1"/>
  <c r="G15" i="34" s="1"/>
  <c r="G16" i="34" s="1"/>
  <c r="G6" i="34"/>
  <c r="F7" i="34"/>
  <c r="F8" i="34" s="1"/>
  <c r="F9" i="34" s="1"/>
  <c r="F10" i="34" s="1"/>
  <c r="F11" i="34" s="1"/>
  <c r="F12" i="34" s="1"/>
  <c r="F13" i="34" s="1"/>
  <c r="F14" i="34" s="1"/>
  <c r="F15" i="34" s="1"/>
  <c r="F16" i="34" s="1"/>
  <c r="F6" i="34"/>
  <c r="C18" i="36"/>
  <c r="A64" i="57" s="1"/>
  <c r="F57" i="33"/>
  <c r="F58" i="33" s="1"/>
  <c r="F59" i="33" s="1"/>
  <c r="F60" i="33" s="1"/>
  <c r="F61" i="33" s="1"/>
  <c r="F62" i="33" s="1"/>
  <c r="F63" i="33" s="1"/>
  <c r="F64" i="33" s="1"/>
  <c r="F65" i="33" s="1"/>
  <c r="F66" i="33" s="1"/>
  <c r="F67" i="33" s="1"/>
  <c r="F68" i="33" s="1"/>
  <c r="F69" i="33" s="1"/>
  <c r="F70" i="33" s="1"/>
  <c r="F71" i="33" s="1"/>
  <c r="F56" i="33"/>
  <c r="G57" i="33"/>
  <c r="G58" i="33" s="1"/>
  <c r="G59" i="33" s="1"/>
  <c r="G60" i="33" s="1"/>
  <c r="G61" i="33" s="1"/>
  <c r="G62" i="33" s="1"/>
  <c r="G63" i="33" s="1"/>
  <c r="G64" i="33" s="1"/>
  <c r="G65" i="33" s="1"/>
  <c r="G66" i="33" s="1"/>
  <c r="G67" i="33" s="1"/>
  <c r="G68" i="33" s="1"/>
  <c r="G69" i="33" s="1"/>
  <c r="G70" i="33" s="1"/>
  <c r="G71" i="33" s="1"/>
  <c r="G56" i="33"/>
  <c r="G7" i="33"/>
  <c r="G8" i="33" s="1"/>
  <c r="G9" i="33" s="1"/>
  <c r="G10" i="33" s="1"/>
  <c r="G11" i="33" s="1"/>
  <c r="G12" i="33" s="1"/>
  <c r="G13" i="33" s="1"/>
  <c r="G14" i="33" s="1"/>
  <c r="G15" i="33" s="1"/>
  <c r="G16" i="33" s="1"/>
  <c r="G17" i="33" s="1"/>
  <c r="G6" i="33"/>
  <c r="F7" i="33"/>
  <c r="F8" i="33" s="1"/>
  <c r="F9" i="33" s="1"/>
  <c r="F10" i="33" s="1"/>
  <c r="F11" i="33" s="1"/>
  <c r="F12" i="33" s="1"/>
  <c r="F13" i="33" s="1"/>
  <c r="F14" i="33" s="1"/>
  <c r="F15" i="33" s="1"/>
  <c r="F16" i="33" s="1"/>
  <c r="F17" i="33" s="1"/>
  <c r="F18" i="33" s="1"/>
  <c r="F19" i="33" s="1"/>
  <c r="F6" i="33"/>
  <c r="E8" i="36"/>
  <c r="E9" i="36" s="1"/>
  <c r="E10" i="36" s="1"/>
  <c r="E11" i="36" s="1"/>
  <c r="E12" i="36" s="1"/>
  <c r="E13" i="36" s="1"/>
  <c r="E14" i="36" s="1"/>
  <c r="E15" i="36" s="1"/>
  <c r="E16" i="36" s="1"/>
  <c r="E17" i="36" s="1"/>
  <c r="E18" i="36" s="1"/>
  <c r="E19" i="36" s="1"/>
  <c r="E20" i="36" s="1"/>
  <c r="E21" i="36" s="1"/>
  <c r="E22" i="36" s="1"/>
  <c r="E7" i="36"/>
  <c r="F8" i="36"/>
  <c r="F9" i="36" s="1"/>
  <c r="F10" i="36" s="1"/>
  <c r="F11" i="36" s="1"/>
  <c r="F12" i="36" s="1"/>
  <c r="F13" i="36" s="1"/>
  <c r="F14" i="36" s="1"/>
  <c r="F15" i="36" s="1"/>
  <c r="F16" i="36" s="1"/>
  <c r="F17" i="36" s="1"/>
  <c r="F18" i="36" s="1"/>
  <c r="F19" i="36" s="1"/>
  <c r="F20" i="36" s="1"/>
  <c r="F21" i="36" s="1"/>
  <c r="F22" i="36" s="1"/>
  <c r="F7" i="36"/>
  <c r="C14" i="36"/>
  <c r="E21" i="33"/>
  <c r="E39" i="33" s="1"/>
  <c r="E7" i="33"/>
  <c r="D18" i="33"/>
  <c r="D54" i="33"/>
  <c r="D4" i="33"/>
  <c r="C24" i="33"/>
  <c r="C60" i="33"/>
  <c r="C10" i="33"/>
  <c r="D16" i="33"/>
  <c r="D30" i="33"/>
  <c r="D66" i="33"/>
  <c r="D33" i="33"/>
  <c r="D69" i="33"/>
  <c r="D55" i="33"/>
  <c r="D19" i="33"/>
  <c r="D5" i="33"/>
  <c r="D57" i="33"/>
  <c r="D7" i="33"/>
  <c r="D21" i="33"/>
  <c r="D10" i="33"/>
  <c r="D24" i="33"/>
  <c r="D60" i="33"/>
  <c r="D26" i="33"/>
  <c r="D62" i="33"/>
  <c r="D12" i="33"/>
  <c r="C15" i="33"/>
  <c r="C29" i="33"/>
  <c r="C65" i="33"/>
  <c r="D68" i="33"/>
  <c r="D32" i="33"/>
  <c r="D28" i="33"/>
  <c r="D64" i="33"/>
  <c r="D14" i="33"/>
  <c r="C6" i="36"/>
  <c r="A52" i="57" s="1"/>
  <c r="C54" i="33"/>
  <c r="C4" i="33"/>
  <c r="C18" i="33"/>
  <c r="D71" i="33"/>
  <c r="D35" i="33"/>
  <c r="C9" i="36"/>
  <c r="A55" i="57" s="1"/>
  <c r="C57" i="33"/>
  <c r="C21" i="33"/>
  <c r="C7" i="33"/>
  <c r="C12" i="33"/>
  <c r="C62" i="33"/>
  <c r="C26" i="33"/>
  <c r="D58" i="33"/>
  <c r="D8" i="33"/>
  <c r="D22" i="33"/>
  <c r="D29" i="33"/>
  <c r="D65" i="33"/>
  <c r="D15" i="33"/>
  <c r="C68" i="33"/>
  <c r="C32" i="33"/>
  <c r="D23" i="33"/>
  <c r="D59" i="33"/>
  <c r="D9" i="33"/>
  <c r="D14" i="36"/>
  <c r="D72" i="46" s="1"/>
  <c r="D61" i="33"/>
  <c r="D11" i="33"/>
  <c r="D25" i="33"/>
  <c r="C64" i="33"/>
  <c r="C14" i="33"/>
  <c r="C28" i="33"/>
  <c r="C30" i="33"/>
  <c r="C66" i="33"/>
  <c r="C16" i="33"/>
  <c r="D31" i="33"/>
  <c r="D67" i="33"/>
  <c r="D17" i="33"/>
  <c r="C20" i="36"/>
  <c r="A66" i="57" s="1"/>
  <c r="D34" i="33"/>
  <c r="D70" i="33"/>
  <c r="A60" i="57" l="1"/>
  <c r="D103" i="46"/>
  <c r="E85" i="46"/>
  <c r="D106" i="46"/>
  <c r="E88" i="46"/>
  <c r="E81" i="46"/>
  <c r="D99" i="46"/>
  <c r="E82" i="46"/>
  <c r="D100" i="46"/>
  <c r="D90" i="46"/>
  <c r="E72" i="46"/>
  <c r="D104" i="46"/>
  <c r="E86" i="46"/>
  <c r="D114" i="46"/>
  <c r="E96" i="46"/>
  <c r="D110" i="46"/>
  <c r="E92" i="46"/>
  <c r="D113" i="46"/>
  <c r="E95" i="46"/>
  <c r="E84" i="46"/>
  <c r="D102" i="46"/>
  <c r="D109" i="46"/>
  <c r="E91" i="46"/>
  <c r="D11" i="34"/>
  <c r="D41" i="34"/>
  <c r="D15" i="34"/>
  <c r="D8" i="34"/>
  <c r="C12" i="34"/>
  <c r="C4" i="34"/>
  <c r="D46" i="34"/>
  <c r="C47" i="34"/>
  <c r="D44" i="34"/>
  <c r="D10" i="34"/>
  <c r="D5" i="34"/>
  <c r="C10" i="34"/>
  <c r="D36" i="34"/>
  <c r="C16" i="34"/>
  <c r="C14" i="34"/>
  <c r="D43" i="34"/>
  <c r="D47" i="34"/>
  <c r="D40" i="34"/>
  <c r="C7" i="34"/>
  <c r="C36" i="34"/>
  <c r="D48" i="34"/>
  <c r="C42" i="34"/>
  <c r="D17" i="34"/>
  <c r="C48" i="34"/>
  <c r="C46" i="34"/>
  <c r="D53" i="34"/>
  <c r="C15" i="34"/>
  <c r="D42" i="34"/>
  <c r="D7" i="34"/>
  <c r="D37" i="34"/>
  <c r="D52" i="34"/>
  <c r="D49" i="34"/>
  <c r="D9" i="34"/>
  <c r="C50" i="34"/>
  <c r="C44" i="34"/>
  <c r="C39" i="34"/>
  <c r="D14" i="34"/>
  <c r="D50" i="34"/>
  <c r="D12" i="34"/>
  <c r="D39" i="34"/>
  <c r="D51" i="34"/>
  <c r="D16" i="34"/>
  <c r="D4" i="34"/>
  <c r="D34" i="34"/>
  <c r="D52" i="33"/>
  <c r="D31" i="34"/>
  <c r="D49" i="33"/>
  <c r="C28" i="34"/>
  <c r="C46" i="33"/>
  <c r="D33" i="34"/>
  <c r="D51" i="33"/>
  <c r="D23" i="34"/>
  <c r="D41" i="33"/>
  <c r="D35" i="34"/>
  <c r="D53" i="33"/>
  <c r="D28" i="34"/>
  <c r="D46" i="33"/>
  <c r="C29" i="34"/>
  <c r="C47" i="33"/>
  <c r="D26" i="34"/>
  <c r="D44" i="33"/>
  <c r="D21" i="34"/>
  <c r="D39" i="33"/>
  <c r="D19" i="34"/>
  <c r="D37" i="33"/>
  <c r="D18" i="34"/>
  <c r="D36" i="33"/>
  <c r="C32" i="34"/>
  <c r="C50" i="33"/>
  <c r="D29" i="34"/>
  <c r="D47" i="33"/>
  <c r="C26" i="34"/>
  <c r="C44" i="33"/>
  <c r="C21" i="34"/>
  <c r="C39" i="33"/>
  <c r="D32" i="34"/>
  <c r="D50" i="33"/>
  <c r="D30" i="34"/>
  <c r="D48" i="33"/>
  <c r="C24" i="34"/>
  <c r="C42" i="33"/>
  <c r="C30" i="34"/>
  <c r="C48" i="33"/>
  <c r="D25" i="34"/>
  <c r="D43" i="33"/>
  <c r="D22" i="34"/>
  <c r="D40" i="33"/>
  <c r="C18" i="34"/>
  <c r="C36" i="33"/>
  <c r="D24" i="34"/>
  <c r="D42" i="33"/>
  <c r="F17" i="34"/>
  <c r="F18" i="34" s="1"/>
  <c r="F19" i="34" s="1"/>
  <c r="G17" i="34"/>
  <c r="G18" i="34" s="1"/>
  <c r="G19" i="34" s="1"/>
  <c r="F21" i="33"/>
  <c r="F22" i="33" s="1"/>
  <c r="F23" i="33" s="1"/>
  <c r="F24" i="33" s="1"/>
  <c r="F25" i="33" s="1"/>
  <c r="F26" i="33" s="1"/>
  <c r="F27" i="33" s="1"/>
  <c r="F28" i="33" s="1"/>
  <c r="F29" i="33" s="1"/>
  <c r="F30" i="33" s="1"/>
  <c r="F31" i="33" s="1"/>
  <c r="F32" i="33" s="1"/>
  <c r="F33" i="33" s="1"/>
  <c r="F34" i="33" s="1"/>
  <c r="F35" i="33" s="1"/>
  <c r="F20" i="33"/>
  <c r="C10" i="36"/>
  <c r="A56" i="57" s="1"/>
  <c r="G37" i="34"/>
  <c r="E22" i="33"/>
  <c r="E40" i="33" s="1"/>
  <c r="E8" i="33"/>
  <c r="C61" i="33"/>
  <c r="C11" i="33"/>
  <c r="C25" i="33"/>
  <c r="C69" i="33"/>
  <c r="C33" i="33"/>
  <c r="C21" i="36"/>
  <c r="A67" i="57" s="1"/>
  <c r="C19" i="33"/>
  <c r="C55" i="33"/>
  <c r="C5" i="33"/>
  <c r="C58" i="33"/>
  <c r="C8" i="33"/>
  <c r="C22" i="33"/>
  <c r="D63" i="33"/>
  <c r="D13" i="33"/>
  <c r="D27" i="33"/>
  <c r="E100" i="46" l="1"/>
  <c r="D116" i="46"/>
  <c r="E116" i="46" s="1"/>
  <c r="D126" i="46"/>
  <c r="E126" i="46" s="1"/>
  <c r="E110" i="46"/>
  <c r="D120" i="46"/>
  <c r="E120" i="46" s="1"/>
  <c r="E104" i="46"/>
  <c r="D122" i="46"/>
  <c r="E122" i="46" s="1"/>
  <c r="E106" i="46"/>
  <c r="D118" i="46"/>
  <c r="E118" i="46" s="1"/>
  <c r="E102" i="46"/>
  <c r="D115" i="46"/>
  <c r="E115" i="46" s="1"/>
  <c r="E99" i="46"/>
  <c r="D125" i="46"/>
  <c r="E125" i="46" s="1"/>
  <c r="E109" i="46"/>
  <c r="D129" i="46"/>
  <c r="E129" i="46" s="1"/>
  <c r="E113" i="46"/>
  <c r="D130" i="46"/>
  <c r="E130" i="46" s="1"/>
  <c r="E114" i="46"/>
  <c r="D108" i="46"/>
  <c r="E90" i="46"/>
  <c r="D119" i="46"/>
  <c r="E119" i="46" s="1"/>
  <c r="E103" i="46"/>
  <c r="C8" i="34"/>
  <c r="C40" i="34"/>
  <c r="C11" i="34"/>
  <c r="D13" i="34"/>
  <c r="D45" i="34"/>
  <c r="C5" i="34"/>
  <c r="C43" i="34"/>
  <c r="C37" i="34"/>
  <c r="C51" i="34"/>
  <c r="C23" i="33"/>
  <c r="C41" i="33" s="1"/>
  <c r="C22" i="34"/>
  <c r="C40" i="33"/>
  <c r="C33" i="34"/>
  <c r="C51" i="33"/>
  <c r="D27" i="34"/>
  <c r="D45" i="33"/>
  <c r="C19" i="34"/>
  <c r="C37" i="33"/>
  <c r="C25" i="34"/>
  <c r="C43" i="33"/>
  <c r="G39" i="34"/>
  <c r="G40" i="34" s="1"/>
  <c r="G41" i="34" s="1"/>
  <c r="G42" i="34" s="1"/>
  <c r="G43" i="34" s="1"/>
  <c r="G44" i="34" s="1"/>
  <c r="G45" i="34" s="1"/>
  <c r="G46" i="34" s="1"/>
  <c r="G47" i="34" s="1"/>
  <c r="G48" i="34" s="1"/>
  <c r="G49" i="34" s="1"/>
  <c r="G50" i="34" s="1"/>
  <c r="G51" i="34" s="1"/>
  <c r="G52" i="34" s="1"/>
  <c r="G53" i="34" s="1"/>
  <c r="G38" i="34"/>
  <c r="G21" i="34"/>
  <c r="G22" i="34" s="1"/>
  <c r="G23" i="34" s="1"/>
  <c r="G24" i="34" s="1"/>
  <c r="G25" i="34" s="1"/>
  <c r="G26" i="34" s="1"/>
  <c r="G27" i="34" s="1"/>
  <c r="G28" i="34" s="1"/>
  <c r="G29" i="34" s="1"/>
  <c r="G30" i="34" s="1"/>
  <c r="G31" i="34" s="1"/>
  <c r="G32" i="34" s="1"/>
  <c r="G33" i="34" s="1"/>
  <c r="G34" i="34" s="1"/>
  <c r="G35" i="34" s="1"/>
  <c r="G20" i="34"/>
  <c r="F21" i="34"/>
  <c r="F22" i="34" s="1"/>
  <c r="F23" i="34" s="1"/>
  <c r="F24" i="34" s="1"/>
  <c r="F25" i="34" s="1"/>
  <c r="F26" i="34" s="1"/>
  <c r="F27" i="34" s="1"/>
  <c r="F28" i="34" s="1"/>
  <c r="F29" i="34" s="1"/>
  <c r="F30" i="34" s="1"/>
  <c r="F31" i="34" s="1"/>
  <c r="F32" i="34" s="1"/>
  <c r="F33" i="34" s="1"/>
  <c r="F34" i="34" s="1"/>
  <c r="F35" i="34" s="1"/>
  <c r="F20" i="34"/>
  <c r="C9" i="33"/>
  <c r="C59" i="33"/>
  <c r="E23" i="33"/>
  <c r="E41" i="33" s="1"/>
  <c r="E9" i="33"/>
  <c r="C63" i="33"/>
  <c r="C27" i="33"/>
  <c r="C13" i="33"/>
  <c r="C67" i="33"/>
  <c r="C17" i="33"/>
  <c r="C31" i="33"/>
  <c r="C22" i="36"/>
  <c r="A68" i="57" s="1"/>
  <c r="C34" i="33"/>
  <c r="C70" i="33"/>
  <c r="E108" i="46" l="1"/>
  <c r="D124" i="46"/>
  <c r="E124" i="46" s="1"/>
  <c r="C52" i="34"/>
  <c r="C9" i="34"/>
  <c r="C49" i="34"/>
  <c r="C13" i="34"/>
  <c r="C23" i="34"/>
  <c r="C45" i="34"/>
  <c r="C41" i="34"/>
  <c r="C17" i="34"/>
  <c r="C31" i="34"/>
  <c r="C49" i="33"/>
  <c r="C27" i="34"/>
  <c r="C45" i="33"/>
  <c r="C34" i="34"/>
  <c r="C52" i="33"/>
  <c r="E24" i="33"/>
  <c r="E10" i="33"/>
  <c r="E11" i="33" s="1"/>
  <c r="E12" i="33" s="1"/>
  <c r="E13" i="33" s="1"/>
  <c r="E14" i="33" s="1"/>
  <c r="E15" i="33" s="1"/>
  <c r="E16" i="33" s="1"/>
  <c r="E17" i="33" s="1"/>
  <c r="C71" i="33"/>
  <c r="C35" i="33"/>
  <c r="C53" i="34" l="1"/>
  <c r="D57" i="36"/>
  <c r="D61" i="36"/>
  <c r="D54" i="36"/>
  <c r="D55" i="36"/>
  <c r="D64" i="36"/>
  <c r="D50" i="36"/>
  <c r="D65" i="36"/>
  <c r="D53" i="36"/>
  <c r="D51" i="36"/>
  <c r="D60" i="36"/>
  <c r="E25" i="33"/>
  <c r="E42" i="33"/>
  <c r="C35" i="34"/>
  <c r="C53" i="33"/>
  <c r="E51" i="36" l="1"/>
  <c r="D67" i="36"/>
  <c r="D92" i="34"/>
  <c r="D94" i="34"/>
  <c r="D69" i="36"/>
  <c r="E53" i="36"/>
  <c r="E61" i="36"/>
  <c r="D102" i="34"/>
  <c r="D77" i="36"/>
  <c r="E50" i="36"/>
  <c r="D66" i="36"/>
  <c r="D91" i="34"/>
  <c r="E60" i="36"/>
  <c r="D101" i="34"/>
  <c r="D76" i="36"/>
  <c r="D59" i="36"/>
  <c r="E65" i="36"/>
  <c r="D106" i="34"/>
  <c r="D81" i="36"/>
  <c r="E64" i="36"/>
  <c r="D80" i="36"/>
  <c r="D105" i="34"/>
  <c r="D95" i="34"/>
  <c r="E54" i="36"/>
  <c r="D70" i="36"/>
  <c r="E57" i="36"/>
  <c r="D98" i="34"/>
  <c r="D73" i="36"/>
  <c r="E55" i="36"/>
  <c r="D96" i="34"/>
  <c r="D71" i="36"/>
  <c r="E26" i="33"/>
  <c r="E43" i="33"/>
  <c r="E71" i="36" l="1"/>
  <c r="D161" i="34"/>
  <c r="D211" i="33"/>
  <c r="E211" i="33" s="1"/>
  <c r="E76" i="36"/>
  <c r="D166" i="34"/>
  <c r="D216" i="33"/>
  <c r="E216" i="33" s="1"/>
  <c r="E66" i="36"/>
  <c r="D206" i="33"/>
  <c r="E206" i="33" s="1"/>
  <c r="D156" i="34"/>
  <c r="H71" i="36"/>
  <c r="H55" i="36"/>
  <c r="H177" i="34"/>
  <c r="F54" i="45" s="1"/>
  <c r="H161" i="34"/>
  <c r="F53" i="45" s="1"/>
  <c r="E70" i="36"/>
  <c r="D210" i="33"/>
  <c r="E210" i="33" s="1"/>
  <c r="D160" i="34"/>
  <c r="E80" i="36"/>
  <c r="D170" i="34"/>
  <c r="D220" i="33"/>
  <c r="E220" i="33" s="1"/>
  <c r="E67" i="36"/>
  <c r="D157" i="34"/>
  <c r="D207" i="33"/>
  <c r="E207" i="33" s="1"/>
  <c r="E81" i="36"/>
  <c r="D171" i="34"/>
  <c r="D221" i="33"/>
  <c r="E221" i="33" s="1"/>
  <c r="E73" i="36"/>
  <c r="D163" i="34"/>
  <c r="D213" i="33"/>
  <c r="E213" i="33" s="1"/>
  <c r="E77" i="36"/>
  <c r="D167" i="34"/>
  <c r="D217" i="33"/>
  <c r="E217" i="33" s="1"/>
  <c r="E69" i="36"/>
  <c r="D159" i="34"/>
  <c r="D209" i="33"/>
  <c r="E209" i="33" s="1"/>
  <c r="D111" i="34"/>
  <c r="E111" i="34" s="1"/>
  <c r="E95" i="34"/>
  <c r="D107" i="34"/>
  <c r="E107" i="34" s="1"/>
  <c r="E91" i="34"/>
  <c r="D118" i="34"/>
  <c r="E118" i="34" s="1"/>
  <c r="E102" i="34"/>
  <c r="E94" i="34"/>
  <c r="D110" i="34"/>
  <c r="E110" i="34" s="1"/>
  <c r="D112" i="34"/>
  <c r="E112" i="34" s="1"/>
  <c r="E96" i="34"/>
  <c r="E105" i="34"/>
  <c r="D121" i="34"/>
  <c r="E121" i="34" s="1"/>
  <c r="D122" i="34"/>
  <c r="E122" i="34" s="1"/>
  <c r="E106" i="34"/>
  <c r="D108" i="34"/>
  <c r="E108" i="34" s="1"/>
  <c r="E92" i="34"/>
  <c r="D75" i="36"/>
  <c r="E59" i="36"/>
  <c r="D100" i="34"/>
  <c r="D114" i="34"/>
  <c r="E114" i="34" s="1"/>
  <c r="E98" i="34"/>
  <c r="E101" i="34"/>
  <c r="D117" i="34"/>
  <c r="E117" i="34" s="1"/>
  <c r="E27" i="33"/>
  <c r="E44" i="33"/>
  <c r="F17" i="45" l="1"/>
  <c r="H14" i="45"/>
  <c r="G22" i="45"/>
  <c r="F13" i="45"/>
  <c r="F23" i="45"/>
  <c r="F25" i="45"/>
  <c r="H22" i="45"/>
  <c r="F14" i="45"/>
  <c r="F8" i="45"/>
  <c r="F21" i="45"/>
  <c r="H7" i="45"/>
  <c r="F22" i="45"/>
  <c r="G7" i="45"/>
  <c r="F10" i="45"/>
  <c r="F7" i="45"/>
  <c r="G14" i="45"/>
  <c r="F15" i="45"/>
  <c r="F6" i="45"/>
  <c r="F52" i="45"/>
  <c r="F67" i="45" s="1"/>
  <c r="F18" i="45"/>
  <c r="F26" i="45"/>
  <c r="E171" i="34"/>
  <c r="D187" i="34"/>
  <c r="E187" i="34" s="1"/>
  <c r="D176" i="34"/>
  <c r="E176" i="34" s="1"/>
  <c r="E160" i="34"/>
  <c r="E75" i="36"/>
  <c r="D165" i="34"/>
  <c r="D215" i="33"/>
  <c r="E215" i="33" s="1"/>
  <c r="D179" i="34"/>
  <c r="E179" i="34" s="1"/>
  <c r="E163" i="34"/>
  <c r="H96" i="34"/>
  <c r="F45" i="45" s="1"/>
  <c r="H137" i="34"/>
  <c r="H141" i="34"/>
  <c r="I71" i="36"/>
  <c r="I55" i="36"/>
  <c r="I161" i="34"/>
  <c r="G53" i="45" s="1"/>
  <c r="I177" i="34"/>
  <c r="G54" i="45" s="1"/>
  <c r="D183" i="34"/>
  <c r="E183" i="34" s="1"/>
  <c r="E167" i="34"/>
  <c r="E170" i="34"/>
  <c r="D186" i="34"/>
  <c r="E186" i="34" s="1"/>
  <c r="H112" i="34"/>
  <c r="F47" i="45" s="1"/>
  <c r="H138" i="34"/>
  <c r="H142" i="34"/>
  <c r="D177" i="34"/>
  <c r="E177" i="34" s="1"/>
  <c r="E161" i="34"/>
  <c r="D175" i="34"/>
  <c r="E175" i="34" s="1"/>
  <c r="E159" i="34"/>
  <c r="E157" i="34"/>
  <c r="D173" i="34"/>
  <c r="E173" i="34" s="1"/>
  <c r="D172" i="34"/>
  <c r="E172" i="34" s="1"/>
  <c r="E156" i="34"/>
  <c r="E166" i="34"/>
  <c r="D182" i="34"/>
  <c r="E182" i="34" s="1"/>
  <c r="D116" i="34"/>
  <c r="E116" i="34" s="1"/>
  <c r="E100" i="34"/>
  <c r="E28" i="33"/>
  <c r="E45" i="33"/>
  <c r="F51" i="45" l="1"/>
  <c r="G25" i="45"/>
  <c r="I22" i="45"/>
  <c r="G8" i="45"/>
  <c r="G13" i="45"/>
  <c r="G18" i="45"/>
  <c r="G17" i="45"/>
  <c r="G6" i="45"/>
  <c r="I14" i="45"/>
  <c r="G15" i="45"/>
  <c r="G23" i="45"/>
  <c r="G26" i="45"/>
  <c r="G10" i="45"/>
  <c r="G21" i="45"/>
  <c r="I7" i="45"/>
  <c r="G52" i="45"/>
  <c r="G67" i="45" s="1"/>
  <c r="F50" i="45"/>
  <c r="F43" i="45"/>
  <c r="F65" i="45" s="1"/>
  <c r="I96" i="34"/>
  <c r="G45" i="45" s="1"/>
  <c r="I141" i="34"/>
  <c r="I137" i="34"/>
  <c r="D181" i="34"/>
  <c r="E181" i="34" s="1"/>
  <c r="E165" i="34"/>
  <c r="J71" i="36"/>
  <c r="J55" i="36"/>
  <c r="J161" i="34"/>
  <c r="H53" i="45" s="1"/>
  <c r="J177" i="34"/>
  <c r="H54" i="45" s="1"/>
  <c r="I112" i="34"/>
  <c r="G47" i="45" s="1"/>
  <c r="I138" i="34"/>
  <c r="I142" i="34"/>
  <c r="E29" i="33"/>
  <c r="E46" i="33"/>
  <c r="G51" i="45" l="1"/>
  <c r="H26" i="45"/>
  <c r="H17" i="45"/>
  <c r="H15" i="45"/>
  <c r="H13" i="45"/>
  <c r="H18" i="45"/>
  <c r="H6" i="45"/>
  <c r="H10" i="45"/>
  <c r="H8" i="45"/>
  <c r="J14" i="45"/>
  <c r="H21" i="45"/>
  <c r="J22" i="45"/>
  <c r="H25" i="45"/>
  <c r="H23" i="45"/>
  <c r="J7" i="45"/>
  <c r="F49" i="45"/>
  <c r="F66" i="45" s="1"/>
  <c r="F72" i="45" s="1"/>
  <c r="G43" i="45"/>
  <c r="G65" i="45" s="1"/>
  <c r="H52" i="45"/>
  <c r="H67" i="45" s="1"/>
  <c r="G50" i="45"/>
  <c r="J96" i="34"/>
  <c r="H45" i="45" s="1"/>
  <c r="J137" i="34"/>
  <c r="J141" i="34"/>
  <c r="J112" i="34"/>
  <c r="H47" i="45" s="1"/>
  <c r="J142" i="34"/>
  <c r="J138" i="34"/>
  <c r="K71" i="36"/>
  <c r="K55" i="36"/>
  <c r="K177" i="34"/>
  <c r="I54" i="45" s="1"/>
  <c r="K161" i="34"/>
  <c r="I53" i="45" s="1"/>
  <c r="E30" i="33"/>
  <c r="E47" i="33"/>
  <c r="H51" i="45" l="1"/>
  <c r="H43" i="45"/>
  <c r="H65" i="45" s="1"/>
  <c r="G49" i="45"/>
  <c r="G66" i="45" s="1"/>
  <c r="G72" i="45" s="1"/>
  <c r="I26" i="45"/>
  <c r="I21" i="45"/>
  <c r="I6" i="45"/>
  <c r="K7" i="45"/>
  <c r="I8" i="45"/>
  <c r="I10" i="45"/>
  <c r="I23" i="45"/>
  <c r="I25" i="45"/>
  <c r="I15" i="45"/>
  <c r="I17" i="45"/>
  <c r="K22" i="45"/>
  <c r="I13" i="45"/>
  <c r="K14" i="45"/>
  <c r="I18" i="45"/>
  <c r="I52" i="45"/>
  <c r="I67" i="45" s="1"/>
  <c r="H50" i="45"/>
  <c r="L71" i="36"/>
  <c r="L55" i="36"/>
  <c r="L177" i="34"/>
  <c r="J54" i="45" s="1"/>
  <c r="L161" i="34"/>
  <c r="J53" i="45" s="1"/>
  <c r="K112" i="34"/>
  <c r="I47" i="45" s="1"/>
  <c r="K142" i="34"/>
  <c r="K138" i="34"/>
  <c r="K96" i="34"/>
  <c r="I45" i="45" s="1"/>
  <c r="K141" i="34"/>
  <c r="K137" i="34"/>
  <c r="E31" i="33"/>
  <c r="E48" i="33"/>
  <c r="I51" i="45" l="1"/>
  <c r="J15" i="45"/>
  <c r="J13" i="45"/>
  <c r="L22" i="45"/>
  <c r="J8" i="45"/>
  <c r="I50" i="45"/>
  <c r="J26" i="45"/>
  <c r="J6" i="45"/>
  <c r="J10" i="45"/>
  <c r="J23" i="45"/>
  <c r="L7" i="45"/>
  <c r="J17" i="45"/>
  <c r="J18" i="45"/>
  <c r="J25" i="45"/>
  <c r="L14" i="45"/>
  <c r="J21" i="45"/>
  <c r="H49" i="45"/>
  <c r="H66" i="45" s="1"/>
  <c r="H72" i="45" s="1"/>
  <c r="I43" i="45"/>
  <c r="I65" i="45" s="1"/>
  <c r="J52" i="45"/>
  <c r="J67" i="45" s="1"/>
  <c r="M71" i="36"/>
  <c r="M55" i="36"/>
  <c r="M177" i="34"/>
  <c r="K54" i="45" s="1"/>
  <c r="M161" i="34"/>
  <c r="K53" i="45" s="1"/>
  <c r="L96" i="34"/>
  <c r="J45" i="45" s="1"/>
  <c r="L137" i="34"/>
  <c r="L141" i="34"/>
  <c r="L112" i="34"/>
  <c r="J47" i="45" s="1"/>
  <c r="L138" i="34"/>
  <c r="L142" i="34"/>
  <c r="E32" i="33"/>
  <c r="E49" i="33"/>
  <c r="J51" i="45" l="1"/>
  <c r="I49" i="45"/>
  <c r="I66" i="45" s="1"/>
  <c r="I72" i="45" s="1"/>
  <c r="K10" i="45"/>
  <c r="K26" i="45"/>
  <c r="K21" i="45"/>
  <c r="K8" i="45"/>
  <c r="M7" i="45"/>
  <c r="K6" i="45"/>
  <c r="M14" i="45"/>
  <c r="K17" i="45"/>
  <c r="K15" i="45"/>
  <c r="M22" i="45"/>
  <c r="K25" i="45"/>
  <c r="K23" i="45"/>
  <c r="K18" i="45"/>
  <c r="K13" i="45"/>
  <c r="J50" i="45"/>
  <c r="J43" i="45"/>
  <c r="J65" i="45" s="1"/>
  <c r="K52" i="45"/>
  <c r="K67" i="45" s="1"/>
  <c r="M96" i="34"/>
  <c r="K45" i="45" s="1"/>
  <c r="M137" i="34"/>
  <c r="M141" i="34"/>
  <c r="N55" i="36"/>
  <c r="N71" i="36"/>
  <c r="N177" i="34"/>
  <c r="L54" i="45" s="1"/>
  <c r="N161" i="34"/>
  <c r="L53" i="45" s="1"/>
  <c r="M112" i="34"/>
  <c r="K47" i="45" s="1"/>
  <c r="M142" i="34"/>
  <c r="M138" i="34"/>
  <c r="E33" i="33"/>
  <c r="E50" i="33"/>
  <c r="K51" i="45" l="1"/>
  <c r="L10" i="45"/>
  <c r="L8" i="45"/>
  <c r="N14" i="45"/>
  <c r="L26" i="45"/>
  <c r="L23" i="45"/>
  <c r="N22" i="45"/>
  <c r="L21" i="45"/>
  <c r="L17" i="45"/>
  <c r="L25" i="45"/>
  <c r="L6" i="45"/>
  <c r="L15" i="45"/>
  <c r="N7" i="45"/>
  <c r="L13" i="45"/>
  <c r="L18" i="45"/>
  <c r="L52" i="45"/>
  <c r="L67" i="45" s="1"/>
  <c r="J49" i="45"/>
  <c r="J66" i="45" s="1"/>
  <c r="J72" i="45" s="1"/>
  <c r="K43" i="45"/>
  <c r="K65" i="45" s="1"/>
  <c r="K50" i="45"/>
  <c r="O71" i="36"/>
  <c r="O55" i="36"/>
  <c r="O161" i="34"/>
  <c r="M53" i="45" s="1"/>
  <c r="O177" i="34"/>
  <c r="M54" i="45" s="1"/>
  <c r="N112" i="34"/>
  <c r="L47" i="45" s="1"/>
  <c r="N138" i="34"/>
  <c r="N142" i="34"/>
  <c r="N96" i="34"/>
  <c r="L45" i="45" s="1"/>
  <c r="N137" i="34"/>
  <c r="N141" i="34"/>
  <c r="E34" i="33"/>
  <c r="E51" i="33"/>
  <c r="L51" i="45" l="1"/>
  <c r="L50" i="45"/>
  <c r="M21" i="45"/>
  <c r="M23" i="45"/>
  <c r="M26" i="45"/>
  <c r="O22" i="45"/>
  <c r="L43" i="45"/>
  <c r="L65" i="45" s="1"/>
  <c r="M15" i="45"/>
  <c r="M18" i="45"/>
  <c r="M25" i="45"/>
  <c r="O7" i="45"/>
  <c r="M13" i="45"/>
  <c r="M10" i="45"/>
  <c r="M8" i="45"/>
  <c r="M6" i="45"/>
  <c r="M17" i="45"/>
  <c r="O14" i="45"/>
  <c r="M52" i="45"/>
  <c r="M67" i="45" s="1"/>
  <c r="K49" i="45"/>
  <c r="K66" i="45" s="1"/>
  <c r="K72" i="45" s="1"/>
  <c r="O96" i="34"/>
  <c r="M45" i="45" s="1"/>
  <c r="O141" i="34"/>
  <c r="O137" i="34"/>
  <c r="O112" i="34"/>
  <c r="M47" i="45" s="1"/>
  <c r="O138" i="34"/>
  <c r="O142" i="34"/>
  <c r="P71" i="36"/>
  <c r="P55" i="36"/>
  <c r="P177" i="34"/>
  <c r="N54" i="45" s="1"/>
  <c r="P161" i="34"/>
  <c r="N53" i="45" s="1"/>
  <c r="E35" i="33"/>
  <c r="E52" i="33"/>
  <c r="M51" i="45" l="1"/>
  <c r="L49" i="45"/>
  <c r="L66" i="45" s="1"/>
  <c r="L72" i="45" s="1"/>
  <c r="N13" i="45"/>
  <c r="P14" i="45"/>
  <c r="N6" i="45"/>
  <c r="N17" i="45"/>
  <c r="N8" i="45"/>
  <c r="N15" i="45"/>
  <c r="P7" i="45"/>
  <c r="N21" i="45"/>
  <c r="N25" i="45"/>
  <c r="N23" i="45"/>
  <c r="N18" i="45"/>
  <c r="P22" i="45"/>
  <c r="N26" i="45"/>
  <c r="N10" i="45"/>
  <c r="M50" i="45"/>
  <c r="N52" i="45"/>
  <c r="N67" i="45" s="1"/>
  <c r="M43" i="45"/>
  <c r="M65" i="45" s="1"/>
  <c r="Q71" i="36"/>
  <c r="Q55" i="36"/>
  <c r="Q161" i="34"/>
  <c r="O53" i="45" s="1"/>
  <c r="Q177" i="34"/>
  <c r="O54" i="45" s="1"/>
  <c r="P96" i="34"/>
  <c r="N45" i="45" s="1"/>
  <c r="P137" i="34"/>
  <c r="P141" i="34"/>
  <c r="P112" i="34"/>
  <c r="N47" i="45" s="1"/>
  <c r="P138" i="34"/>
  <c r="P142" i="34"/>
  <c r="E54" i="33"/>
  <c r="E55" i="33" s="1"/>
  <c r="E56" i="33" s="1"/>
  <c r="E53" i="33"/>
  <c r="N51" i="45" l="1"/>
  <c r="O15" i="45"/>
  <c r="O18" i="45"/>
  <c r="O8" i="45"/>
  <c r="O26" i="45"/>
  <c r="Q7" i="45"/>
  <c r="O25" i="45"/>
  <c r="O23" i="45"/>
  <c r="O13" i="45"/>
  <c r="Q14" i="45"/>
  <c r="O17" i="45"/>
  <c r="O21" i="45"/>
  <c r="Q22" i="45"/>
  <c r="O10" i="45"/>
  <c r="O6" i="45"/>
  <c r="M49" i="45"/>
  <c r="M66" i="45" s="1"/>
  <c r="M72" i="45" s="1"/>
  <c r="O52" i="45"/>
  <c r="O67" i="45" s="1"/>
  <c r="N50" i="45"/>
  <c r="N43" i="45"/>
  <c r="N65" i="45" s="1"/>
  <c r="Q96" i="34"/>
  <c r="O45" i="45" s="1"/>
  <c r="Q141" i="34"/>
  <c r="Q137" i="34"/>
  <c r="R71" i="36"/>
  <c r="R55" i="36"/>
  <c r="R177" i="34"/>
  <c r="P54" i="45" s="1"/>
  <c r="R161" i="34"/>
  <c r="P53" i="45" s="1"/>
  <c r="Q112" i="34"/>
  <c r="O47" i="45" s="1"/>
  <c r="Q142" i="34"/>
  <c r="Q138" i="34"/>
  <c r="O51" i="45" l="1"/>
  <c r="N49" i="45"/>
  <c r="N66" i="45" s="1"/>
  <c r="N72" i="45" s="1"/>
  <c r="P13" i="45"/>
  <c r="R14" i="45"/>
  <c r="P8" i="45"/>
  <c r="P6" i="45"/>
  <c r="P18" i="45"/>
  <c r="P17" i="45"/>
  <c r="R22" i="45"/>
  <c r="P23" i="45"/>
  <c r="P10" i="45"/>
  <c r="P21" i="45"/>
  <c r="P26" i="45"/>
  <c r="R7" i="45"/>
  <c r="P15" i="45"/>
  <c r="P25" i="45"/>
  <c r="O43" i="45"/>
  <c r="O65" i="45" s="1"/>
  <c r="P52" i="45"/>
  <c r="P67" i="45" s="1"/>
  <c r="O50" i="45"/>
  <c r="R112" i="34"/>
  <c r="P47" i="45" s="1"/>
  <c r="R142" i="34"/>
  <c r="R138" i="34"/>
  <c r="S71" i="36"/>
  <c r="S55" i="36"/>
  <c r="S177" i="34"/>
  <c r="Q54" i="45" s="1"/>
  <c r="S161" i="34"/>
  <c r="Q53" i="45" s="1"/>
  <c r="R96" i="34"/>
  <c r="P45" i="45" s="1"/>
  <c r="R137" i="34"/>
  <c r="R141" i="34"/>
  <c r="P51" i="45" l="1"/>
  <c r="S22" i="45"/>
  <c r="S7" i="45"/>
  <c r="Q18" i="45"/>
  <c r="Q6" i="45"/>
  <c r="Q10" i="45"/>
  <c r="Q26" i="45"/>
  <c r="Q21" i="45"/>
  <c r="Q17" i="45"/>
  <c r="Q8" i="45"/>
  <c r="O49" i="45"/>
  <c r="O66" i="45" s="1"/>
  <c r="O72" i="45" s="1"/>
  <c r="Q13" i="45"/>
  <c r="Q15" i="45"/>
  <c r="S14" i="45"/>
  <c r="Q25" i="45"/>
  <c r="Q23" i="45"/>
  <c r="P50" i="45"/>
  <c r="P43" i="45"/>
  <c r="P65" i="45" s="1"/>
  <c r="Q52" i="45"/>
  <c r="Q67" i="45" s="1"/>
  <c r="T55" i="36"/>
  <c r="T71" i="36"/>
  <c r="T161" i="34"/>
  <c r="R53" i="45" s="1"/>
  <c r="T177" i="34"/>
  <c r="R54" i="45" s="1"/>
  <c r="S96" i="34"/>
  <c r="Q45" i="45" s="1"/>
  <c r="S141" i="34"/>
  <c r="S137" i="34"/>
  <c r="S112" i="34"/>
  <c r="Q47" i="45" s="1"/>
  <c r="S138" i="34"/>
  <c r="S142" i="34"/>
  <c r="P49" i="45" l="1"/>
  <c r="P66" i="45" s="1"/>
  <c r="P72" i="45" s="1"/>
  <c r="Q51" i="45"/>
  <c r="R8" i="45"/>
  <c r="R23" i="45"/>
  <c r="T7" i="45"/>
  <c r="R21" i="45"/>
  <c r="R18" i="45"/>
  <c r="T22" i="45"/>
  <c r="R17" i="45"/>
  <c r="R15" i="45"/>
  <c r="R26" i="45"/>
  <c r="R10" i="45"/>
  <c r="R13" i="45"/>
  <c r="T14" i="45"/>
  <c r="R25" i="45"/>
  <c r="R6" i="45"/>
  <c r="Q50" i="45"/>
  <c r="R52" i="45"/>
  <c r="R67" i="45" s="1"/>
  <c r="Q43" i="45"/>
  <c r="Q65" i="45" s="1"/>
  <c r="T112" i="34"/>
  <c r="R47" i="45" s="1"/>
  <c r="T142" i="34"/>
  <c r="T138" i="34"/>
  <c r="U71" i="36"/>
  <c r="U55" i="36"/>
  <c r="U161" i="34"/>
  <c r="S53" i="45" s="1"/>
  <c r="U177" i="34"/>
  <c r="S54" i="45" s="1"/>
  <c r="T96" i="34"/>
  <c r="R45" i="45" s="1"/>
  <c r="T141" i="34"/>
  <c r="T137" i="34"/>
  <c r="R51" i="45" l="1"/>
  <c r="Q49" i="45"/>
  <c r="Q66" i="45" s="1"/>
  <c r="Q72" i="45" s="1"/>
  <c r="S13" i="45"/>
  <c r="S15" i="45"/>
  <c r="S26" i="45"/>
  <c r="S10" i="45"/>
  <c r="S23" i="45"/>
  <c r="U14" i="45"/>
  <c r="S8" i="45"/>
  <c r="S17" i="45"/>
  <c r="S21" i="45"/>
  <c r="S25" i="45"/>
  <c r="S6" i="45"/>
  <c r="U22" i="45"/>
  <c r="S18" i="45"/>
  <c r="U7" i="45"/>
  <c r="R43" i="45"/>
  <c r="R65" i="45" s="1"/>
  <c r="R50" i="45"/>
  <c r="S52" i="45"/>
  <c r="S67" i="45" s="1"/>
  <c r="U96" i="34"/>
  <c r="S45" i="45" s="1"/>
  <c r="U137" i="34"/>
  <c r="U141" i="34"/>
  <c r="V71" i="36"/>
  <c r="V55" i="36"/>
  <c r="V161" i="34"/>
  <c r="T53" i="45" s="1"/>
  <c r="V177" i="34"/>
  <c r="T54" i="45" s="1"/>
  <c r="U112" i="34"/>
  <c r="S47" i="45" s="1"/>
  <c r="U138" i="34"/>
  <c r="U142" i="34"/>
  <c r="S51" i="45" l="1"/>
  <c r="R49" i="45"/>
  <c r="R66" i="45" s="1"/>
  <c r="R72" i="45" s="1"/>
  <c r="T26" i="45"/>
  <c r="T6" i="45"/>
  <c r="T10" i="45"/>
  <c r="V22" i="45"/>
  <c r="T8" i="45"/>
  <c r="T18" i="45"/>
  <c r="T17" i="45"/>
  <c r="V14" i="45"/>
  <c r="T15" i="45"/>
  <c r="T13" i="45"/>
  <c r="T25" i="45"/>
  <c r="T23" i="45"/>
  <c r="T21" i="45"/>
  <c r="V7" i="45"/>
  <c r="S43" i="45"/>
  <c r="S65" i="45" s="1"/>
  <c r="T52" i="45"/>
  <c r="T67" i="45" s="1"/>
  <c r="S50" i="45"/>
  <c r="W71" i="36"/>
  <c r="W55" i="36"/>
  <c r="W177" i="34"/>
  <c r="U54" i="45" s="1"/>
  <c r="W161" i="34"/>
  <c r="U53" i="45" s="1"/>
  <c r="V112" i="34"/>
  <c r="T47" i="45" s="1"/>
  <c r="V142" i="34"/>
  <c r="V138" i="34"/>
  <c r="V96" i="34"/>
  <c r="T45" i="45" s="1"/>
  <c r="V137" i="34"/>
  <c r="V141" i="34"/>
  <c r="T51" i="45" l="1"/>
  <c r="W22" i="45"/>
  <c r="U23" i="45"/>
  <c r="U17" i="45"/>
  <c r="U18" i="45"/>
  <c r="U25" i="45"/>
  <c r="W14" i="45"/>
  <c r="U6" i="45"/>
  <c r="U15" i="45"/>
  <c r="U10" i="45"/>
  <c r="U26" i="45"/>
  <c r="U13" i="45"/>
  <c r="W7" i="45"/>
  <c r="U21" i="45"/>
  <c r="U8" i="45"/>
  <c r="U52" i="45"/>
  <c r="U67" i="45" s="1"/>
  <c r="S49" i="45"/>
  <c r="S66" i="45" s="1"/>
  <c r="S72" i="45" s="1"/>
  <c r="T50" i="45"/>
  <c r="T43" i="45"/>
  <c r="T65" i="45" s="1"/>
  <c r="X71" i="36"/>
  <c r="X55" i="36"/>
  <c r="X161" i="34"/>
  <c r="V53" i="45" s="1"/>
  <c r="X177" i="34"/>
  <c r="V54" i="45" s="1"/>
  <c r="W96" i="34"/>
  <c r="U45" i="45" s="1"/>
  <c r="W141" i="34"/>
  <c r="W137" i="34"/>
  <c r="W112" i="34"/>
  <c r="U47" i="45" s="1"/>
  <c r="W138" i="34"/>
  <c r="W142" i="34"/>
  <c r="E57" i="33"/>
  <c r="U51" i="45" l="1"/>
  <c r="T49" i="45"/>
  <c r="T66" i="45" s="1"/>
  <c r="T72" i="45" s="1"/>
  <c r="X14" i="45"/>
  <c r="V8" i="45"/>
  <c r="X7" i="45"/>
  <c r="V25" i="45"/>
  <c r="X22" i="45"/>
  <c r="V18" i="45"/>
  <c r="V10" i="45"/>
  <c r="V13" i="45"/>
  <c r="V17" i="45"/>
  <c r="V21" i="45"/>
  <c r="V23" i="45"/>
  <c r="V26" i="45"/>
  <c r="V15" i="45"/>
  <c r="V6" i="45"/>
  <c r="U50" i="45"/>
  <c r="V52" i="45"/>
  <c r="V67" i="45" s="1"/>
  <c r="U43" i="45"/>
  <c r="U65" i="45" s="1"/>
  <c r="Y71" i="36"/>
  <c r="Y55" i="36"/>
  <c r="Y161" i="34"/>
  <c r="W53" i="45" s="1"/>
  <c r="Y177" i="34"/>
  <c r="W54" i="45" s="1"/>
  <c r="X96" i="34"/>
  <c r="V45" i="45" s="1"/>
  <c r="X141" i="34"/>
  <c r="X137" i="34"/>
  <c r="X112" i="34"/>
  <c r="V47" i="45" s="1"/>
  <c r="X142" i="34"/>
  <c r="X138" i="34"/>
  <c r="E58" i="33"/>
  <c r="V51" i="45" l="1"/>
  <c r="W26" i="45"/>
  <c r="W8" i="45"/>
  <c r="W17" i="45"/>
  <c r="W13" i="45"/>
  <c r="W18" i="45"/>
  <c r="W15" i="45"/>
  <c r="W6" i="45"/>
  <c r="Y14" i="45"/>
  <c r="W10" i="45"/>
  <c r="Y7" i="45"/>
  <c r="Y22" i="45"/>
  <c r="W25" i="45"/>
  <c r="W23" i="45"/>
  <c r="W21" i="45"/>
  <c r="V50" i="45"/>
  <c r="U49" i="45"/>
  <c r="U66" i="45" s="1"/>
  <c r="U72" i="45" s="1"/>
  <c r="W52" i="45"/>
  <c r="W67" i="45" s="1"/>
  <c r="V43" i="45"/>
  <c r="V65" i="45" s="1"/>
  <c r="Z71" i="36"/>
  <c r="Z55" i="36"/>
  <c r="Z161" i="34"/>
  <c r="X53" i="45" s="1"/>
  <c r="Z177" i="34"/>
  <c r="X54" i="45" s="1"/>
  <c r="Y96" i="34"/>
  <c r="W45" i="45" s="1"/>
  <c r="Y141" i="34"/>
  <c r="Y137" i="34"/>
  <c r="Y112" i="34"/>
  <c r="W47" i="45" s="1"/>
  <c r="Y142" i="34"/>
  <c r="Y138" i="34"/>
  <c r="E59" i="33"/>
  <c r="W51" i="45" l="1"/>
  <c r="X13" i="45"/>
  <c r="Z22" i="45"/>
  <c r="X21" i="45"/>
  <c r="X15" i="45"/>
  <c r="Z14" i="45"/>
  <c r="X17" i="45"/>
  <c r="X8" i="45"/>
  <c r="V49" i="45"/>
  <c r="V66" i="45" s="1"/>
  <c r="V72" i="45" s="1"/>
  <c r="X18" i="45"/>
  <c r="X10" i="45"/>
  <c r="X26" i="45"/>
  <c r="X6" i="45"/>
  <c r="Z7" i="45"/>
  <c r="X25" i="45"/>
  <c r="X23" i="45"/>
  <c r="X52" i="45"/>
  <c r="X67" i="45" s="1"/>
  <c r="W50" i="45"/>
  <c r="W43" i="45"/>
  <c r="W65" i="45" s="1"/>
  <c r="AA71" i="36"/>
  <c r="AA55" i="36"/>
  <c r="AA161" i="34"/>
  <c r="Y53" i="45" s="1"/>
  <c r="AA177" i="34"/>
  <c r="Y54" i="45" s="1"/>
  <c r="Z96" i="34"/>
  <c r="X45" i="45" s="1"/>
  <c r="Z141" i="34"/>
  <c r="Z137" i="34"/>
  <c r="Z112" i="34"/>
  <c r="X47" i="45" s="1"/>
  <c r="Z142" i="34"/>
  <c r="Z138" i="34"/>
  <c r="E60" i="33"/>
  <c r="E61" i="33" s="1"/>
  <c r="E62" i="33" s="1"/>
  <c r="E63" i="33" s="1"/>
  <c r="E64" i="33" s="1"/>
  <c r="E65" i="33" s="1"/>
  <c r="E66" i="33" s="1"/>
  <c r="E67" i="33" s="1"/>
  <c r="E68" i="33" s="1"/>
  <c r="E69" i="33" s="1"/>
  <c r="E70" i="33" s="1"/>
  <c r="E71" i="33" s="1"/>
  <c r="X51" i="45" l="1"/>
  <c r="Y25" i="45"/>
  <c r="AA14" i="45"/>
  <c r="Y18" i="45"/>
  <c r="Y10" i="45"/>
  <c r="Y21" i="45"/>
  <c r="Y15" i="45"/>
  <c r="AA7" i="45"/>
  <c r="Y13" i="45"/>
  <c r="Y26" i="45"/>
  <c r="W49" i="45"/>
  <c r="W66" i="45" s="1"/>
  <c r="W72" i="45" s="1"/>
  <c r="Y23" i="45"/>
  <c r="Y17" i="45"/>
  <c r="Y8" i="45"/>
  <c r="AA22" i="45"/>
  <c r="Y6" i="45"/>
  <c r="X50" i="45"/>
  <c r="Y52" i="45"/>
  <c r="Y67" i="45" s="1"/>
  <c r="X43" i="45"/>
  <c r="X65" i="45" s="1"/>
  <c r="AA96" i="34"/>
  <c r="Y45" i="45" s="1"/>
  <c r="AA137" i="34"/>
  <c r="AA141" i="34"/>
  <c r="AB71" i="36"/>
  <c r="AB55" i="36"/>
  <c r="AB161" i="34"/>
  <c r="Z53" i="45" s="1"/>
  <c r="AB177" i="34"/>
  <c r="Z54" i="45" s="1"/>
  <c r="AA112" i="34"/>
  <c r="Y47" i="45" s="1"/>
  <c r="AA142" i="34"/>
  <c r="AA138" i="34"/>
  <c r="Y51" i="45" l="1"/>
  <c r="X49" i="45"/>
  <c r="X66" i="45" s="1"/>
  <c r="X72" i="45" s="1"/>
  <c r="Z8" i="45"/>
  <c r="Z25" i="45"/>
  <c r="AB22" i="45"/>
  <c r="D22" i="62" s="1"/>
  <c r="Z18" i="45"/>
  <c r="Z21" i="45"/>
  <c r="AB7" i="45"/>
  <c r="D9" i="62" s="1"/>
  <c r="Z6" i="45"/>
  <c r="Z15" i="45"/>
  <c r="Z10" i="45"/>
  <c r="Z26" i="45"/>
  <c r="Z17" i="45"/>
  <c r="Z23" i="45"/>
  <c r="AB14" i="45"/>
  <c r="D15" i="62" s="1"/>
  <c r="Z13" i="45"/>
  <c r="Y43" i="45"/>
  <c r="Y65" i="45" s="1"/>
  <c r="Y50" i="45"/>
  <c r="Z52" i="45"/>
  <c r="Z67" i="45" s="1"/>
  <c r="AB96" i="34"/>
  <c r="Z45" i="45" s="1"/>
  <c r="AB141" i="34"/>
  <c r="AB137" i="34"/>
  <c r="AC71" i="36"/>
  <c r="AC55" i="36"/>
  <c r="AC161" i="34"/>
  <c r="AA53" i="45" s="1"/>
  <c r="AC177" i="34"/>
  <c r="AA54" i="45" s="1"/>
  <c r="AB112" i="34"/>
  <c r="Z47" i="45" s="1"/>
  <c r="AB138" i="34"/>
  <c r="AB142" i="34"/>
  <c r="Z51" i="45" l="1"/>
  <c r="AC7" i="45"/>
  <c r="E9" i="62" s="1"/>
  <c r="AA26" i="45"/>
  <c r="AC22" i="45"/>
  <c r="E22" i="62" s="1"/>
  <c r="AA10" i="45"/>
  <c r="AA13" i="45"/>
  <c r="AA8" i="45"/>
  <c r="AA25" i="45"/>
  <c r="AA21" i="45"/>
  <c r="AA15" i="45"/>
  <c r="AC14" i="45"/>
  <c r="E15" i="62" s="1"/>
  <c r="AA18" i="45"/>
  <c r="AA6" i="45"/>
  <c r="AA23" i="45"/>
  <c r="AA17" i="45"/>
  <c r="Y49" i="45"/>
  <c r="Y66" i="45" s="1"/>
  <c r="Y72" i="45" s="1"/>
  <c r="AA52" i="45"/>
  <c r="AA67" i="45" s="1"/>
  <c r="Z43" i="45"/>
  <c r="Z65" i="45" s="1"/>
  <c r="Z50" i="45"/>
  <c r="AC96" i="34"/>
  <c r="AA45" i="45" s="1"/>
  <c r="AC137" i="34"/>
  <c r="AC141" i="34"/>
  <c r="AD177" i="34"/>
  <c r="AD161" i="34"/>
  <c r="AC112" i="34"/>
  <c r="AA47" i="45" s="1"/>
  <c r="AC138" i="34"/>
  <c r="AC142" i="34"/>
  <c r="AA51" i="45" l="1"/>
  <c r="AD14" i="45"/>
  <c r="F15" i="62" s="1"/>
  <c r="AB17" i="45"/>
  <c r="D18" i="62" s="1"/>
  <c r="AD22" i="45"/>
  <c r="F22" i="62" s="1"/>
  <c r="AB15" i="45"/>
  <c r="D16" i="62" s="1"/>
  <c r="AB10" i="45"/>
  <c r="D12" i="62" s="1"/>
  <c r="AD7" i="45"/>
  <c r="F9" i="62" s="1"/>
  <c r="AB23" i="45"/>
  <c r="AB8" i="45"/>
  <c r="D10" i="62" s="1"/>
  <c r="AB25" i="45"/>
  <c r="D23" i="62" s="1"/>
  <c r="AA43" i="45"/>
  <c r="AA65" i="45" s="1"/>
  <c r="Z49" i="45"/>
  <c r="Z66" i="45" s="1"/>
  <c r="AE177" i="34"/>
  <c r="AE161" i="34"/>
  <c r="AA50" i="45"/>
  <c r="AD112" i="34"/>
  <c r="AD96" i="34"/>
  <c r="AC8" i="45" l="1"/>
  <c r="E10" i="62" s="1"/>
  <c r="AE22" i="45"/>
  <c r="G22" i="62" s="1"/>
  <c r="AC10" i="45"/>
  <c r="E12" i="62" s="1"/>
  <c r="AC23" i="45"/>
  <c r="AC25" i="45"/>
  <c r="E23" i="62" s="1"/>
  <c r="AC15" i="45"/>
  <c r="E16" i="62" s="1"/>
  <c r="AE7" i="45"/>
  <c r="G9" i="62" s="1"/>
  <c r="AC17" i="45"/>
  <c r="E18" i="62" s="1"/>
  <c r="AE14" i="45"/>
  <c r="G15" i="62" s="1"/>
  <c r="AA49" i="45"/>
  <c r="AA66" i="45" s="1"/>
  <c r="AF161" i="34"/>
  <c r="AF177" i="34"/>
  <c r="AE96" i="34"/>
  <c r="AE112" i="34"/>
  <c r="AD23" i="45" l="1"/>
  <c r="AF22" i="45"/>
  <c r="H22" i="62" s="1"/>
  <c r="AD10" i="45"/>
  <c r="F12" i="62" s="1"/>
  <c r="AD15" i="45"/>
  <c r="F16" i="62" s="1"/>
  <c r="AF7" i="45"/>
  <c r="H9" i="62" s="1"/>
  <c r="AD25" i="45"/>
  <c r="F23" i="62" s="1"/>
  <c r="AF14" i="45"/>
  <c r="H15" i="62" s="1"/>
  <c r="AD17" i="45"/>
  <c r="F18" i="62" s="1"/>
  <c r="AD8" i="45"/>
  <c r="F10" i="62" s="1"/>
  <c r="AF96" i="34"/>
  <c r="AG161" i="34"/>
  <c r="AG177" i="34"/>
  <c r="AF112" i="34"/>
  <c r="AE25" i="45" l="1"/>
  <c r="G23" i="62" s="1"/>
  <c r="AE10" i="45"/>
  <c r="G12" i="62" s="1"/>
  <c r="AG22" i="45"/>
  <c r="I22" i="62" s="1"/>
  <c r="AE15" i="45"/>
  <c r="G16" i="62" s="1"/>
  <c r="AE23" i="45"/>
  <c r="AG7" i="45"/>
  <c r="I9" i="62" s="1"/>
  <c r="AE17" i="45"/>
  <c r="G18" i="62" s="1"/>
  <c r="AE8" i="45"/>
  <c r="G10" i="62" s="1"/>
  <c r="AG14" i="45"/>
  <c r="I15" i="62" s="1"/>
  <c r="AH177" i="34"/>
  <c r="AH161" i="34"/>
  <c r="AG96" i="34"/>
  <c r="AG112" i="34"/>
  <c r="AF25" i="45" l="1"/>
  <c r="H23" i="62" s="1"/>
  <c r="AF15" i="45"/>
  <c r="H16" i="62" s="1"/>
  <c r="AF17" i="45"/>
  <c r="H18" i="62" s="1"/>
  <c r="AF8" i="45"/>
  <c r="H10" i="62" s="1"/>
  <c r="AF10" i="45"/>
  <c r="H12" i="62" s="1"/>
  <c r="AF23" i="45"/>
  <c r="AI177" i="34"/>
  <c r="AI161" i="34"/>
  <c r="AH96" i="34"/>
  <c r="AH112" i="34"/>
  <c r="AG8" i="45" l="1"/>
  <c r="I10" i="62" s="1"/>
  <c r="AG23" i="45"/>
  <c r="AG10" i="45"/>
  <c r="I12" i="62" s="1"/>
  <c r="AG17" i="45"/>
  <c r="I18" i="62" s="1"/>
  <c r="AG15" i="45"/>
  <c r="I16" i="62" s="1"/>
  <c r="AG25" i="45"/>
  <c r="I23" i="62" s="1"/>
  <c r="AI96" i="34"/>
  <c r="AI112" i="34"/>
  <c r="AH22" i="45" l="1"/>
  <c r="J22" i="62" s="1"/>
  <c r="AH14" i="45" l="1"/>
  <c r="J15" i="62" s="1"/>
  <c r="AH7" i="45"/>
  <c r="J9" i="62" s="1"/>
  <c r="AI22" i="45"/>
  <c r="K22" i="62" s="1"/>
  <c r="AH23" i="45" l="1"/>
  <c r="AI14" i="45"/>
  <c r="K15" i="62" s="1"/>
  <c r="AI7" i="45"/>
  <c r="K9" i="62" s="1"/>
  <c r="AJ22" i="45"/>
  <c r="L22" i="62" s="1"/>
  <c r="AI23" i="45" l="1"/>
  <c r="AH8" i="45"/>
  <c r="J10" i="62" s="1"/>
  <c r="AH15" i="45"/>
  <c r="J16" i="62" s="1"/>
  <c r="AJ14" i="45"/>
  <c r="L15" i="62" s="1"/>
  <c r="AK22" i="45"/>
  <c r="M22" i="62" s="1"/>
  <c r="AJ7" i="45"/>
  <c r="L9" i="62" s="1"/>
  <c r="AK71" i="36"/>
  <c r="AK161" i="34"/>
  <c r="AK177" i="34"/>
  <c r="AK55" i="36"/>
  <c r="AI15" i="45" l="1"/>
  <c r="K16" i="62" s="1"/>
  <c r="AI8" i="45"/>
  <c r="K10" i="62" s="1"/>
  <c r="AJ23" i="45"/>
  <c r="AL22" i="45"/>
  <c r="N22" i="62" s="1"/>
  <c r="AK14" i="45"/>
  <c r="M15" i="62" s="1"/>
  <c r="AK7" i="45"/>
  <c r="M9" i="62" s="1"/>
  <c r="AK112" i="34"/>
  <c r="AL71" i="36"/>
  <c r="AL161" i="34"/>
  <c r="AL177" i="34"/>
  <c r="AK96" i="34"/>
  <c r="AL55" i="36"/>
  <c r="AJ15" i="45" l="1"/>
  <c r="L16" i="62" s="1"/>
  <c r="AJ8" i="45"/>
  <c r="L10" i="62" s="1"/>
  <c r="AK23" i="45"/>
  <c r="AL14" i="45"/>
  <c r="N15" i="62" s="1"/>
  <c r="AL7" i="45"/>
  <c r="N9" i="62" s="1"/>
  <c r="AM22" i="45"/>
  <c r="O22" i="62" s="1"/>
  <c r="AL112" i="34"/>
  <c r="AM71" i="36"/>
  <c r="AM161" i="34"/>
  <c r="AM177" i="34"/>
  <c r="AL96" i="34"/>
  <c r="AM55" i="36"/>
  <c r="AK15" i="45" l="1"/>
  <c r="M16" i="62" s="1"/>
  <c r="AK8" i="45"/>
  <c r="M10" i="62" s="1"/>
  <c r="AL23" i="45"/>
  <c r="AN22" i="45"/>
  <c r="P22" i="62" s="1"/>
  <c r="AM7" i="45"/>
  <c r="O9" i="62" s="1"/>
  <c r="AM14" i="45"/>
  <c r="O15" i="62" s="1"/>
  <c r="AM112" i="34"/>
  <c r="AN71" i="36"/>
  <c r="AN177" i="34"/>
  <c r="AN161" i="34"/>
  <c r="AM96" i="34"/>
  <c r="AN55" i="36"/>
  <c r="AM23" i="45" l="1"/>
  <c r="AL8" i="45"/>
  <c r="N10" i="62" s="1"/>
  <c r="AL15" i="45"/>
  <c r="N16" i="62" s="1"/>
  <c r="AN7" i="45"/>
  <c r="P9" i="62" s="1"/>
  <c r="AO22" i="45"/>
  <c r="Q22" i="62" s="1"/>
  <c r="AN14" i="45"/>
  <c r="P15" i="62" s="1"/>
  <c r="AN112" i="34"/>
  <c r="AO71" i="36"/>
  <c r="AO161" i="34"/>
  <c r="AO177" i="34"/>
  <c r="AN96" i="34"/>
  <c r="AO55" i="36"/>
  <c r="AN23" i="45" l="1"/>
  <c r="AM8" i="45"/>
  <c r="O10" i="62" s="1"/>
  <c r="AM15" i="45"/>
  <c r="O16" i="62" s="1"/>
  <c r="AO14" i="45"/>
  <c r="Q15" i="62" s="1"/>
  <c r="AO7" i="45"/>
  <c r="Q9" i="62" s="1"/>
  <c r="AP22" i="45"/>
  <c r="R22" i="62" s="1"/>
  <c r="AO112" i="34"/>
  <c r="AP71" i="36"/>
  <c r="AP161" i="34"/>
  <c r="AP177" i="34"/>
  <c r="AO96" i="34"/>
  <c r="AP55" i="36"/>
  <c r="AN15" i="45" l="1"/>
  <c r="P16" i="62" s="1"/>
  <c r="AO23" i="45"/>
  <c r="AN8" i="45"/>
  <c r="P10" i="62" s="1"/>
  <c r="AQ22" i="45"/>
  <c r="S22" i="62" s="1"/>
  <c r="AP7" i="45"/>
  <c r="R9" i="62" s="1"/>
  <c r="AP14" i="45"/>
  <c r="R15" i="62" s="1"/>
  <c r="AP112" i="34"/>
  <c r="AQ71" i="36"/>
  <c r="AQ161" i="34"/>
  <c r="AQ177" i="34"/>
  <c r="AP96" i="34"/>
  <c r="AQ55" i="36"/>
  <c r="AO15" i="45" l="1"/>
  <c r="Q16" i="62" s="1"/>
  <c r="AP23" i="45"/>
  <c r="AO8" i="45"/>
  <c r="Q10" i="62" s="1"/>
  <c r="AR22" i="45"/>
  <c r="T22" i="62" s="1"/>
  <c r="AQ7" i="45"/>
  <c r="S9" i="62" s="1"/>
  <c r="AQ14" i="45"/>
  <c r="S15" i="62" s="1"/>
  <c r="AQ112" i="34"/>
  <c r="AR71" i="36"/>
  <c r="AR161" i="34"/>
  <c r="AR177" i="34"/>
  <c r="AQ96" i="34"/>
  <c r="AR55" i="36"/>
  <c r="AP15" i="45" l="1"/>
  <c r="R16" i="62" s="1"/>
  <c r="AQ23" i="45"/>
  <c r="AP8" i="45"/>
  <c r="R10" i="62" s="1"/>
  <c r="AS22" i="45"/>
  <c r="U22" i="62" s="1"/>
  <c r="AR14" i="45"/>
  <c r="T15" i="62" s="1"/>
  <c r="AR7" i="45"/>
  <c r="T9" i="62" s="1"/>
  <c r="AR112" i="34"/>
  <c r="AS71" i="36"/>
  <c r="AS161" i="34"/>
  <c r="AS177" i="34"/>
  <c r="AR96" i="34"/>
  <c r="AS55" i="36"/>
  <c r="AQ15" i="45" l="1"/>
  <c r="S16" i="62" s="1"/>
  <c r="AQ8" i="45"/>
  <c r="S10" i="62" s="1"/>
  <c r="AR23" i="45"/>
  <c r="AS14" i="45"/>
  <c r="U15" i="62" s="1"/>
  <c r="AT22" i="45"/>
  <c r="V22" i="62" s="1"/>
  <c r="AS7" i="45"/>
  <c r="U9" i="62" s="1"/>
  <c r="AS112" i="34"/>
  <c r="AT71" i="36"/>
  <c r="AT161" i="34"/>
  <c r="AT177" i="34"/>
  <c r="AS96" i="34"/>
  <c r="AT55" i="36"/>
  <c r="AR15" i="45" l="1"/>
  <c r="T16" i="62" s="1"/>
  <c r="AS23" i="45"/>
  <c r="AR8" i="45"/>
  <c r="T10" i="62" s="1"/>
  <c r="AT7" i="45"/>
  <c r="V9" i="62" s="1"/>
  <c r="AU22" i="45"/>
  <c r="W22" i="62" s="1"/>
  <c r="AT14" i="45"/>
  <c r="V15" i="62" s="1"/>
  <c r="AT112" i="34"/>
  <c r="AU71" i="36"/>
  <c r="AU161" i="34"/>
  <c r="AU177" i="34"/>
  <c r="AT96" i="34"/>
  <c r="AU55" i="36"/>
  <c r="AT23" i="45" l="1"/>
  <c r="AS15" i="45"/>
  <c r="U16" i="62" s="1"/>
  <c r="AS8" i="45"/>
  <c r="U10" i="62" s="1"/>
  <c r="AU7" i="45"/>
  <c r="W9" i="62" s="1"/>
  <c r="AV22" i="45"/>
  <c r="X22" i="62" s="1"/>
  <c r="AU14" i="45"/>
  <c r="W15" i="62" s="1"/>
  <c r="AU112" i="34"/>
  <c r="AV71" i="36"/>
  <c r="AV177" i="34"/>
  <c r="AV161" i="34"/>
  <c r="AU96" i="34"/>
  <c r="AV55" i="36"/>
  <c r="AU23" i="45" l="1"/>
  <c r="AT8" i="45"/>
  <c r="V10" i="62" s="1"/>
  <c r="AT15" i="45"/>
  <c r="V16" i="62" s="1"/>
  <c r="AV7" i="45"/>
  <c r="X9" i="62" s="1"/>
  <c r="AW22" i="45"/>
  <c r="Y22" i="62" s="1"/>
  <c r="AV14" i="45"/>
  <c r="X15" i="62" s="1"/>
  <c r="AV112" i="34"/>
  <c r="AW71" i="36"/>
  <c r="AW161" i="34"/>
  <c r="AW177" i="34"/>
  <c r="AV96" i="34"/>
  <c r="AW55" i="36"/>
  <c r="AV23" i="45" l="1"/>
  <c r="AU8" i="45"/>
  <c r="W10" i="62" s="1"/>
  <c r="AU15" i="45"/>
  <c r="W16" i="62" s="1"/>
  <c r="AW7" i="45"/>
  <c r="Y9" i="62" s="1"/>
  <c r="AX22" i="45"/>
  <c r="Z22" i="62" s="1"/>
  <c r="AW14" i="45"/>
  <c r="Y15" i="62" s="1"/>
  <c r="AW112" i="34"/>
  <c r="AX71" i="36"/>
  <c r="AX161" i="34"/>
  <c r="AX177" i="34"/>
  <c r="AW96" i="34"/>
  <c r="AX55" i="36"/>
  <c r="AV8" i="45" l="1"/>
  <c r="X10" i="62" s="1"/>
  <c r="AW23" i="45"/>
  <c r="AV15" i="45"/>
  <c r="X16" i="62" s="1"/>
  <c r="AX7" i="45"/>
  <c r="Z9" i="62" s="1"/>
  <c r="AY22" i="45"/>
  <c r="AA22" i="62" s="1"/>
  <c r="AX14" i="45"/>
  <c r="Z15" i="62" s="1"/>
  <c r="AX112" i="34"/>
  <c r="AY71" i="36"/>
  <c r="AY161" i="34"/>
  <c r="AY177" i="34"/>
  <c r="AX96" i="34"/>
  <c r="AY55" i="36"/>
  <c r="AX23" i="45" l="1"/>
  <c r="AW8" i="45"/>
  <c r="Y10" i="62" s="1"/>
  <c r="AW15" i="45"/>
  <c r="Y16" i="62" s="1"/>
  <c r="AY7" i="45"/>
  <c r="AA9" i="62" s="1"/>
  <c r="AY14" i="45"/>
  <c r="AA15" i="62" s="1"/>
  <c r="AZ22" i="45"/>
  <c r="AB22" i="62" s="1"/>
  <c r="AY112" i="34"/>
  <c r="AZ71" i="36"/>
  <c r="AZ161" i="34"/>
  <c r="AZ177" i="34"/>
  <c r="AY96" i="34"/>
  <c r="AZ55" i="36"/>
  <c r="AX8" i="45" l="1"/>
  <c r="Z10" i="62" s="1"/>
  <c r="AY23" i="45"/>
  <c r="AX15" i="45"/>
  <c r="Z16" i="62" s="1"/>
  <c r="BA22" i="45"/>
  <c r="AC22" i="62" s="1"/>
  <c r="AZ7" i="45"/>
  <c r="AB9" i="62" s="1"/>
  <c r="AZ14" i="45"/>
  <c r="AB15" i="62" s="1"/>
  <c r="AZ112" i="34"/>
  <c r="BA71" i="36"/>
  <c r="BA161" i="34"/>
  <c r="BA177" i="34"/>
  <c r="AZ96" i="34"/>
  <c r="BA55" i="36"/>
  <c r="AY15" i="45" l="1"/>
  <c r="AA16" i="62" s="1"/>
  <c r="AY8" i="45"/>
  <c r="AA10" i="62" s="1"/>
  <c r="AZ23" i="45"/>
  <c r="BA14" i="45"/>
  <c r="AC15" i="62" s="1"/>
  <c r="BA7" i="45"/>
  <c r="AC9" i="62" s="1"/>
  <c r="BB22" i="45"/>
  <c r="AD22" i="62" s="1"/>
  <c r="BA112" i="34"/>
  <c r="BB71" i="36"/>
  <c r="BB161" i="34"/>
  <c r="BB177" i="34"/>
  <c r="BA96" i="34"/>
  <c r="BB55" i="36"/>
  <c r="G5" i="45" l="1"/>
  <c r="G4" i="45" s="1"/>
  <c r="G58" i="45" s="1"/>
  <c r="F5" i="45"/>
  <c r="F4" i="45" s="1"/>
  <c r="F58" i="45" s="1"/>
  <c r="G12" i="45"/>
  <c r="G11" i="45" s="1"/>
  <c r="G59" i="45" s="1"/>
  <c r="AZ8" i="45"/>
  <c r="AB10" i="62" s="1"/>
  <c r="BA23" i="45"/>
  <c r="F12" i="45"/>
  <c r="F11" i="45" s="1"/>
  <c r="F59" i="45" s="1"/>
  <c r="G20" i="45"/>
  <c r="G19" i="45" s="1"/>
  <c r="G60" i="45" s="1"/>
  <c r="AZ15" i="45"/>
  <c r="AB16" i="62" s="1"/>
  <c r="F20" i="45"/>
  <c r="F19" i="45" s="1"/>
  <c r="F60" i="45" s="1"/>
  <c r="BB7" i="45"/>
  <c r="AD9" i="62" s="1"/>
  <c r="BC22" i="45"/>
  <c r="AE22" i="62" s="1"/>
  <c r="BB14" i="45"/>
  <c r="AD15" i="62" s="1"/>
  <c r="BB112" i="34"/>
  <c r="BC71" i="36"/>
  <c r="BC161" i="34"/>
  <c r="BC177" i="34"/>
  <c r="BB96" i="34"/>
  <c r="BC55" i="36"/>
  <c r="F71" i="45" l="1"/>
  <c r="F73" i="45" s="1"/>
  <c r="F80" i="45" s="1"/>
  <c r="G71" i="45"/>
  <c r="G73" i="45" s="1"/>
  <c r="G80" i="45" s="1"/>
  <c r="BB23" i="45"/>
  <c r="H5" i="45"/>
  <c r="H4" i="45" s="1"/>
  <c r="H58" i="45" s="1"/>
  <c r="H20" i="45"/>
  <c r="H19" i="45" s="1"/>
  <c r="H60" i="45" s="1"/>
  <c r="H12" i="45"/>
  <c r="H11" i="45" s="1"/>
  <c r="H59" i="45" s="1"/>
  <c r="BA15" i="45"/>
  <c r="AC16" i="62" s="1"/>
  <c r="BA8" i="45"/>
  <c r="AC10" i="62" s="1"/>
  <c r="BC7" i="45"/>
  <c r="AE9" i="62" s="1"/>
  <c r="BC14" i="45"/>
  <c r="AE15" i="62" s="1"/>
  <c r="BD22" i="45"/>
  <c r="AF22" i="62" s="1"/>
  <c r="BC112" i="34"/>
  <c r="BD71" i="36"/>
  <c r="BD177" i="34"/>
  <c r="BD161" i="34"/>
  <c r="BC96" i="34"/>
  <c r="BD55" i="36"/>
  <c r="H71" i="45" l="1"/>
  <c r="H73" i="45" s="1"/>
  <c r="H80" i="45" s="1"/>
  <c r="I20" i="45"/>
  <c r="I19" i="45" s="1"/>
  <c r="I60" i="45" s="1"/>
  <c r="BB8" i="45"/>
  <c r="AD10" i="62" s="1"/>
  <c r="BB15" i="45"/>
  <c r="AD16" i="62" s="1"/>
  <c r="I5" i="45"/>
  <c r="I4" i="45" s="1"/>
  <c r="I58" i="45" s="1"/>
  <c r="BC23" i="45"/>
  <c r="I12" i="45"/>
  <c r="I11" i="45" s="1"/>
  <c r="I59" i="45" s="1"/>
  <c r="BD14" i="45"/>
  <c r="AF15" i="62" s="1"/>
  <c r="BE22" i="45"/>
  <c r="AG22" i="62" s="1"/>
  <c r="BD7" i="45"/>
  <c r="AF9" i="62" s="1"/>
  <c r="BD112" i="34"/>
  <c r="BE71" i="36"/>
  <c r="BE161" i="34"/>
  <c r="BE177" i="34"/>
  <c r="BD96" i="34"/>
  <c r="BE55" i="36"/>
  <c r="I71" i="45" l="1"/>
  <c r="I73" i="45" s="1"/>
  <c r="I80" i="45" s="1"/>
  <c r="BD23" i="45"/>
  <c r="J20" i="45"/>
  <c r="J19" i="45" s="1"/>
  <c r="J60" i="45" s="1"/>
  <c r="J5" i="45"/>
  <c r="J4" i="45" s="1"/>
  <c r="J58" i="45" s="1"/>
  <c r="BC8" i="45"/>
  <c r="AE10" i="62" s="1"/>
  <c r="BC15" i="45"/>
  <c r="AE16" i="62" s="1"/>
  <c r="J12" i="45"/>
  <c r="J11" i="45" s="1"/>
  <c r="J59" i="45" s="1"/>
  <c r="BE14" i="45"/>
  <c r="AG15" i="62" s="1"/>
  <c r="BE7" i="45"/>
  <c r="AG9" i="62" s="1"/>
  <c r="BF22" i="45"/>
  <c r="AH22" i="62" s="1"/>
  <c r="BE112" i="34"/>
  <c r="BF71" i="36"/>
  <c r="BF161" i="34"/>
  <c r="BF177" i="34"/>
  <c r="BE96" i="34"/>
  <c r="BF55" i="36"/>
  <c r="J71" i="45" l="1"/>
  <c r="J73" i="45" s="1"/>
  <c r="J80" i="45" s="1"/>
  <c r="K20" i="45"/>
  <c r="K19" i="45" s="1"/>
  <c r="K60" i="45" s="1"/>
  <c r="BD15" i="45"/>
  <c r="AF16" i="62" s="1"/>
  <c r="K5" i="45"/>
  <c r="K4" i="45" s="1"/>
  <c r="K58" i="45" s="1"/>
  <c r="BE23" i="45"/>
  <c r="BD8" i="45"/>
  <c r="AF10" i="62" s="1"/>
  <c r="K12" i="45"/>
  <c r="K11" i="45" s="1"/>
  <c r="K59" i="45" s="1"/>
  <c r="BF7" i="45"/>
  <c r="AH9" i="62" s="1"/>
  <c r="BG22" i="45"/>
  <c r="AI22" i="62" s="1"/>
  <c r="BF14" i="45"/>
  <c r="AH15" i="62" s="1"/>
  <c r="BF112" i="34"/>
  <c r="BG71" i="36"/>
  <c r="BG161" i="34"/>
  <c r="BG177" i="34"/>
  <c r="BF96" i="34"/>
  <c r="BG55" i="36"/>
  <c r="K71" i="45" l="1"/>
  <c r="K73" i="45" s="1"/>
  <c r="K80" i="45" s="1"/>
  <c r="BF23" i="45"/>
  <c r="L5" i="45"/>
  <c r="L4" i="45" s="1"/>
  <c r="L58" i="45" s="1"/>
  <c r="BE15" i="45"/>
  <c r="AG16" i="62" s="1"/>
  <c r="L20" i="45"/>
  <c r="L19" i="45" s="1"/>
  <c r="L60" i="45" s="1"/>
  <c r="BE8" i="45"/>
  <c r="AG10" i="62" s="1"/>
  <c r="L12" i="45"/>
  <c r="L11" i="45" s="1"/>
  <c r="L59" i="45" s="1"/>
  <c r="BG14" i="45"/>
  <c r="AI15" i="62" s="1"/>
  <c r="BG7" i="45"/>
  <c r="AI9" i="62" s="1"/>
  <c r="BH22" i="45"/>
  <c r="AJ22" i="62" s="1"/>
  <c r="BG112" i="34"/>
  <c r="BH71" i="36"/>
  <c r="BH161" i="34"/>
  <c r="BH177" i="34"/>
  <c r="BG96" i="34"/>
  <c r="BH55" i="36"/>
  <c r="L71" i="45" l="1"/>
  <c r="L73" i="45" s="1"/>
  <c r="L80" i="45" s="1"/>
  <c r="M20" i="45"/>
  <c r="M19" i="45" s="1"/>
  <c r="M60" i="45" s="1"/>
  <c r="BF15" i="45"/>
  <c r="AH16" i="62" s="1"/>
  <c r="M12" i="45"/>
  <c r="M11" i="45" s="1"/>
  <c r="M59" i="45" s="1"/>
  <c r="BG23" i="45"/>
  <c r="BF8" i="45"/>
  <c r="AH10" i="62" s="1"/>
  <c r="M5" i="45"/>
  <c r="M4" i="45" s="1"/>
  <c r="M58" i="45" s="1"/>
  <c r="BI22" i="45"/>
  <c r="AK22" i="62" s="1"/>
  <c r="BH14" i="45"/>
  <c r="AJ15" i="62" s="1"/>
  <c r="BH7" i="45"/>
  <c r="AJ9" i="62" s="1"/>
  <c r="BH112" i="34"/>
  <c r="BI71" i="36"/>
  <c r="BI161" i="34"/>
  <c r="BI177" i="34"/>
  <c r="BH96" i="34"/>
  <c r="BI55" i="36"/>
  <c r="M71" i="45" l="1"/>
  <c r="M73" i="45" s="1"/>
  <c r="M80" i="45" s="1"/>
  <c r="BG8" i="45"/>
  <c r="AI10" i="62" s="1"/>
  <c r="N20" i="45"/>
  <c r="N19" i="45" s="1"/>
  <c r="N60" i="45" s="1"/>
  <c r="BG15" i="45"/>
  <c r="AI16" i="62" s="1"/>
  <c r="N12" i="45"/>
  <c r="N11" i="45" s="1"/>
  <c r="N59" i="45" s="1"/>
  <c r="BH23" i="45"/>
  <c r="N5" i="45"/>
  <c r="N4" i="45" s="1"/>
  <c r="N58" i="45" s="1"/>
  <c r="BI14" i="45"/>
  <c r="AK15" i="62" s="1"/>
  <c r="BJ22" i="45"/>
  <c r="AL22" i="62" s="1"/>
  <c r="BI7" i="45"/>
  <c r="AK9" i="62" s="1"/>
  <c r="BI112" i="34"/>
  <c r="BJ71" i="36"/>
  <c r="BJ161" i="34"/>
  <c r="BJ177" i="34"/>
  <c r="BI96" i="34"/>
  <c r="BJ55" i="36"/>
  <c r="N71" i="45" l="1"/>
  <c r="N73" i="45" s="1"/>
  <c r="N80" i="45" s="1"/>
  <c r="BH15" i="45"/>
  <c r="AJ16" i="62" s="1"/>
  <c r="O20" i="45"/>
  <c r="O19" i="45" s="1"/>
  <c r="O60" i="45" s="1"/>
  <c r="BH8" i="45"/>
  <c r="AJ10" i="62" s="1"/>
  <c r="O12" i="45"/>
  <c r="O11" i="45" s="1"/>
  <c r="O59" i="45" s="1"/>
  <c r="BI23" i="45"/>
  <c r="O5" i="45"/>
  <c r="O4" i="45" s="1"/>
  <c r="O58" i="45" s="1"/>
  <c r="BK22" i="45"/>
  <c r="AM22" i="62" s="1"/>
  <c r="BJ14" i="45"/>
  <c r="AL15" i="62" s="1"/>
  <c r="BJ7" i="45"/>
  <c r="AL9" i="62" s="1"/>
  <c r="BJ112" i="34"/>
  <c r="BK71" i="36"/>
  <c r="BK161" i="34"/>
  <c r="BK177" i="34"/>
  <c r="BJ96" i="34"/>
  <c r="BK55" i="36"/>
  <c r="O71" i="45" l="1"/>
  <c r="O73" i="45" s="1"/>
  <c r="O80" i="45" s="1"/>
  <c r="P5" i="45"/>
  <c r="P4" i="45" s="1"/>
  <c r="P58" i="45" s="1"/>
  <c r="BI15" i="45"/>
  <c r="AK16" i="62" s="1"/>
  <c r="P20" i="45"/>
  <c r="P19" i="45" s="1"/>
  <c r="P60" i="45" s="1"/>
  <c r="BJ23" i="45"/>
  <c r="BI8" i="45"/>
  <c r="AK10" i="62" s="1"/>
  <c r="P12" i="45"/>
  <c r="P11" i="45" s="1"/>
  <c r="P59" i="45" s="1"/>
  <c r="BL22" i="45"/>
  <c r="AN22" i="62" s="1"/>
  <c r="BK14" i="45"/>
  <c r="AM15" i="62" s="1"/>
  <c r="BK7" i="45"/>
  <c r="AM9" i="62" s="1"/>
  <c r="BK112" i="34"/>
  <c r="BL71" i="36"/>
  <c r="BL161" i="34"/>
  <c r="BL177" i="34"/>
  <c r="BK96" i="34"/>
  <c r="BL55" i="36"/>
  <c r="P71" i="45" l="1"/>
  <c r="P73" i="45" s="1"/>
  <c r="P80" i="45" s="1"/>
  <c r="BK23" i="45"/>
  <c r="BJ8" i="45"/>
  <c r="AL10" i="62" s="1"/>
  <c r="Q12" i="45"/>
  <c r="Q11" i="45" s="1"/>
  <c r="Q59" i="45" s="1"/>
  <c r="Q20" i="45"/>
  <c r="Q19" i="45" s="1"/>
  <c r="Q60" i="45" s="1"/>
  <c r="BJ15" i="45"/>
  <c r="AL16" i="62" s="1"/>
  <c r="Q5" i="45"/>
  <c r="Q4" i="45" s="1"/>
  <c r="Q58" i="45" s="1"/>
  <c r="BL7" i="45"/>
  <c r="AN9" i="62" s="1"/>
  <c r="BN22" i="45"/>
  <c r="AP22" i="62" s="1"/>
  <c r="BM22" i="45"/>
  <c r="AO22" i="62" s="1"/>
  <c r="BL14" i="45"/>
  <c r="AN15" i="62" s="1"/>
  <c r="BL112" i="34"/>
  <c r="BM71" i="36"/>
  <c r="BM161" i="34"/>
  <c r="BM177" i="34"/>
  <c r="BL96" i="34"/>
  <c r="BM55" i="36"/>
  <c r="Q71" i="45" l="1"/>
  <c r="Q73" i="45" s="1"/>
  <c r="Q80" i="45" s="1"/>
  <c r="BK8" i="45"/>
  <c r="AM10" i="62" s="1"/>
  <c r="R5" i="45"/>
  <c r="R4" i="45" s="1"/>
  <c r="R58" i="45" s="1"/>
  <c r="BL23" i="45"/>
  <c r="R20" i="45"/>
  <c r="R19" i="45" s="1"/>
  <c r="R60" i="45" s="1"/>
  <c r="BK15" i="45"/>
  <c r="AM16" i="62" s="1"/>
  <c r="R12" i="45"/>
  <c r="R11" i="45" s="1"/>
  <c r="R59" i="45" s="1"/>
  <c r="BM7" i="45"/>
  <c r="AO9" i="62" s="1"/>
  <c r="BN7" i="45"/>
  <c r="AP9" i="62" s="1"/>
  <c r="BN14" i="45"/>
  <c r="AP15" i="62" s="1"/>
  <c r="BM14" i="45"/>
  <c r="AO15" i="62" s="1"/>
  <c r="BM112" i="34"/>
  <c r="BN71" i="36"/>
  <c r="BN161" i="34"/>
  <c r="BN177" i="34"/>
  <c r="BM96" i="34"/>
  <c r="BN55" i="36"/>
  <c r="R71" i="45" l="1"/>
  <c r="R73" i="45" s="1"/>
  <c r="R80" i="45" s="1"/>
  <c r="BM23" i="45"/>
  <c r="BN23" i="45"/>
  <c r="S12" i="45"/>
  <c r="S11" i="45" s="1"/>
  <c r="S59" i="45" s="1"/>
  <c r="S5" i="45"/>
  <c r="S4" i="45" s="1"/>
  <c r="S58" i="45" s="1"/>
  <c r="S20" i="45"/>
  <c r="S19" i="45" s="1"/>
  <c r="S60" i="45" s="1"/>
  <c r="BL15" i="45"/>
  <c r="AN16" i="62" s="1"/>
  <c r="BL8" i="45"/>
  <c r="AN10" i="62" s="1"/>
  <c r="BN112" i="34"/>
  <c r="BP71" i="36"/>
  <c r="BP161" i="34"/>
  <c r="BP177" i="34"/>
  <c r="BO71" i="36"/>
  <c r="BO161" i="34"/>
  <c r="BO177" i="34"/>
  <c r="BN96" i="34"/>
  <c r="BP55" i="36"/>
  <c r="BO55" i="36"/>
  <c r="S71" i="45" l="1"/>
  <c r="S73" i="45" s="1"/>
  <c r="S80" i="45" s="1"/>
  <c r="BN15" i="45"/>
  <c r="AP16" i="62" s="1"/>
  <c r="BN8" i="45"/>
  <c r="AP10" i="62" s="1"/>
  <c r="BM8" i="45"/>
  <c r="AO10" i="62" s="1"/>
  <c r="T12" i="45"/>
  <c r="T11" i="45" s="1"/>
  <c r="T59" i="45" s="1"/>
  <c r="T5" i="45"/>
  <c r="T4" i="45" s="1"/>
  <c r="T58" i="45" s="1"/>
  <c r="BM15" i="45"/>
  <c r="AO16" i="62" s="1"/>
  <c r="T20" i="45"/>
  <c r="T19" i="45" s="1"/>
  <c r="T60" i="45" s="1"/>
  <c r="BP112" i="34"/>
  <c r="BO112" i="34"/>
  <c r="BP96" i="34"/>
  <c r="BO96" i="34"/>
  <c r="T71" i="45" l="1"/>
  <c r="T73" i="45" s="1"/>
  <c r="T80" i="45" s="1"/>
  <c r="U5" i="45"/>
  <c r="U4" i="45" s="1"/>
  <c r="U58" i="45" s="1"/>
  <c r="U12" i="45"/>
  <c r="U11" i="45" s="1"/>
  <c r="U59" i="45" s="1"/>
  <c r="U20" i="45"/>
  <c r="U19" i="45" s="1"/>
  <c r="U60" i="45" s="1"/>
  <c r="U71" i="45" l="1"/>
  <c r="U73" i="45" s="1"/>
  <c r="U80" i="45" s="1"/>
  <c r="V20" i="45"/>
  <c r="V19" i="45" s="1"/>
  <c r="V60" i="45" s="1"/>
  <c r="V5" i="45"/>
  <c r="V4" i="45" s="1"/>
  <c r="V58" i="45" s="1"/>
  <c r="V12" i="45"/>
  <c r="V11" i="45" s="1"/>
  <c r="V59" i="45" s="1"/>
  <c r="V71" i="45" l="1"/>
  <c r="V73" i="45" s="1"/>
  <c r="V80" i="45" s="1"/>
  <c r="W12" i="45"/>
  <c r="W11" i="45" s="1"/>
  <c r="W59" i="45" s="1"/>
  <c r="W20" i="45"/>
  <c r="W19" i="45" s="1"/>
  <c r="W60" i="45" s="1"/>
  <c r="W5" i="45"/>
  <c r="W4" i="45" s="1"/>
  <c r="W58" i="45" s="1"/>
  <c r="W71" i="45" l="1"/>
  <c r="W73" i="45" s="1"/>
  <c r="W80" i="45" s="1"/>
  <c r="X20" i="45"/>
  <c r="X19" i="45" s="1"/>
  <c r="X60" i="45" s="1"/>
  <c r="X5" i="45"/>
  <c r="X4" i="45" s="1"/>
  <c r="X58" i="45" s="1"/>
  <c r="X12" i="45"/>
  <c r="X11" i="45" s="1"/>
  <c r="X59" i="45" s="1"/>
  <c r="X71" i="45" l="1"/>
  <c r="X73" i="45" s="1"/>
  <c r="X80" i="45" s="1"/>
  <c r="Y12" i="45"/>
  <c r="Y11" i="45" s="1"/>
  <c r="Y59" i="45" s="1"/>
  <c r="Y20" i="45"/>
  <c r="Y19" i="45" s="1"/>
  <c r="Y60" i="45" s="1"/>
  <c r="Y5" i="45"/>
  <c r="Y4" i="45" s="1"/>
  <c r="Y58" i="45" s="1"/>
  <c r="Y71" i="45" l="1"/>
  <c r="Y73" i="45" s="1"/>
  <c r="Y80" i="45" s="1"/>
  <c r="Z5" i="45"/>
  <c r="Z4" i="45" s="1"/>
  <c r="Z58" i="45" s="1"/>
  <c r="Z20" i="45"/>
  <c r="Z19" i="45" s="1"/>
  <c r="Z60" i="45" s="1"/>
  <c r="Z12" i="45"/>
  <c r="Z11" i="45" s="1"/>
  <c r="Z59" i="45" s="1"/>
  <c r="Z71" i="45" l="1"/>
  <c r="AA5" i="45"/>
  <c r="AA4" i="45" s="1"/>
  <c r="AA58" i="45" s="1"/>
  <c r="AA20" i="45"/>
  <c r="AA19" i="45" s="1"/>
  <c r="AA60" i="45" s="1"/>
  <c r="AA12" i="45"/>
  <c r="AA11" i="45" s="1"/>
  <c r="AA59" i="45" s="1"/>
  <c r="AA71" i="45" l="1"/>
  <c r="AA30" i="45" l="1"/>
  <c r="AA37" i="45"/>
  <c r="Z37" i="45"/>
  <c r="Z30" i="45"/>
  <c r="AA31" i="45" l="1"/>
  <c r="AA38" i="45"/>
  <c r="Z33" i="45"/>
  <c r="Z40" i="45"/>
  <c r="Z31" i="45"/>
  <c r="Z38" i="45"/>
  <c r="Z32" i="45"/>
  <c r="Z39" i="45"/>
  <c r="AA40" i="45"/>
  <c r="AA33" i="45"/>
  <c r="AA32" i="45"/>
  <c r="AA39" i="45"/>
  <c r="Z35" i="45" l="1"/>
  <c r="Z29" i="45"/>
  <c r="Z28" i="45"/>
  <c r="Z36" i="45"/>
  <c r="AA28" i="45"/>
  <c r="AA29" i="45"/>
  <c r="AA35" i="45"/>
  <c r="AA36" i="45"/>
  <c r="Z27" i="45" l="1"/>
  <c r="Z61" i="45" s="1"/>
  <c r="Z34" i="45"/>
  <c r="Z62" i="45" s="1"/>
  <c r="AA34" i="45"/>
  <c r="AA62" i="45" s="1"/>
  <c r="AA27" i="45"/>
  <c r="AA61" i="45" s="1"/>
  <c r="AA72" i="45" l="1"/>
  <c r="AA73" i="45" s="1"/>
  <c r="AA80" i="45" s="1"/>
  <c r="Z72" i="45"/>
  <c r="Z73" i="45" s="1"/>
  <c r="Z80" i="45" s="1"/>
  <c r="AJ71" i="36" l="1"/>
  <c r="AJ112" i="34" s="1"/>
  <c r="AJ177" i="34"/>
  <c r="AJ161" i="34"/>
  <c r="AJ41" i="34"/>
  <c r="AJ9" i="34"/>
  <c r="AJ23" i="34"/>
  <c r="AJ55" i="36"/>
  <c r="AJ96" i="34" l="1"/>
  <c r="T24" i="55"/>
  <c r="AJ39" i="57"/>
  <c r="AK29" i="57"/>
  <c r="AK40" i="57"/>
  <c r="AJ40" i="57" l="1"/>
  <c r="AK39" i="57"/>
  <c r="AR45" i="50" s="1"/>
  <c r="AR44" i="50" s="1"/>
  <c r="AJ29" i="57"/>
  <c r="AK33" i="57"/>
  <c r="AJ33" i="57"/>
  <c r="AK41" i="57"/>
  <c r="AJ41" i="57"/>
  <c r="X60" i="50" l="1"/>
  <c r="W60" i="50"/>
  <c r="W61" i="50" s="1"/>
  <c r="V60" i="50"/>
  <c r="V61" i="50" s="1"/>
  <c r="U60" i="50"/>
  <c r="U61" i="50" s="1"/>
  <c r="T60" i="50"/>
  <c r="T61" i="50" s="1"/>
  <c r="K60" i="50"/>
  <c r="K61" i="50" s="1"/>
  <c r="N60" i="50"/>
  <c r="N61" i="50" s="1"/>
  <c r="D60" i="50"/>
  <c r="D61" i="50" s="1"/>
  <c r="I60" i="50"/>
  <c r="I61" i="50" s="1"/>
  <c r="R60" i="50"/>
  <c r="R61" i="50" s="1"/>
  <c r="H60" i="50"/>
  <c r="H61" i="50" s="1"/>
  <c r="G60" i="50"/>
  <c r="G61" i="50" s="1"/>
  <c r="J60" i="50"/>
  <c r="J61" i="50" s="1"/>
  <c r="C60" i="50"/>
  <c r="C61" i="50" s="1"/>
  <c r="E60" i="50"/>
  <c r="E61" i="50" s="1"/>
  <c r="M60" i="50"/>
  <c r="M61" i="50" s="1"/>
  <c r="S60" i="50"/>
  <c r="S61" i="50" s="1"/>
  <c r="L60" i="50"/>
  <c r="L61" i="50" s="1"/>
  <c r="F60" i="50"/>
  <c r="F61" i="50" s="1"/>
  <c r="Q60" i="50"/>
  <c r="Q61" i="50" s="1"/>
  <c r="O60" i="50"/>
  <c r="O61" i="50" s="1"/>
  <c r="P60" i="50"/>
  <c r="P61" i="50" s="1"/>
  <c r="AE42" i="50"/>
  <c r="AE55" i="50" s="1"/>
  <c r="AN42" i="50"/>
  <c r="AN55" i="50" s="1"/>
  <c r="AA42" i="50"/>
  <c r="AA55" i="50" s="1"/>
  <c r="AI42" i="50"/>
  <c r="AI55" i="50" s="1"/>
  <c r="AO42" i="50"/>
  <c r="AO55" i="50" s="1"/>
  <c r="AD42" i="50"/>
  <c r="AD55" i="50" s="1"/>
  <c r="AM42" i="50"/>
  <c r="AM55" i="50" s="1"/>
  <c r="Z42" i="50"/>
  <c r="Z55" i="50" s="1"/>
  <c r="AB42" i="50"/>
  <c r="AB55" i="50" s="1"/>
  <c r="AH42" i="50"/>
  <c r="AH55" i="50" s="1"/>
  <c r="Y42" i="50"/>
  <c r="AD20" i="36" s="1"/>
  <c r="AC42" i="50"/>
  <c r="AC55" i="50" s="1"/>
  <c r="BF42" i="50"/>
  <c r="BF55" i="50" s="1"/>
  <c r="AP42" i="50"/>
  <c r="AP55" i="50" s="1"/>
  <c r="AK42" i="50"/>
  <c r="AK55" i="50" s="1"/>
  <c r="AT42" i="50"/>
  <c r="AT55" i="50" s="1"/>
  <c r="BE42" i="50"/>
  <c r="BE55" i="50" s="1"/>
  <c r="AY42" i="50"/>
  <c r="AY55" i="50" s="1"/>
  <c r="AL42" i="50"/>
  <c r="AL55" i="50" s="1"/>
  <c r="AX42" i="50"/>
  <c r="AX55" i="50" s="1"/>
  <c r="AV42" i="50"/>
  <c r="AV55" i="50" s="1"/>
  <c r="AQ42" i="50"/>
  <c r="AQ55" i="50" s="1"/>
  <c r="AF42" i="50"/>
  <c r="AF55" i="50" s="1"/>
  <c r="AZ42" i="50"/>
  <c r="AZ55" i="50" s="1"/>
  <c r="AS42" i="50"/>
  <c r="AS55" i="50" s="1"/>
  <c r="BG42" i="50"/>
  <c r="BG55" i="50" s="1"/>
  <c r="BD42" i="50"/>
  <c r="BD55" i="50" s="1"/>
  <c r="AJ42" i="50"/>
  <c r="AJ55" i="50" s="1"/>
  <c r="AG42" i="50"/>
  <c r="AG55" i="50" s="1"/>
  <c r="BB42" i="50"/>
  <c r="BB55" i="50" s="1"/>
  <c r="BK42" i="50"/>
  <c r="BK55" i="50" s="1"/>
  <c r="AW42" i="50"/>
  <c r="AW55" i="50" s="1"/>
  <c r="BH42" i="50"/>
  <c r="BH55" i="50" s="1"/>
  <c r="BJ42" i="50"/>
  <c r="BJ55" i="50" s="1"/>
  <c r="BI42" i="50"/>
  <c r="BI55" i="50" s="1"/>
  <c r="BC42" i="50"/>
  <c r="BC55" i="50" s="1"/>
  <c r="AR42" i="50"/>
  <c r="AR55" i="50" s="1"/>
  <c r="BA42" i="50"/>
  <c r="BA55" i="50" s="1"/>
  <c r="AU42" i="50"/>
  <c r="AU55" i="50" s="1"/>
  <c r="Z27" i="50"/>
  <c r="Z18" i="50" s="1"/>
  <c r="Z52" i="50" s="1"/>
  <c r="Y27" i="50"/>
  <c r="Y18" i="50" s="1"/>
  <c r="Y52" i="50" s="1"/>
  <c r="AD37" i="50"/>
  <c r="AD54" i="50" s="1"/>
  <c r="AB37" i="50"/>
  <c r="AB54" i="50" s="1"/>
  <c r="AE37" i="50"/>
  <c r="AE54" i="50" s="1"/>
  <c r="AC37" i="50"/>
  <c r="AC54" i="50" s="1"/>
  <c r="Z37" i="50"/>
  <c r="Z54" i="50" s="1"/>
  <c r="AA37" i="50"/>
  <c r="AA54" i="50" s="1"/>
  <c r="AN37" i="50"/>
  <c r="AN54" i="50" s="1"/>
  <c r="AI37" i="50"/>
  <c r="AI54" i="50" s="1"/>
  <c r="AO37" i="50"/>
  <c r="AO54" i="50" s="1"/>
  <c r="AH37" i="50"/>
  <c r="AH54" i="50" s="1"/>
  <c r="AM37" i="50"/>
  <c r="AM54" i="50" s="1"/>
  <c r="AP37" i="50"/>
  <c r="AP54" i="50" s="1"/>
  <c r="AK37" i="50"/>
  <c r="AK54" i="50" s="1"/>
  <c r="AY37" i="50"/>
  <c r="AY54" i="50" s="1"/>
  <c r="AW37" i="50"/>
  <c r="AW54" i="50" s="1"/>
  <c r="AQ37" i="50"/>
  <c r="AQ54" i="50" s="1"/>
  <c r="AZ37" i="50"/>
  <c r="AZ54" i="50" s="1"/>
  <c r="AT37" i="50"/>
  <c r="AT54" i="50" s="1"/>
  <c r="AX37" i="50"/>
  <c r="AX54" i="50" s="1"/>
  <c r="AV37" i="50"/>
  <c r="AV54" i="50" s="1"/>
  <c r="BK37" i="50"/>
  <c r="BK54" i="50" s="1"/>
  <c r="BJ37" i="50"/>
  <c r="BJ54" i="50" s="1"/>
  <c r="BC37" i="50"/>
  <c r="BC54" i="50" s="1"/>
  <c r="BA37" i="50"/>
  <c r="BA54" i="50" s="1"/>
  <c r="BB37" i="50"/>
  <c r="BB54" i="50" s="1"/>
  <c r="BH37" i="50"/>
  <c r="BH54" i="50" s="1"/>
  <c r="BF37" i="50"/>
  <c r="BF54" i="50" s="1"/>
  <c r="BD37" i="50"/>
  <c r="BD54" i="50" s="1"/>
  <c r="BG37" i="50"/>
  <c r="BG54" i="50" s="1"/>
  <c r="AF37" i="50"/>
  <c r="AF54" i="50" s="1"/>
  <c r="AS37" i="50"/>
  <c r="AS54" i="50" s="1"/>
  <c r="BE37" i="50"/>
  <c r="BE54" i="50" s="1"/>
  <c r="AJ37" i="50"/>
  <c r="AJ54" i="50" s="1"/>
  <c r="AU37" i="50"/>
  <c r="AU54" i="50" s="1"/>
  <c r="AL37" i="50"/>
  <c r="AL54" i="50" s="1"/>
  <c r="BI37" i="50"/>
  <c r="BI54" i="50" s="1"/>
  <c r="AR37" i="50"/>
  <c r="AR54" i="50" s="1"/>
  <c r="AG37" i="50"/>
  <c r="AG54" i="50" s="1"/>
  <c r="AI15" i="50"/>
  <c r="AI50" i="50" s="1"/>
  <c r="Y15" i="50"/>
  <c r="Y50" i="50" s="1"/>
  <c r="AC15" i="50"/>
  <c r="AC50" i="50" s="1"/>
  <c r="AB15" i="50"/>
  <c r="AB50" i="50" s="1"/>
  <c r="Z15" i="50"/>
  <c r="Z50" i="50" s="1"/>
  <c r="AD15" i="50"/>
  <c r="AD50" i="50" s="1"/>
  <c r="AA15" i="50"/>
  <c r="AA50" i="50" s="1"/>
  <c r="Y37" i="50"/>
  <c r="AE49" i="50"/>
  <c r="AD49" i="50"/>
  <c r="AA49" i="50"/>
  <c r="AC49" i="50"/>
  <c r="Y49" i="50"/>
  <c r="AB49" i="50"/>
  <c r="Z49" i="50"/>
  <c r="AD45" i="50"/>
  <c r="AD44" i="50" s="1"/>
  <c r="AA27" i="50"/>
  <c r="AA18" i="50" s="1"/>
  <c r="AA52" i="50" s="1"/>
  <c r="AB27" i="50"/>
  <c r="AB18" i="50" s="1"/>
  <c r="AB52" i="50" s="1"/>
  <c r="AC27" i="50"/>
  <c r="AC18" i="50" s="1"/>
  <c r="AC52" i="50" s="1"/>
  <c r="AD27" i="50"/>
  <c r="AD18" i="50" s="1"/>
  <c r="AD52" i="50" s="1"/>
  <c r="Z45" i="50"/>
  <c r="Z44" i="50" s="1"/>
  <c r="AA45" i="50"/>
  <c r="AA44" i="50" s="1"/>
  <c r="AC45" i="50"/>
  <c r="AC44" i="50" s="1"/>
  <c r="AB45" i="50"/>
  <c r="AB44" i="50" s="1"/>
  <c r="Y45" i="50"/>
  <c r="Y44" i="50" s="1"/>
  <c r="AE15" i="50"/>
  <c r="AE50" i="50" s="1"/>
  <c r="AO27" i="50"/>
  <c r="AO18" i="50" s="1"/>
  <c r="AO52" i="50" s="1"/>
  <c r="AE27" i="50"/>
  <c r="AE18" i="50" s="1"/>
  <c r="AE52" i="50" s="1"/>
  <c r="AE45" i="50"/>
  <c r="AE44" i="50" s="1"/>
  <c r="BG27" i="50"/>
  <c r="BG18" i="50" s="1"/>
  <c r="BG52" i="50" s="1"/>
  <c r="AJ27" i="50"/>
  <c r="AJ18" i="50" s="1"/>
  <c r="AJ52" i="50" s="1"/>
  <c r="BK27" i="50"/>
  <c r="BK18" i="50" s="1"/>
  <c r="BK52" i="50" s="1"/>
  <c r="BC27" i="50"/>
  <c r="BC18" i="50" s="1"/>
  <c r="BC52" i="50" s="1"/>
  <c r="AP27" i="50"/>
  <c r="AP18" i="50" s="1"/>
  <c r="AP52" i="50" s="1"/>
  <c r="BF27" i="50"/>
  <c r="BF18" i="50" s="1"/>
  <c r="BF52" i="50" s="1"/>
  <c r="AS27" i="50"/>
  <c r="AS18" i="50" s="1"/>
  <c r="AS52" i="50" s="1"/>
  <c r="BI27" i="50"/>
  <c r="BI18" i="50" s="1"/>
  <c r="BI52" i="50" s="1"/>
  <c r="AY27" i="50"/>
  <c r="AY18" i="50" s="1"/>
  <c r="AY52" i="50" s="1"/>
  <c r="AT27" i="50"/>
  <c r="AT18" i="50" s="1"/>
  <c r="AT52" i="50" s="1"/>
  <c r="AG27" i="50"/>
  <c r="AQ27" i="50"/>
  <c r="AQ18" i="50" s="1"/>
  <c r="AQ52" i="50" s="1"/>
  <c r="AF27" i="50"/>
  <c r="AF18" i="50" s="1"/>
  <c r="AF52" i="50" s="1"/>
  <c r="AL27" i="50"/>
  <c r="AL18" i="50" s="1"/>
  <c r="AL52" i="50" s="1"/>
  <c r="BB27" i="50"/>
  <c r="BB18" i="50" s="1"/>
  <c r="BB52" i="50" s="1"/>
  <c r="AV27" i="50"/>
  <c r="AV18" i="50" s="1"/>
  <c r="AV52" i="50" s="1"/>
  <c r="BE27" i="50"/>
  <c r="BE18" i="50" s="1"/>
  <c r="BE52" i="50" s="1"/>
  <c r="BD27" i="50"/>
  <c r="BD18" i="50" s="1"/>
  <c r="BD52" i="50" s="1"/>
  <c r="AX27" i="50"/>
  <c r="AX18" i="50" s="1"/>
  <c r="AX52" i="50" s="1"/>
  <c r="AU27" i="50"/>
  <c r="AU18" i="50" s="1"/>
  <c r="AU52" i="50" s="1"/>
  <c r="AW27" i="50"/>
  <c r="AW18" i="50" s="1"/>
  <c r="AW52" i="50" s="1"/>
  <c r="AM27" i="50"/>
  <c r="AM18" i="50" s="1"/>
  <c r="AM52" i="50" s="1"/>
  <c r="AR27" i="50"/>
  <c r="AR18" i="50" s="1"/>
  <c r="AR52" i="50" s="1"/>
  <c r="BA27" i="50"/>
  <c r="BA18" i="50" s="1"/>
  <c r="BA52" i="50" s="1"/>
  <c r="AI27" i="50"/>
  <c r="AI18" i="50" s="1"/>
  <c r="AI52" i="50" s="1"/>
  <c r="BH27" i="50"/>
  <c r="BH18" i="50" s="1"/>
  <c r="BH52" i="50" s="1"/>
  <c r="AH27" i="50"/>
  <c r="AH18" i="50" s="1"/>
  <c r="AH52" i="50" s="1"/>
  <c r="BJ27" i="50"/>
  <c r="BJ18" i="50" s="1"/>
  <c r="BJ52" i="50" s="1"/>
  <c r="AU15" i="50"/>
  <c r="AU50" i="50" s="1"/>
  <c r="AT15" i="50"/>
  <c r="AT50" i="50" s="1"/>
  <c r="AW15" i="50"/>
  <c r="AW50" i="50" s="1"/>
  <c r="BK15" i="50"/>
  <c r="BK50" i="50" s="1"/>
  <c r="AS15" i="50"/>
  <c r="AS50" i="50" s="1"/>
  <c r="BE15" i="50"/>
  <c r="BE50" i="50" s="1"/>
  <c r="BB15" i="50"/>
  <c r="BB50" i="50" s="1"/>
  <c r="AN15" i="50"/>
  <c r="AN50" i="50" s="1"/>
  <c r="BI15" i="50"/>
  <c r="BI50" i="50" s="1"/>
  <c r="AL15" i="50"/>
  <c r="AL50" i="50" s="1"/>
  <c r="BD15" i="50"/>
  <c r="BD50" i="50" s="1"/>
  <c r="AZ15" i="50"/>
  <c r="AZ50" i="50" s="1"/>
  <c r="AH15" i="50"/>
  <c r="AH50" i="50" s="1"/>
  <c r="AG15" i="50"/>
  <c r="AG50" i="50" s="1"/>
  <c r="AK15" i="50"/>
  <c r="AK50" i="50" s="1"/>
  <c r="AV45" i="50"/>
  <c r="AV44" i="50" s="1"/>
  <c r="AK27" i="50"/>
  <c r="AK18" i="50" s="1"/>
  <c r="AK52" i="50" s="1"/>
  <c r="BE45" i="50"/>
  <c r="BE44" i="50" s="1"/>
  <c r="AX45" i="50"/>
  <c r="AX44" i="50" s="1"/>
  <c r="BI45" i="50"/>
  <c r="BI44" i="50" s="1"/>
  <c r="AI45" i="50"/>
  <c r="AI44" i="50" s="1"/>
  <c r="BF15" i="50"/>
  <c r="BF50" i="50" s="1"/>
  <c r="BA15" i="50"/>
  <c r="BA50" i="50" s="1"/>
  <c r="BJ15" i="50"/>
  <c r="BJ50" i="50" s="1"/>
  <c r="AF15" i="50"/>
  <c r="AF50" i="50" s="1"/>
  <c r="AJ15" i="50"/>
  <c r="AJ50" i="50" s="1"/>
  <c r="BH15" i="50"/>
  <c r="BH50" i="50" s="1"/>
  <c r="BC15" i="50"/>
  <c r="BC50" i="50" s="1"/>
  <c r="AX15" i="50"/>
  <c r="AX50" i="50" s="1"/>
  <c r="AF45" i="50"/>
  <c r="AF44" i="50" s="1"/>
  <c r="AG45" i="50"/>
  <c r="AG44" i="50" s="1"/>
  <c r="AG46" i="50" s="1"/>
  <c r="AN45" i="50"/>
  <c r="AN44" i="50" s="1"/>
  <c r="AY15" i="50"/>
  <c r="AY50" i="50" s="1"/>
  <c r="AM15" i="50"/>
  <c r="AM50" i="50" s="1"/>
  <c r="AV15" i="50"/>
  <c r="AV50" i="50" s="1"/>
  <c r="AP15" i="50"/>
  <c r="AP50" i="50" s="1"/>
  <c r="AR15" i="50"/>
  <c r="AR50" i="50" s="1"/>
  <c r="AQ15" i="50"/>
  <c r="AQ50" i="50" s="1"/>
  <c r="BG15" i="50"/>
  <c r="BG50" i="50" s="1"/>
  <c r="AO15" i="50"/>
  <c r="AO50" i="50" s="1"/>
  <c r="BG45" i="50"/>
  <c r="BG44" i="50" s="1"/>
  <c r="BA45" i="50"/>
  <c r="BA44" i="50" s="1"/>
  <c r="AM45" i="50"/>
  <c r="AM44" i="50" s="1"/>
  <c r="BK45" i="50"/>
  <c r="BK44" i="50" s="1"/>
  <c r="AZ45" i="50"/>
  <c r="AZ44" i="50" s="1"/>
  <c r="AO45" i="50"/>
  <c r="AO44" i="50" s="1"/>
  <c r="AH45" i="50"/>
  <c r="AH44" i="50" s="1"/>
  <c r="BF45" i="50"/>
  <c r="BF44" i="50" s="1"/>
  <c r="AK45" i="50"/>
  <c r="AK44" i="50" s="1"/>
  <c r="AS45" i="50"/>
  <c r="AS44" i="50" s="1"/>
  <c r="BB45" i="50"/>
  <c r="BB44" i="50" s="1"/>
  <c r="BJ45" i="50"/>
  <c r="BJ44" i="50" s="1"/>
  <c r="AU45" i="50"/>
  <c r="AU44" i="50" s="1"/>
  <c r="AJ45" i="50"/>
  <c r="AJ44" i="50" s="1"/>
  <c r="AJ46" i="50" s="1"/>
  <c r="BH45" i="50"/>
  <c r="BH44" i="50" s="1"/>
  <c r="AQ45" i="50"/>
  <c r="AQ44" i="50" s="1"/>
  <c r="AY45" i="50"/>
  <c r="AY44" i="50" s="1"/>
  <c r="BD45" i="50"/>
  <c r="BD44" i="50" s="1"/>
  <c r="AL45" i="50"/>
  <c r="AL44" i="50" s="1"/>
  <c r="AT45" i="50"/>
  <c r="AT44" i="50" s="1"/>
  <c r="BC45" i="50"/>
  <c r="BC44" i="50" s="1"/>
  <c r="AN27" i="50"/>
  <c r="AN18" i="50" s="1"/>
  <c r="AN52" i="50" s="1"/>
  <c r="AZ27" i="50"/>
  <c r="AZ18" i="50" s="1"/>
  <c r="AZ52" i="50" s="1"/>
  <c r="AW45" i="50"/>
  <c r="AW44" i="50" s="1"/>
  <c r="AP45" i="50"/>
  <c r="AP44" i="50" s="1"/>
  <c r="AY49" i="50"/>
  <c r="AS49" i="50"/>
  <c r="AM49" i="50"/>
  <c r="AG49" i="50"/>
  <c r="AQ49" i="50"/>
  <c r="AK49" i="50"/>
  <c r="AU49" i="50"/>
  <c r="AO49" i="50"/>
  <c r="AH49" i="50"/>
  <c r="AF49" i="50"/>
  <c r="BI49" i="50"/>
  <c r="BC49" i="50"/>
  <c r="AW49" i="50"/>
  <c r="BG49" i="50"/>
  <c r="BA49" i="50"/>
  <c r="BK49" i="50"/>
  <c r="BE49" i="50"/>
  <c r="AX49" i="50"/>
  <c r="AV49" i="50"/>
  <c r="AL49" i="50"/>
  <c r="AJ49" i="50"/>
  <c r="AP49" i="50"/>
  <c r="AN49" i="50"/>
  <c r="AT49" i="50"/>
  <c r="AR49" i="50"/>
  <c r="AZ49" i="50"/>
  <c r="BH49" i="50"/>
  <c r="AI49" i="50"/>
  <c r="BF49" i="50"/>
  <c r="BD49" i="50"/>
  <c r="BB49" i="50"/>
  <c r="BJ49" i="50"/>
  <c r="AR46" i="50"/>
  <c r="Y55" i="50" l="1"/>
  <c r="BC56" i="50"/>
  <c r="BC58" i="50" s="1"/>
  <c r="BC59" i="50" s="1"/>
  <c r="BC60" i="50" s="1"/>
  <c r="BE56" i="50"/>
  <c r="AO56" i="50"/>
  <c r="AP56" i="50"/>
  <c r="BJ56" i="50"/>
  <c r="BK56" i="50"/>
  <c r="Z56" i="50"/>
  <c r="BG56" i="50"/>
  <c r="BH56" i="50"/>
  <c r="AK56" i="50"/>
  <c r="BD56" i="50"/>
  <c r="BB56" i="50"/>
  <c r="X61" i="50"/>
  <c r="AD41" i="36"/>
  <c r="BA56" i="50"/>
  <c r="AQ56" i="50"/>
  <c r="AV56" i="50"/>
  <c r="AR56" i="50"/>
  <c r="AY56" i="50"/>
  <c r="AF56" i="50"/>
  <c r="AH56" i="50"/>
  <c r="BI56" i="50"/>
  <c r="AU56" i="50"/>
  <c r="AZ56" i="50"/>
  <c r="AN56" i="50"/>
  <c r="AI56" i="50"/>
  <c r="AG18" i="50"/>
  <c r="AG52" i="50" s="1"/>
  <c r="AG56" i="50" s="1"/>
  <c r="AB56" i="50"/>
  <c r="AA56" i="50"/>
  <c r="AD56" i="50"/>
  <c r="AM56" i="50"/>
  <c r="BF56" i="50"/>
  <c r="AL56" i="50"/>
  <c r="AS56" i="50"/>
  <c r="AE56" i="50"/>
  <c r="AW56" i="50"/>
  <c r="AJ56" i="50"/>
  <c r="AT56" i="50"/>
  <c r="AC56" i="50"/>
  <c r="AX56" i="50"/>
  <c r="AD21" i="36"/>
  <c r="Y54" i="50"/>
  <c r="Y56" i="50" s="1"/>
  <c r="BB20" i="36"/>
  <c r="BB22" i="36"/>
  <c r="BE22" i="36"/>
  <c r="BE20" i="36"/>
  <c r="AY20" i="36"/>
  <c r="AY22" i="36"/>
  <c r="AE22" i="36"/>
  <c r="AE20" i="36"/>
  <c r="AZ20" i="36"/>
  <c r="AZ22" i="36"/>
  <c r="BN20" i="36"/>
  <c r="BN22" i="36"/>
  <c r="BP22" i="36"/>
  <c r="BP20" i="36"/>
  <c r="BI20" i="36"/>
  <c r="BI22" i="36"/>
  <c r="AK22" i="36"/>
  <c r="AK20" i="36"/>
  <c r="AQ22" i="36"/>
  <c r="AQ20" i="36"/>
  <c r="AP22" i="36"/>
  <c r="AP20" i="36"/>
  <c r="AD22" i="36"/>
  <c r="AR22" i="36"/>
  <c r="AR20" i="36"/>
  <c r="AF20" i="36"/>
  <c r="AF22" i="36"/>
  <c r="BH22" i="36"/>
  <c r="BH20" i="36"/>
  <c r="AO20" i="36"/>
  <c r="AO22" i="36"/>
  <c r="BC20" i="36"/>
  <c r="BC22" i="36"/>
  <c r="AH20" i="36"/>
  <c r="AH22" i="36"/>
  <c r="BF22" i="36"/>
  <c r="BF20" i="36"/>
  <c r="BO20" i="36"/>
  <c r="BO22" i="36"/>
  <c r="BG22" i="36"/>
  <c r="BG20" i="36"/>
  <c r="BL22" i="36"/>
  <c r="BL20" i="36"/>
  <c r="AV22" i="36"/>
  <c r="AV20" i="36"/>
  <c r="BD22" i="36"/>
  <c r="BD20" i="36"/>
  <c r="AU20" i="36"/>
  <c r="AU22" i="36"/>
  <c r="AM22" i="36"/>
  <c r="AM20" i="36"/>
  <c r="AI22" i="36"/>
  <c r="AI20" i="36"/>
  <c r="AS22" i="36"/>
  <c r="AS20" i="36"/>
  <c r="AN20" i="36"/>
  <c r="AN22" i="36"/>
  <c r="AW22" i="36"/>
  <c r="AW20" i="36"/>
  <c r="BM22" i="36"/>
  <c r="BM20" i="36"/>
  <c r="AL22" i="36"/>
  <c r="AL20" i="36"/>
  <c r="AX22" i="36"/>
  <c r="AX20" i="36"/>
  <c r="BA22" i="36"/>
  <c r="BA20" i="36"/>
  <c r="BJ20" i="36"/>
  <c r="BJ22" i="36"/>
  <c r="BK20" i="36"/>
  <c r="BK22" i="36"/>
  <c r="AG20" i="36"/>
  <c r="AG22" i="36"/>
  <c r="AT22" i="36"/>
  <c r="AT20" i="36"/>
  <c r="AJ22" i="36"/>
  <c r="AJ20" i="36"/>
  <c r="BM7" i="36"/>
  <c r="BM5" i="36"/>
  <c r="BM6" i="36"/>
  <c r="AP6" i="36"/>
  <c r="AP5" i="36"/>
  <c r="AP7" i="36"/>
  <c r="BB7" i="36"/>
  <c r="BB5" i="36"/>
  <c r="BB6" i="36"/>
  <c r="AV7" i="36"/>
  <c r="AV5" i="36"/>
  <c r="AV6" i="36"/>
  <c r="AR5" i="36"/>
  <c r="AR6" i="36"/>
  <c r="AR7" i="36"/>
  <c r="AO5" i="36"/>
  <c r="AO7" i="36"/>
  <c r="AO6" i="36"/>
  <c r="BK7" i="36"/>
  <c r="BK6" i="36"/>
  <c r="BK5" i="36"/>
  <c r="AL5" i="36"/>
  <c r="AL7" i="36"/>
  <c r="AL6" i="36"/>
  <c r="BJ6" i="36"/>
  <c r="BJ7" i="36"/>
  <c r="BJ5" i="36"/>
  <c r="AY5" i="36"/>
  <c r="AY7" i="36"/>
  <c r="AY6" i="36"/>
  <c r="AF7" i="36"/>
  <c r="AF6" i="36"/>
  <c r="AF5" i="36"/>
  <c r="AH5" i="36"/>
  <c r="AH6" i="36"/>
  <c r="AH7" i="36"/>
  <c r="BL5" i="36"/>
  <c r="BL7" i="36"/>
  <c r="BL6" i="36"/>
  <c r="BG6" i="36"/>
  <c r="BG7" i="36"/>
  <c r="BG5" i="36"/>
  <c r="AG6" i="36"/>
  <c r="AG7" i="36"/>
  <c r="AG5" i="36"/>
  <c r="AW5" i="36"/>
  <c r="AW7" i="36"/>
  <c r="AW6" i="36"/>
  <c r="BD6" i="36"/>
  <c r="BD5" i="36"/>
  <c r="BD7" i="36"/>
  <c r="BC6" i="36"/>
  <c r="BC7" i="36"/>
  <c r="BC5" i="36"/>
  <c r="AK6" i="36"/>
  <c r="AK7" i="36"/>
  <c r="AK5" i="36"/>
  <c r="AM6" i="36"/>
  <c r="AM5" i="36"/>
  <c r="AM7" i="36"/>
  <c r="BN5" i="36"/>
  <c r="BN7" i="36"/>
  <c r="BN6" i="36"/>
  <c r="AX5" i="36"/>
  <c r="AX6" i="36"/>
  <c r="AX7" i="36"/>
  <c r="AZ6" i="36"/>
  <c r="AZ7" i="36"/>
  <c r="AZ5" i="36"/>
  <c r="AJ6" i="36"/>
  <c r="AJ5" i="36"/>
  <c r="AJ7" i="36"/>
  <c r="AI7" i="36"/>
  <c r="AI6" i="36"/>
  <c r="AI5" i="36"/>
  <c r="BA5" i="36"/>
  <c r="BA7" i="36"/>
  <c r="BA6" i="36"/>
  <c r="BF5" i="36"/>
  <c r="BF7" i="36"/>
  <c r="BF6" i="36"/>
  <c r="BI5" i="36"/>
  <c r="BI7" i="36"/>
  <c r="BI6" i="36"/>
  <c r="AT5" i="36"/>
  <c r="AT7" i="36"/>
  <c r="AT6" i="36"/>
  <c r="AU7" i="36"/>
  <c r="AU5" i="36"/>
  <c r="AU6" i="36"/>
  <c r="BH6" i="36"/>
  <c r="BH7" i="36"/>
  <c r="BH5" i="36"/>
  <c r="BO7" i="36"/>
  <c r="BO6" i="36"/>
  <c r="BO5" i="36"/>
  <c r="BE6" i="36"/>
  <c r="BE5" i="36"/>
  <c r="BE7" i="36"/>
  <c r="AS5" i="36"/>
  <c r="AS6" i="36"/>
  <c r="AS7" i="36"/>
  <c r="BP5" i="36"/>
  <c r="BP6" i="36"/>
  <c r="BP7" i="36"/>
  <c r="AE5" i="36"/>
  <c r="AE6" i="36"/>
  <c r="AE7" i="36"/>
  <c r="AN7" i="36"/>
  <c r="AN5" i="36"/>
  <c r="AN6" i="36"/>
  <c r="AQ5" i="36"/>
  <c r="AQ7" i="36"/>
  <c r="AQ6" i="36"/>
  <c r="AD6" i="36"/>
  <c r="AD7" i="36"/>
  <c r="AD5" i="36"/>
  <c r="AW31" i="55"/>
  <c r="AL31" i="55"/>
  <c r="AX31" i="55"/>
  <c r="AQ31" i="55"/>
  <c r="AA31" i="55"/>
  <c r="AT31" i="55"/>
  <c r="AR31" i="55"/>
  <c r="AM31" i="55"/>
  <c r="AC31" i="55"/>
  <c r="Z31" i="55"/>
  <c r="AV31" i="55"/>
  <c r="W31" i="55"/>
  <c r="AB31" i="55"/>
  <c r="AU31" i="55"/>
  <c r="AJ31" i="55"/>
  <c r="AH31" i="55"/>
  <c r="AO31" i="55"/>
  <c r="AN31" i="55"/>
  <c r="V31" i="55"/>
  <c r="X31" i="55"/>
  <c r="AY31" i="55"/>
  <c r="AI31" i="55"/>
  <c r="AK31" i="55"/>
  <c r="AE31" i="55"/>
  <c r="AF31" i="55"/>
  <c r="AS31" i="55"/>
  <c r="AZ31" i="55"/>
  <c r="AP31" i="55"/>
  <c r="AD31" i="55"/>
  <c r="BA31" i="55"/>
  <c r="Y31" i="55"/>
  <c r="AL19" i="36"/>
  <c r="AL21" i="36"/>
  <c r="BM19" i="36"/>
  <c r="BM21" i="36"/>
  <c r="AY21" i="36"/>
  <c r="AY19" i="36"/>
  <c r="AM21" i="36"/>
  <c r="AM19" i="36"/>
  <c r="AG19" i="36"/>
  <c r="AG21" i="36"/>
  <c r="AW19" i="36"/>
  <c r="AW21" i="36"/>
  <c r="AO19" i="36"/>
  <c r="AO21" i="36"/>
  <c r="BL21" i="36"/>
  <c r="BL19" i="36"/>
  <c r="BG21" i="36"/>
  <c r="BG19" i="36"/>
  <c r="BP19" i="36"/>
  <c r="BP21" i="36"/>
  <c r="BE19" i="36"/>
  <c r="BE21" i="36"/>
  <c r="AP21" i="36"/>
  <c r="AP19" i="36"/>
  <c r="AT19" i="36"/>
  <c r="AT21" i="36"/>
  <c r="AE21" i="36"/>
  <c r="AE19" i="36"/>
  <c r="AI21" i="36"/>
  <c r="AI19" i="36"/>
  <c r="AZ21" i="36"/>
  <c r="AZ19" i="36"/>
  <c r="AK19" i="36"/>
  <c r="AK21" i="36"/>
  <c r="BO21" i="36"/>
  <c r="BO19" i="36"/>
  <c r="BD19" i="36"/>
  <c r="BD21" i="36"/>
  <c r="AF19" i="36"/>
  <c r="AF21" i="36"/>
  <c r="AD19" i="36"/>
  <c r="BN21" i="36"/>
  <c r="BN19" i="36"/>
  <c r="BJ19" i="36"/>
  <c r="BJ21" i="36"/>
  <c r="BI19" i="36"/>
  <c r="BI21" i="36"/>
  <c r="BF21" i="36"/>
  <c r="BF19" i="36"/>
  <c r="BA19" i="36"/>
  <c r="BA21" i="36"/>
  <c r="AV19" i="36"/>
  <c r="AV21" i="36"/>
  <c r="AU21" i="36"/>
  <c r="AU19" i="36"/>
  <c r="AN19" i="36"/>
  <c r="AN21" i="36"/>
  <c r="AH19" i="36"/>
  <c r="AH21" i="36"/>
  <c r="AQ21" i="36"/>
  <c r="AQ19" i="36"/>
  <c r="AX21" i="36"/>
  <c r="AX19" i="36"/>
  <c r="BK21" i="36"/>
  <c r="BK19" i="36"/>
  <c r="BH19" i="36"/>
  <c r="BH21" i="36"/>
  <c r="BC21" i="36"/>
  <c r="BC19" i="36"/>
  <c r="BB19" i="36"/>
  <c r="BB21" i="36"/>
  <c r="AR21" i="36"/>
  <c r="AR19" i="36"/>
  <c r="AS19" i="36"/>
  <c r="AS21" i="36"/>
  <c r="AJ21" i="36"/>
  <c r="AJ19" i="36"/>
  <c r="BE12" i="36"/>
  <c r="BE11" i="36"/>
  <c r="AM12" i="36"/>
  <c r="AM11" i="36"/>
  <c r="BC12" i="36"/>
  <c r="BC11" i="36"/>
  <c r="AL12" i="36"/>
  <c r="AL11" i="36"/>
  <c r="BP11" i="36"/>
  <c r="BP12" i="36"/>
  <c r="AI12" i="36"/>
  <c r="AI11" i="36"/>
  <c r="AS12" i="36"/>
  <c r="AS11" i="36"/>
  <c r="AR12" i="36"/>
  <c r="AR11" i="36"/>
  <c r="AP12" i="36"/>
  <c r="AP11" i="36"/>
  <c r="AN12" i="36"/>
  <c r="AN11" i="36"/>
  <c r="BB12" i="36"/>
  <c r="BB11" i="36"/>
  <c r="BJ12" i="36"/>
  <c r="BJ11" i="36"/>
  <c r="AK12" i="36"/>
  <c r="AK11" i="36"/>
  <c r="AK162" i="34" s="1"/>
  <c r="BD12" i="36"/>
  <c r="BD11" i="36"/>
  <c r="AU12" i="36"/>
  <c r="AU11" i="36"/>
  <c r="AU10" i="34" s="1"/>
  <c r="BL12" i="36"/>
  <c r="BL11" i="36"/>
  <c r="AG12" i="36"/>
  <c r="AG11" i="36"/>
  <c r="AD11" i="36"/>
  <c r="AD12" i="36"/>
  <c r="AW12" i="36"/>
  <c r="AW11" i="36"/>
  <c r="BG12" i="36"/>
  <c r="BG11" i="36"/>
  <c r="AX12" i="36"/>
  <c r="AX11" i="36"/>
  <c r="AJ12" i="36"/>
  <c r="AJ11" i="36"/>
  <c r="BM12" i="36"/>
  <c r="BM11" i="36"/>
  <c r="BI12" i="36"/>
  <c r="BI11" i="36"/>
  <c r="AQ12" i="36"/>
  <c r="AQ11" i="36"/>
  <c r="AY12" i="36"/>
  <c r="AY11" i="36"/>
  <c r="BK12" i="36"/>
  <c r="BK11" i="36"/>
  <c r="AO12" i="36"/>
  <c r="AO11" i="36"/>
  <c r="AT12" i="36"/>
  <c r="AT11" i="36"/>
  <c r="AT162" i="34" s="1"/>
  <c r="AH12" i="36"/>
  <c r="AH11" i="36"/>
  <c r="BO12" i="36"/>
  <c r="BO11" i="36"/>
  <c r="BF12" i="36"/>
  <c r="BF11" i="36"/>
  <c r="AZ12" i="36"/>
  <c r="AZ11" i="36"/>
  <c r="BA12" i="36"/>
  <c r="BA11" i="36"/>
  <c r="AV12" i="36"/>
  <c r="AV11" i="36"/>
  <c r="BN12" i="36"/>
  <c r="BN11" i="36"/>
  <c r="BH12" i="36"/>
  <c r="BH11" i="36"/>
  <c r="AF12" i="36"/>
  <c r="AF11" i="36"/>
  <c r="AE11" i="36"/>
  <c r="AE12" i="36"/>
  <c r="AN37" i="55"/>
  <c r="AR37" i="55"/>
  <c r="AI37" i="55"/>
  <c r="AX37" i="55"/>
  <c r="AJ37" i="55"/>
  <c r="AH37" i="55"/>
  <c r="AE37" i="55"/>
  <c r="AA37" i="55"/>
  <c r="AC37" i="55"/>
  <c r="AB37" i="55"/>
  <c r="Z37" i="55"/>
  <c r="X37" i="55"/>
  <c r="W37" i="55"/>
  <c r="U37" i="55"/>
  <c r="BA37" i="55"/>
  <c r="S12" i="55"/>
  <c r="T12" i="55"/>
  <c r="R31" i="55"/>
  <c r="AV46" i="50"/>
  <c r="O12" i="55"/>
  <c r="Q6" i="55"/>
  <c r="Q31" i="55"/>
  <c r="S31" i="55"/>
  <c r="T6" i="55"/>
  <c r="BI46" i="50"/>
  <c r="U31" i="55"/>
  <c r="P12" i="55"/>
  <c r="O6" i="55"/>
  <c r="P6" i="55"/>
  <c r="T31" i="55"/>
  <c r="O31" i="55"/>
  <c r="AM46" i="50"/>
  <c r="Q12" i="55"/>
  <c r="R12" i="55"/>
  <c r="R6" i="55"/>
  <c r="S6" i="55"/>
  <c r="P31" i="55"/>
  <c r="AM37" i="55"/>
  <c r="AO37" i="55"/>
  <c r="V37" i="55"/>
  <c r="AW37" i="55"/>
  <c r="Y37" i="55"/>
  <c r="AU37" i="55"/>
  <c r="AF37" i="55"/>
  <c r="Y46" i="50"/>
  <c r="Z46" i="50"/>
  <c r="O37" i="55"/>
  <c r="AB46" i="50"/>
  <c r="T37" i="55"/>
  <c r="R37" i="55"/>
  <c r="AC46" i="50"/>
  <c r="P37" i="55"/>
  <c r="Q37" i="55"/>
  <c r="AA46" i="50"/>
  <c r="S37" i="55"/>
  <c r="AD46" i="50"/>
  <c r="AD37" i="55"/>
  <c r="BD46" i="50"/>
  <c r="AS46" i="50"/>
  <c r="AO46" i="50"/>
  <c r="BA46" i="50"/>
  <c r="AX46" i="50"/>
  <c r="AP46" i="50"/>
  <c r="BC46" i="50"/>
  <c r="AY46" i="50"/>
  <c r="AU46" i="50"/>
  <c r="AZ46" i="50"/>
  <c r="BG46" i="50"/>
  <c r="BE46" i="50"/>
  <c r="AW46" i="50"/>
  <c r="AT46" i="50"/>
  <c r="AQ46" i="50"/>
  <c r="BJ46" i="50"/>
  <c r="BF46" i="50"/>
  <c r="BK46" i="50"/>
  <c r="BH46" i="50"/>
  <c r="BB46" i="50"/>
  <c r="AN46" i="50"/>
  <c r="AT37" i="55"/>
  <c r="AV37" i="55"/>
  <c r="AH46" i="50"/>
  <c r="AE46" i="50"/>
  <c r="AQ31" i="50"/>
  <c r="AQ36" i="50"/>
  <c r="AQ41" i="50"/>
  <c r="AG31" i="55"/>
  <c r="AO41" i="50"/>
  <c r="AX24" i="55"/>
  <c r="AT24" i="55"/>
  <c r="BA24" i="55"/>
  <c r="AL24" i="55"/>
  <c r="AQ24" i="55"/>
  <c r="AN24" i="55"/>
  <c r="AP24" i="55"/>
  <c r="AM24" i="55"/>
  <c r="AO24" i="55"/>
  <c r="AV24" i="55"/>
  <c r="AI24" i="55"/>
  <c r="AY24" i="55"/>
  <c r="AH24" i="55"/>
  <c r="AJ24" i="55"/>
  <c r="AK24" i="55"/>
  <c r="AU24" i="55"/>
  <c r="AS24" i="55"/>
  <c r="AW24" i="55"/>
  <c r="AR24" i="55"/>
  <c r="AZ24" i="55"/>
  <c r="AQ37" i="55"/>
  <c r="AK37" i="55"/>
  <c r="AL37" i="55"/>
  <c r="AG37" i="55"/>
  <c r="AS37" i="55"/>
  <c r="AY37" i="55"/>
  <c r="AZ37" i="55"/>
  <c r="AK46" i="50"/>
  <c r="AF46" i="50"/>
  <c r="AI46" i="50"/>
  <c r="AP37" i="55"/>
  <c r="AL46" i="50"/>
  <c r="W24" i="55"/>
  <c r="AA24" i="55"/>
  <c r="BA12" i="55"/>
  <c r="AS12" i="55"/>
  <c r="X12" i="55"/>
  <c r="AA12" i="55"/>
  <c r="AV12" i="55"/>
  <c r="AK12" i="55"/>
  <c r="W12" i="55"/>
  <c r="U12" i="55"/>
  <c r="AW6" i="55"/>
  <c r="AT6" i="55"/>
  <c r="AV6" i="55"/>
  <c r="AC6" i="55"/>
  <c r="AQ6" i="55"/>
  <c r="AF6" i="55"/>
  <c r="AZ6" i="55"/>
  <c r="AO6" i="55"/>
  <c r="V24" i="55"/>
  <c r="AE24" i="55"/>
  <c r="AO31" i="50"/>
  <c r="Z24" i="55"/>
  <c r="AG12" i="55"/>
  <c r="AZ12" i="55"/>
  <c r="AY12" i="55"/>
  <c r="AC12" i="55"/>
  <c r="AR12" i="55"/>
  <c r="AM12" i="55"/>
  <c r="AF12" i="55"/>
  <c r="AN12" i="55"/>
  <c r="AO36" i="50"/>
  <c r="AE12" i="55"/>
  <c r="AX6" i="55"/>
  <c r="AY6" i="55"/>
  <c r="AK6" i="55"/>
  <c r="W6" i="55"/>
  <c r="AN6" i="55"/>
  <c r="BA6" i="55"/>
  <c r="AI6" i="55"/>
  <c r="U6" i="55"/>
  <c r="X24" i="55"/>
  <c r="AC24" i="55"/>
  <c r="U24" i="55"/>
  <c r="Y12" i="55"/>
  <c r="AQ12" i="55"/>
  <c r="Z12" i="55"/>
  <c r="AJ12" i="55"/>
  <c r="AI12" i="55"/>
  <c r="AX12" i="55"/>
  <c r="AW12" i="55"/>
  <c r="AB12" i="55"/>
  <c r="AS6" i="55"/>
  <c r="AP6" i="55"/>
  <c r="AJ6" i="55"/>
  <c r="AD6" i="55"/>
  <c r="AU6" i="55"/>
  <c r="AG6" i="55"/>
  <c r="Z6" i="55"/>
  <c r="X6" i="55"/>
  <c r="AE6" i="55"/>
  <c r="Y24" i="55"/>
  <c r="AD24" i="55"/>
  <c r="AG24" i="55"/>
  <c r="AB24" i="55"/>
  <c r="AF24" i="55"/>
  <c r="AD12" i="55"/>
  <c r="AT12" i="55"/>
  <c r="V12" i="55"/>
  <c r="AO12" i="55"/>
  <c r="AL12" i="55"/>
  <c r="AU12" i="55"/>
  <c r="AH12" i="55"/>
  <c r="AP12" i="55"/>
  <c r="Y6" i="55"/>
  <c r="AA6" i="55"/>
  <c r="V6" i="55"/>
  <c r="AH6" i="55"/>
  <c r="AB6" i="55"/>
  <c r="AR6" i="55"/>
  <c r="AL6" i="55"/>
  <c r="AM6" i="55"/>
  <c r="AD45" i="36" l="1"/>
  <c r="AD82" i="36"/>
  <c r="AD85" i="36" s="1"/>
  <c r="BE58" i="50"/>
  <c r="BE59" i="50" s="1"/>
  <c r="BE60" i="50" s="1"/>
  <c r="BE61" i="50" s="1"/>
  <c r="BK58" i="50"/>
  <c r="BK59" i="50" s="1"/>
  <c r="BK60" i="50" s="1"/>
  <c r="BK61" i="50" s="1"/>
  <c r="BJ58" i="50"/>
  <c r="BJ59" i="50" s="1"/>
  <c r="BJ60" i="50" s="1"/>
  <c r="BP41" i="36" s="1"/>
  <c r="BP82" i="36" s="1"/>
  <c r="BB58" i="50"/>
  <c r="BB59" i="50" s="1"/>
  <c r="BB60" i="50" s="1"/>
  <c r="BB61" i="50" s="1"/>
  <c r="BG58" i="50"/>
  <c r="BG59" i="50" s="1"/>
  <c r="BG60" i="50" s="1"/>
  <c r="BG61" i="50" s="1"/>
  <c r="AP58" i="50"/>
  <c r="AP59" i="50" s="1"/>
  <c r="AP60" i="50" s="1"/>
  <c r="AP61" i="50" s="1"/>
  <c r="AK58" i="50"/>
  <c r="AK59" i="50" s="1"/>
  <c r="AK60" i="50" s="1"/>
  <c r="AK61" i="50" s="1"/>
  <c r="BH58" i="50"/>
  <c r="BH59" i="50" s="1"/>
  <c r="BH60" i="50" s="1"/>
  <c r="BN41" i="36" s="1"/>
  <c r="BN82" i="36" s="1"/>
  <c r="BD58" i="50"/>
  <c r="BD59" i="50" s="1"/>
  <c r="BD60" i="50" s="1"/>
  <c r="BD61" i="50" s="1"/>
  <c r="Z58" i="50"/>
  <c r="Z59" i="50" s="1"/>
  <c r="Z60" i="50" s="1"/>
  <c r="Z61" i="50" s="1"/>
  <c r="AO58" i="50"/>
  <c r="AO59" i="50" s="1"/>
  <c r="AO60" i="50" s="1"/>
  <c r="AO61" i="50" s="1"/>
  <c r="AX58" i="50"/>
  <c r="AX59" i="50" s="1"/>
  <c r="AX60" i="50" s="1"/>
  <c r="BF58" i="50"/>
  <c r="BF59" i="50" s="1"/>
  <c r="BF60" i="50" s="1"/>
  <c r="AG58" i="50"/>
  <c r="AG59" i="50" s="1"/>
  <c r="AG60" i="50" s="1"/>
  <c r="AI58" i="50"/>
  <c r="AI59" i="50" s="1"/>
  <c r="AI60" i="50" s="1"/>
  <c r="BI58" i="50"/>
  <c r="BI59" i="50" s="1"/>
  <c r="BI60" i="50" s="1"/>
  <c r="AR58" i="50"/>
  <c r="AR59" i="50" s="1"/>
  <c r="AR60" i="50" s="1"/>
  <c r="AE58" i="50"/>
  <c r="AE59" i="50" s="1"/>
  <c r="AE60" i="50" s="1"/>
  <c r="AM58" i="50"/>
  <c r="AM59" i="50" s="1"/>
  <c r="AM60" i="50" s="1"/>
  <c r="AN58" i="50"/>
  <c r="AN59" i="50" s="1"/>
  <c r="AN60" i="50" s="1"/>
  <c r="AH58" i="50"/>
  <c r="AH59" i="50" s="1"/>
  <c r="AH60" i="50" s="1"/>
  <c r="AV58" i="50"/>
  <c r="AV59" i="50" s="1"/>
  <c r="AV60" i="50" s="1"/>
  <c r="Y58" i="50"/>
  <c r="Y59" i="50" s="1"/>
  <c r="Y60" i="50" s="1"/>
  <c r="AT58" i="50"/>
  <c r="AT59" i="50" s="1"/>
  <c r="AT60" i="50" s="1"/>
  <c r="AS58" i="50"/>
  <c r="AS59" i="50" s="1"/>
  <c r="AS60" i="50" s="1"/>
  <c r="AD58" i="50"/>
  <c r="AD59" i="50" s="1"/>
  <c r="AD60" i="50" s="1"/>
  <c r="AZ58" i="50"/>
  <c r="AZ59" i="50" s="1"/>
  <c r="AZ60" i="50" s="1"/>
  <c r="AF58" i="50"/>
  <c r="AF59" i="50" s="1"/>
  <c r="AF60" i="50" s="1"/>
  <c r="AQ58" i="50"/>
  <c r="AQ59" i="50" s="1"/>
  <c r="AQ60" i="50" s="1"/>
  <c r="AW58" i="50"/>
  <c r="AW59" i="50" s="1"/>
  <c r="AW60" i="50" s="1"/>
  <c r="BI41" i="36"/>
  <c r="BI82" i="36" s="1"/>
  <c r="BC61" i="50"/>
  <c r="AC58" i="50"/>
  <c r="AC59" i="50" s="1"/>
  <c r="AC60" i="50" s="1"/>
  <c r="AB58" i="50"/>
  <c r="AB59" i="50" s="1"/>
  <c r="AB60" i="50" s="1"/>
  <c r="AJ58" i="50"/>
  <c r="AJ59" i="50" s="1"/>
  <c r="AJ60" i="50" s="1"/>
  <c r="AL58" i="50"/>
  <c r="AL59" i="50" s="1"/>
  <c r="AL60" i="50" s="1"/>
  <c r="AA58" i="50"/>
  <c r="AA59" i="50" s="1"/>
  <c r="AA60" i="50" s="1"/>
  <c r="AU58" i="50"/>
  <c r="AU59" i="50" s="1"/>
  <c r="AU60" i="50" s="1"/>
  <c r="AY58" i="50"/>
  <c r="AY59" i="50" s="1"/>
  <c r="AY60" i="50" s="1"/>
  <c r="BA58" i="50"/>
  <c r="BA59" i="50" s="1"/>
  <c r="BA60" i="50" s="1"/>
  <c r="AP178" i="34"/>
  <c r="AP179" i="34"/>
  <c r="AL179" i="34"/>
  <c r="AL72" i="36"/>
  <c r="AL113" i="34" s="1"/>
  <c r="AL42" i="34"/>
  <c r="AO25" i="34"/>
  <c r="AO56" i="36"/>
  <c r="AO97" i="34" s="1"/>
  <c r="AM24" i="34"/>
  <c r="AM43" i="34"/>
  <c r="AN72" i="36"/>
  <c r="AN113" i="34" s="1"/>
  <c r="AK10" i="34"/>
  <c r="AQ24" i="34"/>
  <c r="AQ178" i="34"/>
  <c r="AU162" i="34"/>
  <c r="AJ56" i="36"/>
  <c r="AJ97" i="34" s="1"/>
  <c r="AQ10" i="34"/>
  <c r="AU43" i="34"/>
  <c r="AU4" i="36"/>
  <c r="AU56" i="36"/>
  <c r="AU97" i="34" s="1"/>
  <c r="AO10" i="34"/>
  <c r="AO72" i="36"/>
  <c r="AO113" i="34" s="1"/>
  <c r="AK178" i="34"/>
  <c r="AN24" i="34"/>
  <c r="AN56" i="36"/>
  <c r="AN97" i="34" s="1"/>
  <c r="AJ42" i="34"/>
  <c r="AJ72" i="36"/>
  <c r="AJ113" i="34" s="1"/>
  <c r="AV4" i="36"/>
  <c r="AU24" i="34"/>
  <c r="AU72" i="36"/>
  <c r="AU113" i="34" s="1"/>
  <c r="AO42" i="34"/>
  <c r="AO162" i="34"/>
  <c r="AN10" i="34"/>
  <c r="AN178" i="34"/>
  <c r="AJ10" i="34"/>
  <c r="AJ162" i="34"/>
  <c r="AU42" i="34"/>
  <c r="AU178" i="34"/>
  <c r="AO24" i="34"/>
  <c r="AO178" i="34"/>
  <c r="AN42" i="34"/>
  <c r="AN162" i="34"/>
  <c r="AJ24" i="34"/>
  <c r="AJ178" i="34"/>
  <c r="AT179" i="34"/>
  <c r="AT4" i="36"/>
  <c r="AQ56" i="36"/>
  <c r="AQ97" i="34" s="1"/>
  <c r="AP10" i="34"/>
  <c r="AM56" i="36"/>
  <c r="AM97" i="34" s="1"/>
  <c r="AL162" i="34"/>
  <c r="AQ42" i="34"/>
  <c r="AQ162" i="34"/>
  <c r="AP72" i="36"/>
  <c r="AP113" i="34" s="1"/>
  <c r="AM72" i="36"/>
  <c r="AM113" i="34" s="1"/>
  <c r="AL10" i="34"/>
  <c r="AT56" i="36"/>
  <c r="AT97" i="34" s="1"/>
  <c r="AQ72" i="36"/>
  <c r="AQ113" i="34" s="1"/>
  <c r="AP42" i="34"/>
  <c r="AP56" i="36"/>
  <c r="AP97" i="34" s="1"/>
  <c r="AM10" i="34"/>
  <c r="AM178" i="34"/>
  <c r="AL178" i="34"/>
  <c r="AT10" i="34"/>
  <c r="AP24" i="34"/>
  <c r="AP162" i="34"/>
  <c r="AM42" i="34"/>
  <c r="AM162" i="34"/>
  <c r="AL24" i="34"/>
  <c r="AL56" i="36"/>
  <c r="AL97" i="34" s="1"/>
  <c r="AT42" i="34"/>
  <c r="AS72" i="36"/>
  <c r="AS113" i="34" s="1"/>
  <c r="AT72" i="36"/>
  <c r="AT113" i="34" s="1"/>
  <c r="AT24" i="34"/>
  <c r="AT178" i="34"/>
  <c r="AR72" i="36"/>
  <c r="AR113" i="34" s="1"/>
  <c r="AR10" i="34"/>
  <c r="AR56" i="36"/>
  <c r="AR97" i="34" s="1"/>
  <c r="AR24" i="34"/>
  <c r="AR178" i="34"/>
  <c r="AR42" i="34"/>
  <c r="AR162" i="34"/>
  <c r="AD80" i="36"/>
  <c r="AD121" i="34" s="1"/>
  <c r="AD64" i="36"/>
  <c r="AD105" i="34" s="1"/>
  <c r="AD186" i="34"/>
  <c r="AD170" i="34"/>
  <c r="AD50" i="34"/>
  <c r="AD32" i="34"/>
  <c r="AK72" i="36"/>
  <c r="AK113" i="34" s="1"/>
  <c r="AH81" i="36"/>
  <c r="AH122" i="34" s="1"/>
  <c r="AH65" i="36"/>
  <c r="AH106" i="34" s="1"/>
  <c r="AH187" i="34"/>
  <c r="AH171" i="34"/>
  <c r="AH33" i="34"/>
  <c r="AH51" i="34"/>
  <c r="AG80" i="36"/>
  <c r="AG121" i="34" s="1"/>
  <c r="AG64" i="36"/>
  <c r="AG105" i="34" s="1"/>
  <c r="AG186" i="34"/>
  <c r="AG170" i="34"/>
  <c r="AG32" i="34"/>
  <c r="AG50" i="34"/>
  <c r="AK11" i="34"/>
  <c r="AE65" i="36"/>
  <c r="AE106" i="34" s="1"/>
  <c r="AE81" i="36"/>
  <c r="AE122" i="34" s="1"/>
  <c r="AE187" i="34"/>
  <c r="AE171" i="34"/>
  <c r="AE33" i="34"/>
  <c r="AE51" i="34"/>
  <c r="AE64" i="36"/>
  <c r="AE105" i="34" s="1"/>
  <c r="AE80" i="36"/>
  <c r="AE121" i="34" s="1"/>
  <c r="AE186" i="34"/>
  <c r="AE170" i="34"/>
  <c r="AE50" i="34"/>
  <c r="AE32" i="34"/>
  <c r="AH64" i="36"/>
  <c r="AH105" i="34" s="1"/>
  <c r="AH80" i="36"/>
  <c r="AH121" i="34" s="1"/>
  <c r="AH186" i="34"/>
  <c r="AH170" i="34"/>
  <c r="AH32" i="34"/>
  <c r="AH50" i="34"/>
  <c r="AK24" i="34"/>
  <c r="AK56" i="36"/>
  <c r="AK97" i="34" s="1"/>
  <c r="AI51" i="34"/>
  <c r="AI65" i="36"/>
  <c r="AI106" i="34" s="1"/>
  <c r="AI81" i="36"/>
  <c r="AI122" i="34" s="1"/>
  <c r="AI187" i="34"/>
  <c r="AI171" i="34"/>
  <c r="AI33" i="34"/>
  <c r="AF65" i="36"/>
  <c r="AF106" i="34" s="1"/>
  <c r="AF81" i="36"/>
  <c r="AF122" i="34" s="1"/>
  <c r="AF171" i="34"/>
  <c r="AF187" i="34"/>
  <c r="AF33" i="34"/>
  <c r="AF51" i="34"/>
  <c r="AK42" i="34"/>
  <c r="AG81" i="36"/>
  <c r="AG122" i="34" s="1"/>
  <c r="AG65" i="36"/>
  <c r="AG106" i="34" s="1"/>
  <c r="AG171" i="34"/>
  <c r="AG187" i="34"/>
  <c r="AG51" i="34"/>
  <c r="AG33" i="34"/>
  <c r="AF64" i="36"/>
  <c r="AF105" i="34" s="1"/>
  <c r="AF80" i="36"/>
  <c r="AF121" i="34" s="1"/>
  <c r="AF186" i="34"/>
  <c r="AF170" i="34"/>
  <c r="AF50" i="34"/>
  <c r="AF32" i="34"/>
  <c r="AD81" i="36"/>
  <c r="AD122" i="34" s="1"/>
  <c r="AD65" i="36"/>
  <c r="AD106" i="34" s="1"/>
  <c r="AD187" i="34"/>
  <c r="AD171" i="34"/>
  <c r="AD33" i="34"/>
  <c r="AD51" i="34"/>
  <c r="AI50" i="34"/>
  <c r="AI80" i="36"/>
  <c r="AI121" i="34" s="1"/>
  <c r="AI64" i="36"/>
  <c r="AI105" i="34" s="1"/>
  <c r="AI186" i="34"/>
  <c r="AI170" i="34"/>
  <c r="AI32" i="34"/>
  <c r="AE56" i="36"/>
  <c r="AE72" i="36"/>
  <c r="AE162" i="34"/>
  <c r="AE10" i="34"/>
  <c r="AE24" i="34"/>
  <c r="AE42" i="34"/>
  <c r="AE178" i="34"/>
  <c r="AG72" i="36"/>
  <c r="AG56" i="36"/>
  <c r="AG10" i="34"/>
  <c r="AG42" i="34"/>
  <c r="AG24" i="34"/>
  <c r="AG162" i="34"/>
  <c r="AG178" i="34"/>
  <c r="AH56" i="36"/>
  <c r="AH72" i="36"/>
  <c r="AH24" i="34"/>
  <c r="AH42" i="34"/>
  <c r="AH10" i="34"/>
  <c r="AH162" i="34"/>
  <c r="AH178" i="34"/>
  <c r="AF56" i="36"/>
  <c r="AF72" i="36"/>
  <c r="AF42" i="34"/>
  <c r="AF24" i="34"/>
  <c r="AF10" i="34"/>
  <c r="AF162" i="34"/>
  <c r="AF178" i="34"/>
  <c r="AI56" i="36"/>
  <c r="AI72" i="36"/>
  <c r="AI42" i="34"/>
  <c r="AI10" i="34"/>
  <c r="AI24" i="34"/>
  <c r="AI162" i="34"/>
  <c r="AI178" i="34"/>
  <c r="AD56" i="36"/>
  <c r="AD72" i="36"/>
  <c r="AD162" i="34"/>
  <c r="AD178" i="34"/>
  <c r="AD42" i="34"/>
  <c r="AD10" i="34"/>
  <c r="AD24" i="34"/>
  <c r="AS162" i="34"/>
  <c r="AS10" i="34"/>
  <c r="AS56" i="36"/>
  <c r="AS97" i="34" s="1"/>
  <c r="AS42" i="34"/>
  <c r="AS178" i="34"/>
  <c r="AS24" i="34"/>
  <c r="AV10" i="34"/>
  <c r="AV56" i="36"/>
  <c r="AV97" i="34" s="1"/>
  <c r="AV162" i="34"/>
  <c r="BE170" i="34"/>
  <c r="BE186" i="34"/>
  <c r="BE80" i="36"/>
  <c r="BE121" i="34" s="1"/>
  <c r="BE64" i="36"/>
  <c r="BE105" i="34" s="1"/>
  <c r="BE50" i="34"/>
  <c r="BE32" i="34"/>
  <c r="BD170" i="34"/>
  <c r="BD186" i="34"/>
  <c r="BD80" i="36"/>
  <c r="BD121" i="34" s="1"/>
  <c r="BD64" i="36"/>
  <c r="BD105" i="34" s="1"/>
  <c r="BD32" i="34"/>
  <c r="BD50" i="34"/>
  <c r="AO51" i="34"/>
  <c r="AO187" i="34"/>
  <c r="AO171" i="34"/>
  <c r="AO33" i="34"/>
  <c r="AO65" i="36"/>
  <c r="AO106" i="34" s="1"/>
  <c r="AO81" i="36"/>
  <c r="AO122" i="34" s="1"/>
  <c r="BJ171" i="34"/>
  <c r="BJ33" i="34"/>
  <c r="BJ187" i="34"/>
  <c r="BJ51" i="34"/>
  <c r="BJ65" i="36"/>
  <c r="BJ106" i="34" s="1"/>
  <c r="BJ81" i="36"/>
  <c r="BJ122" i="34" s="1"/>
  <c r="BH171" i="34"/>
  <c r="BH187" i="34"/>
  <c r="BH33" i="34"/>
  <c r="BH51" i="34"/>
  <c r="BH81" i="36"/>
  <c r="BH122" i="34" s="1"/>
  <c r="BH65" i="36"/>
  <c r="BH106" i="34" s="1"/>
  <c r="BL170" i="34"/>
  <c r="BL186" i="34"/>
  <c r="BL80" i="36"/>
  <c r="BL121" i="34" s="1"/>
  <c r="BL64" i="36"/>
  <c r="BL105" i="34" s="1"/>
  <c r="BL50" i="34"/>
  <c r="BL32" i="34"/>
  <c r="AX186" i="34"/>
  <c r="AX170" i="34"/>
  <c r="AX64" i="36"/>
  <c r="AX105" i="34" s="1"/>
  <c r="AX80" i="36"/>
  <c r="AX121" i="34" s="1"/>
  <c r="AX32" i="34"/>
  <c r="AX50" i="34"/>
  <c r="AO170" i="34"/>
  <c r="AO186" i="34"/>
  <c r="AO64" i="36"/>
  <c r="AO105" i="34" s="1"/>
  <c r="AO80" i="36"/>
  <c r="AO121" i="34" s="1"/>
  <c r="AO50" i="34"/>
  <c r="AO32" i="34"/>
  <c r="AN170" i="34"/>
  <c r="AN186" i="34"/>
  <c r="AN80" i="36"/>
  <c r="AN121" i="34" s="1"/>
  <c r="AN64" i="36"/>
  <c r="AN105" i="34" s="1"/>
  <c r="AN32" i="34"/>
  <c r="AN50" i="34"/>
  <c r="AR168" i="34"/>
  <c r="AR184" i="34"/>
  <c r="AR62" i="36"/>
  <c r="AR103" i="34" s="1"/>
  <c r="AR78" i="36"/>
  <c r="AR119" i="34" s="1"/>
  <c r="AR16" i="34"/>
  <c r="AR48" i="34"/>
  <c r="AR30" i="34"/>
  <c r="AJ187" i="34"/>
  <c r="AJ171" i="34"/>
  <c r="AJ33" i="34"/>
  <c r="AJ51" i="34"/>
  <c r="AJ65" i="36"/>
  <c r="AJ106" i="34" s="1"/>
  <c r="AJ81" i="36"/>
  <c r="AJ122" i="34" s="1"/>
  <c r="BP171" i="34"/>
  <c r="BP33" i="34"/>
  <c r="BP51" i="34"/>
  <c r="BP65" i="36"/>
  <c r="BP106" i="34" s="1"/>
  <c r="BP187" i="34"/>
  <c r="BP81" i="36"/>
  <c r="BP122" i="34" s="1"/>
  <c r="AL171" i="34"/>
  <c r="AL33" i="34"/>
  <c r="AL51" i="34"/>
  <c r="AL187" i="34"/>
  <c r="AL81" i="36"/>
  <c r="AL122" i="34" s="1"/>
  <c r="AL65" i="36"/>
  <c r="AL106" i="34" s="1"/>
  <c r="BN187" i="34"/>
  <c r="BN171" i="34"/>
  <c r="BN33" i="34"/>
  <c r="BN51" i="34"/>
  <c r="BN81" i="36"/>
  <c r="BN122" i="34" s="1"/>
  <c r="BN65" i="36"/>
  <c r="BN106" i="34" s="1"/>
  <c r="AT186" i="34"/>
  <c r="AT170" i="34"/>
  <c r="AT80" i="36"/>
  <c r="AT121" i="34" s="1"/>
  <c r="AT64" i="36"/>
  <c r="AT105" i="34" s="1"/>
  <c r="AT32" i="34"/>
  <c r="AT50" i="34"/>
  <c r="AK168" i="34"/>
  <c r="AK184" i="34"/>
  <c r="AK78" i="36"/>
  <c r="AK119" i="34" s="1"/>
  <c r="AK62" i="36"/>
  <c r="AK103" i="34" s="1"/>
  <c r="AK48" i="34"/>
  <c r="AK30" i="34"/>
  <c r="AK16" i="34"/>
  <c r="BO187" i="34"/>
  <c r="BO33" i="34"/>
  <c r="BO51" i="34"/>
  <c r="BO171" i="34"/>
  <c r="BO65" i="36"/>
  <c r="BO106" i="34" s="1"/>
  <c r="BO81" i="36"/>
  <c r="BO122" i="34" s="1"/>
  <c r="BF187" i="34"/>
  <c r="BF33" i="34"/>
  <c r="BF51" i="34"/>
  <c r="BF171" i="34"/>
  <c r="BF81" i="36"/>
  <c r="BF122" i="34" s="1"/>
  <c r="BF65" i="36"/>
  <c r="BF106" i="34" s="1"/>
  <c r="BK187" i="34"/>
  <c r="BK33" i="34"/>
  <c r="BK51" i="34"/>
  <c r="BK171" i="34"/>
  <c r="BK65" i="36"/>
  <c r="BK106" i="34" s="1"/>
  <c r="BK81" i="36"/>
  <c r="BK122" i="34" s="1"/>
  <c r="BL171" i="34"/>
  <c r="BL51" i="34"/>
  <c r="BL33" i="34"/>
  <c r="BL187" i="34"/>
  <c r="BL81" i="36"/>
  <c r="BL122" i="34" s="1"/>
  <c r="BL65" i="36"/>
  <c r="BL106" i="34" s="1"/>
  <c r="AL170" i="34"/>
  <c r="AL186" i="34"/>
  <c r="AL80" i="36"/>
  <c r="AL121" i="34" s="1"/>
  <c r="AL64" i="36"/>
  <c r="AL105" i="34" s="1"/>
  <c r="AL50" i="34"/>
  <c r="AL32" i="34"/>
  <c r="BK170" i="34"/>
  <c r="BK186" i="34"/>
  <c r="BK64" i="36"/>
  <c r="BK105" i="34" s="1"/>
  <c r="BK80" i="36"/>
  <c r="BK121" i="34" s="1"/>
  <c r="BK32" i="34"/>
  <c r="BK50" i="34"/>
  <c r="AM186" i="34"/>
  <c r="AM170" i="34"/>
  <c r="AM64" i="36"/>
  <c r="AM105" i="34" s="1"/>
  <c r="AM80" i="36"/>
  <c r="AM121" i="34" s="1"/>
  <c r="AM50" i="34"/>
  <c r="AM32" i="34"/>
  <c r="BP186" i="34"/>
  <c r="BP170" i="34"/>
  <c r="BP80" i="36"/>
  <c r="BP121" i="34" s="1"/>
  <c r="BP64" i="36"/>
  <c r="BP105" i="34" s="1"/>
  <c r="BP32" i="34"/>
  <c r="BP50" i="34"/>
  <c r="AN43" i="34"/>
  <c r="AN25" i="34"/>
  <c r="AN11" i="34"/>
  <c r="AN179" i="34"/>
  <c r="AN57" i="36"/>
  <c r="AN98" i="34" s="1"/>
  <c r="AN163" i="34"/>
  <c r="AN73" i="36"/>
  <c r="AN114" i="34" s="1"/>
  <c r="BJ186" i="34"/>
  <c r="BJ170" i="34"/>
  <c r="BJ64" i="36"/>
  <c r="BJ105" i="34" s="1"/>
  <c r="BJ80" i="36"/>
  <c r="BJ121" i="34" s="1"/>
  <c r="BJ32" i="34"/>
  <c r="BJ50" i="34"/>
  <c r="BI186" i="34"/>
  <c r="BI170" i="34"/>
  <c r="BI80" i="36"/>
  <c r="BI121" i="34" s="1"/>
  <c r="BI64" i="36"/>
  <c r="BI105" i="34" s="1"/>
  <c r="BI32" i="34"/>
  <c r="BI50" i="34"/>
  <c r="AY187" i="34"/>
  <c r="AY33" i="34"/>
  <c r="AY51" i="34"/>
  <c r="AY171" i="34"/>
  <c r="AY65" i="36"/>
  <c r="AY106" i="34" s="1"/>
  <c r="AY81" i="36"/>
  <c r="AY122" i="34" s="1"/>
  <c r="BB187" i="34"/>
  <c r="BB33" i="34"/>
  <c r="BB51" i="34"/>
  <c r="BB171" i="34"/>
  <c r="BB65" i="36"/>
  <c r="BB106" i="34" s="1"/>
  <c r="BB81" i="36"/>
  <c r="BB122" i="34" s="1"/>
  <c r="BG187" i="34"/>
  <c r="BG33" i="34"/>
  <c r="BG51" i="34"/>
  <c r="BG171" i="34"/>
  <c r="BG81" i="36"/>
  <c r="BG122" i="34" s="1"/>
  <c r="BG65" i="36"/>
  <c r="BG106" i="34" s="1"/>
  <c r="AW187" i="34"/>
  <c r="AW33" i="34"/>
  <c r="AW51" i="34"/>
  <c r="AW171" i="34"/>
  <c r="AW65" i="36"/>
  <c r="AW106" i="34" s="1"/>
  <c r="AW81" i="36"/>
  <c r="AW122" i="34" s="1"/>
  <c r="AP171" i="34"/>
  <c r="AP33" i="34"/>
  <c r="AP51" i="34"/>
  <c r="AP187" i="34"/>
  <c r="AP81" i="36"/>
  <c r="AP122" i="34" s="1"/>
  <c r="AP65" i="36"/>
  <c r="AP106" i="34" s="1"/>
  <c r="AQ184" i="34"/>
  <c r="AQ168" i="34"/>
  <c r="AQ62" i="36"/>
  <c r="AQ103" i="34" s="1"/>
  <c r="AQ78" i="36"/>
  <c r="AQ119" i="34" s="1"/>
  <c r="AQ30" i="34"/>
  <c r="AQ16" i="34"/>
  <c r="AQ48" i="34"/>
  <c r="AS168" i="34"/>
  <c r="AS184" i="34"/>
  <c r="AS78" i="36"/>
  <c r="AS119" i="34" s="1"/>
  <c r="AS62" i="36"/>
  <c r="AS103" i="34" s="1"/>
  <c r="AS16" i="34"/>
  <c r="AS30" i="34"/>
  <c r="AS48" i="34"/>
  <c r="AU186" i="34"/>
  <c r="AU170" i="34"/>
  <c r="AU80" i="36"/>
  <c r="AU121" i="34" s="1"/>
  <c r="AU64" i="36"/>
  <c r="AU105" i="34" s="1"/>
  <c r="AU50" i="34"/>
  <c r="AU32" i="34"/>
  <c r="BG186" i="34"/>
  <c r="BG170" i="34"/>
  <c r="BG80" i="36"/>
  <c r="BG121" i="34" s="1"/>
  <c r="BG64" i="36"/>
  <c r="BG105" i="34" s="1"/>
  <c r="BG50" i="34"/>
  <c r="BG32" i="34"/>
  <c r="BN170" i="34"/>
  <c r="BN186" i="34"/>
  <c r="BN64" i="36"/>
  <c r="BN105" i="34" s="1"/>
  <c r="BN80" i="36"/>
  <c r="BN121" i="34" s="1"/>
  <c r="BN32" i="34"/>
  <c r="BN50" i="34"/>
  <c r="AV186" i="34"/>
  <c r="AV170" i="34"/>
  <c r="AV64" i="36"/>
  <c r="AV105" i="34" s="1"/>
  <c r="AV80" i="36"/>
  <c r="AV121" i="34" s="1"/>
  <c r="AV50" i="34"/>
  <c r="AV32" i="34"/>
  <c r="AT168" i="34"/>
  <c r="AT184" i="34"/>
  <c r="AT78" i="36"/>
  <c r="AT119" i="34" s="1"/>
  <c r="AT62" i="36"/>
  <c r="AT103" i="34" s="1"/>
  <c r="AT16" i="34"/>
  <c r="AT48" i="34"/>
  <c r="AT30" i="34"/>
  <c r="AP184" i="34"/>
  <c r="AP168" i="34"/>
  <c r="AP78" i="36"/>
  <c r="AP119" i="34" s="1"/>
  <c r="AP62" i="36"/>
  <c r="AP103" i="34" s="1"/>
  <c r="AP30" i="34"/>
  <c r="AP16" i="34"/>
  <c r="AP48" i="34"/>
  <c r="BA186" i="34"/>
  <c r="BA170" i="34"/>
  <c r="BA64" i="36"/>
  <c r="BA105" i="34" s="1"/>
  <c r="BA80" i="36"/>
  <c r="BA121" i="34" s="1"/>
  <c r="BA32" i="34"/>
  <c r="BA50" i="34"/>
  <c r="AK186" i="34"/>
  <c r="AK170" i="34"/>
  <c r="AK64" i="36"/>
  <c r="AK105" i="34" s="1"/>
  <c r="AK80" i="36"/>
  <c r="AK121" i="34" s="1"/>
  <c r="AK50" i="34"/>
  <c r="AK32" i="34"/>
  <c r="AM171" i="34"/>
  <c r="AM33" i="34"/>
  <c r="AM51" i="34"/>
  <c r="AM187" i="34"/>
  <c r="AM65" i="36"/>
  <c r="AM106" i="34" s="1"/>
  <c r="AM81" i="36"/>
  <c r="AM122" i="34" s="1"/>
  <c r="AV187" i="34"/>
  <c r="AV171" i="34"/>
  <c r="AV33" i="34"/>
  <c r="AV81" i="36"/>
  <c r="AV122" i="34" s="1"/>
  <c r="AV65" i="36"/>
  <c r="AV106" i="34" s="1"/>
  <c r="AV51" i="34"/>
  <c r="AS187" i="34"/>
  <c r="AS33" i="34"/>
  <c r="AS51" i="34"/>
  <c r="AS171" i="34"/>
  <c r="AS65" i="36"/>
  <c r="AS106" i="34" s="1"/>
  <c r="AS81" i="36"/>
  <c r="AS122" i="34" s="1"/>
  <c r="BE171" i="34"/>
  <c r="BE33" i="34"/>
  <c r="BE51" i="34"/>
  <c r="BE187" i="34"/>
  <c r="BE65" i="36"/>
  <c r="BE106" i="34" s="1"/>
  <c r="BE81" i="36"/>
  <c r="BE122" i="34" s="1"/>
  <c r="AQ186" i="34"/>
  <c r="AQ170" i="34"/>
  <c r="AQ80" i="36"/>
  <c r="AQ121" i="34" s="1"/>
  <c r="AQ64" i="36"/>
  <c r="AQ105" i="34" s="1"/>
  <c r="AQ50" i="34"/>
  <c r="AQ32" i="34"/>
  <c r="BM170" i="34"/>
  <c r="BM186" i="34"/>
  <c r="BM64" i="36"/>
  <c r="BM105" i="34" s="1"/>
  <c r="BM80" i="36"/>
  <c r="BM121" i="34" s="1"/>
  <c r="BM50" i="34"/>
  <c r="BM32" i="34"/>
  <c r="AY170" i="34"/>
  <c r="AY186" i="34"/>
  <c r="AY80" i="36"/>
  <c r="AY121" i="34" s="1"/>
  <c r="AY64" i="36"/>
  <c r="AY105" i="34" s="1"/>
  <c r="AY32" i="34"/>
  <c r="AY50" i="34"/>
  <c r="BF170" i="34"/>
  <c r="BF186" i="34"/>
  <c r="BF80" i="36"/>
  <c r="BF121" i="34" s="1"/>
  <c r="BF64" i="36"/>
  <c r="BF105" i="34" s="1"/>
  <c r="BF50" i="34"/>
  <c r="BF32" i="34"/>
  <c r="AJ184" i="34"/>
  <c r="AJ168" i="34"/>
  <c r="AJ78" i="36"/>
  <c r="AJ119" i="34" s="1"/>
  <c r="AJ62" i="36"/>
  <c r="AJ103" i="34" s="1"/>
  <c r="AJ48" i="34"/>
  <c r="AJ16" i="34"/>
  <c r="AJ30" i="34"/>
  <c r="AM184" i="34"/>
  <c r="AM168" i="34"/>
  <c r="AM78" i="36"/>
  <c r="AM119" i="34" s="1"/>
  <c r="AM62" i="36"/>
  <c r="AM103" i="34" s="1"/>
  <c r="AM30" i="34"/>
  <c r="AM16" i="34"/>
  <c r="AM48" i="34"/>
  <c r="AR11" i="34"/>
  <c r="AR179" i="34"/>
  <c r="AR25" i="34"/>
  <c r="AR43" i="34"/>
  <c r="AR163" i="34"/>
  <c r="AR57" i="36"/>
  <c r="AR98" i="34" s="1"/>
  <c r="AR73" i="36"/>
  <c r="AR114" i="34" s="1"/>
  <c r="AX171" i="34"/>
  <c r="AX33" i="34"/>
  <c r="AX51" i="34"/>
  <c r="AX187" i="34"/>
  <c r="AX81" i="36"/>
  <c r="AX122" i="34" s="1"/>
  <c r="AX65" i="36"/>
  <c r="AX106" i="34" s="1"/>
  <c r="BC187" i="34"/>
  <c r="BC33" i="34"/>
  <c r="BC51" i="34"/>
  <c r="BC65" i="36"/>
  <c r="BC106" i="34" s="1"/>
  <c r="BC171" i="34"/>
  <c r="BC81" i="36"/>
  <c r="BC122" i="34" s="1"/>
  <c r="AZ187" i="34"/>
  <c r="AZ171" i="34"/>
  <c r="AZ33" i="34"/>
  <c r="AZ51" i="34"/>
  <c r="AZ65" i="36"/>
  <c r="AZ106" i="34" s="1"/>
  <c r="AZ81" i="36"/>
  <c r="AZ122" i="34" s="1"/>
  <c r="BM187" i="34"/>
  <c r="BM33" i="34"/>
  <c r="BM51" i="34"/>
  <c r="BM171" i="34"/>
  <c r="BM65" i="36"/>
  <c r="BM106" i="34" s="1"/>
  <c r="BM81" i="36"/>
  <c r="BM122" i="34" s="1"/>
  <c r="AS43" i="34"/>
  <c r="AS25" i="34"/>
  <c r="AS11" i="34"/>
  <c r="AS179" i="34"/>
  <c r="AS163" i="34"/>
  <c r="AS73" i="36"/>
  <c r="AS114" i="34" s="1"/>
  <c r="AS57" i="36"/>
  <c r="AS98" i="34" s="1"/>
  <c r="BD171" i="34"/>
  <c r="BD187" i="34"/>
  <c r="BD33" i="34"/>
  <c r="BD51" i="34"/>
  <c r="BD81" i="36"/>
  <c r="BD122" i="34" s="1"/>
  <c r="BD65" i="36"/>
  <c r="BD106" i="34" s="1"/>
  <c r="AU187" i="34"/>
  <c r="AU33" i="34"/>
  <c r="AU51" i="34"/>
  <c r="AU171" i="34"/>
  <c r="AU65" i="36"/>
  <c r="AU106" i="34" s="1"/>
  <c r="AU81" i="36"/>
  <c r="AU122" i="34" s="1"/>
  <c r="AR171" i="34"/>
  <c r="AR187" i="34"/>
  <c r="AR33" i="34"/>
  <c r="AR51" i="34"/>
  <c r="AR65" i="36"/>
  <c r="AR106" i="34" s="1"/>
  <c r="AR81" i="36"/>
  <c r="AR122" i="34" s="1"/>
  <c r="BI171" i="34"/>
  <c r="BI33" i="34"/>
  <c r="BI51" i="34"/>
  <c r="BI187" i="34"/>
  <c r="BI81" i="36"/>
  <c r="BI122" i="34" s="1"/>
  <c r="BI65" i="36"/>
  <c r="BI106" i="34" s="1"/>
  <c r="AJ170" i="34"/>
  <c r="AJ186" i="34"/>
  <c r="AJ64" i="36"/>
  <c r="AJ105" i="34" s="1"/>
  <c r="AJ80" i="36"/>
  <c r="AJ121" i="34" s="1"/>
  <c r="AJ50" i="34"/>
  <c r="AJ32" i="34"/>
  <c r="AZ186" i="34"/>
  <c r="AZ170" i="34"/>
  <c r="AZ64" i="36"/>
  <c r="AZ105" i="34" s="1"/>
  <c r="AZ80" i="36"/>
  <c r="AZ121" i="34" s="1"/>
  <c r="AZ50" i="34"/>
  <c r="AZ32" i="34"/>
  <c r="AP186" i="34"/>
  <c r="AP170" i="34"/>
  <c r="AP80" i="36"/>
  <c r="AP121" i="34" s="1"/>
  <c r="AP64" i="36"/>
  <c r="AP105" i="34" s="1"/>
  <c r="AP50" i="34"/>
  <c r="AP32" i="34"/>
  <c r="BH186" i="34"/>
  <c r="BH170" i="34"/>
  <c r="BH64" i="36"/>
  <c r="BH105" i="34" s="1"/>
  <c r="BH80" i="36"/>
  <c r="BH121" i="34" s="1"/>
  <c r="BH50" i="34"/>
  <c r="BH32" i="34"/>
  <c r="AW186" i="34"/>
  <c r="AW170" i="34"/>
  <c r="AW64" i="36"/>
  <c r="AW105" i="34" s="1"/>
  <c r="AW80" i="36"/>
  <c r="AW121" i="34" s="1"/>
  <c r="AW32" i="34"/>
  <c r="AW50" i="34"/>
  <c r="AS170" i="34"/>
  <c r="AS186" i="34"/>
  <c r="AS64" i="36"/>
  <c r="AS105" i="34" s="1"/>
  <c r="AS80" i="36"/>
  <c r="AS121" i="34" s="1"/>
  <c r="AS32" i="34"/>
  <c r="AS50" i="34"/>
  <c r="BA187" i="34"/>
  <c r="BA33" i="34"/>
  <c r="BA51" i="34"/>
  <c r="BA171" i="34"/>
  <c r="BA65" i="36"/>
  <c r="BA106" i="34" s="1"/>
  <c r="BA81" i="36"/>
  <c r="BA122" i="34" s="1"/>
  <c r="AQ171" i="34"/>
  <c r="AQ33" i="34"/>
  <c r="AQ51" i="34"/>
  <c r="AQ187" i="34"/>
  <c r="AQ81" i="36"/>
  <c r="AQ122" i="34" s="1"/>
  <c r="AQ65" i="36"/>
  <c r="AQ106" i="34" s="1"/>
  <c r="AK51" i="34"/>
  <c r="AK171" i="34"/>
  <c r="AK187" i="34"/>
  <c r="AK33" i="34"/>
  <c r="AK81" i="36"/>
  <c r="AK122" i="34" s="1"/>
  <c r="AK65" i="36"/>
  <c r="AK106" i="34" s="1"/>
  <c r="AN51" i="34"/>
  <c r="AN187" i="34"/>
  <c r="AN171" i="34"/>
  <c r="AN33" i="34"/>
  <c r="AN65" i="36"/>
  <c r="AN106" i="34" s="1"/>
  <c r="AN81" i="36"/>
  <c r="AN122" i="34" s="1"/>
  <c r="AU168" i="34"/>
  <c r="AU184" i="34"/>
  <c r="AU78" i="36"/>
  <c r="AU119" i="34" s="1"/>
  <c r="AU62" i="36"/>
  <c r="AU103" i="34" s="1"/>
  <c r="AU48" i="34"/>
  <c r="AU16" i="34"/>
  <c r="AU30" i="34"/>
  <c r="AV168" i="34"/>
  <c r="AV184" i="34"/>
  <c r="AV62" i="36"/>
  <c r="AV103" i="34" s="1"/>
  <c r="AV78" i="36"/>
  <c r="AV119" i="34" s="1"/>
  <c r="AV30" i="34"/>
  <c r="AV48" i="34"/>
  <c r="AV16" i="34"/>
  <c r="AN184" i="34"/>
  <c r="AN168" i="34"/>
  <c r="AN78" i="36"/>
  <c r="AN119" i="34" s="1"/>
  <c r="AN62" i="36"/>
  <c r="AN103" i="34" s="1"/>
  <c r="AN48" i="34"/>
  <c r="AN30" i="34"/>
  <c r="AN16" i="34"/>
  <c r="AV43" i="34"/>
  <c r="AV25" i="34"/>
  <c r="AV179" i="34"/>
  <c r="AV163" i="34"/>
  <c r="AV11" i="34"/>
  <c r="AV57" i="36"/>
  <c r="AV98" i="34" s="1"/>
  <c r="AV73" i="36"/>
  <c r="AV114" i="34" s="1"/>
  <c r="AQ11" i="34"/>
  <c r="AQ179" i="34"/>
  <c r="AQ25" i="34"/>
  <c r="AQ43" i="34"/>
  <c r="AQ163" i="34"/>
  <c r="AQ57" i="36"/>
  <c r="AQ98" i="34" s="1"/>
  <c r="AQ73" i="36"/>
  <c r="AQ114" i="34" s="1"/>
  <c r="AT187" i="34"/>
  <c r="AT33" i="34"/>
  <c r="AT51" i="34"/>
  <c r="AT171" i="34"/>
  <c r="AT65" i="36"/>
  <c r="AT106" i="34" s="1"/>
  <c r="AT81" i="36"/>
  <c r="AT122" i="34" s="1"/>
  <c r="BC186" i="34"/>
  <c r="BC170" i="34"/>
  <c r="BC80" i="36"/>
  <c r="BC121" i="34" s="1"/>
  <c r="BC64" i="36"/>
  <c r="BC105" i="34" s="1"/>
  <c r="BC50" i="34"/>
  <c r="BC32" i="34"/>
  <c r="BB170" i="34"/>
  <c r="BB186" i="34"/>
  <c r="BB64" i="36"/>
  <c r="BB105" i="34" s="1"/>
  <c r="BB80" i="36"/>
  <c r="BB121" i="34" s="1"/>
  <c r="BB50" i="34"/>
  <c r="BB32" i="34"/>
  <c r="AR186" i="34"/>
  <c r="AR170" i="34"/>
  <c r="AR80" i="36"/>
  <c r="AR121" i="34" s="1"/>
  <c r="AR64" i="36"/>
  <c r="AR105" i="34" s="1"/>
  <c r="AR32" i="34"/>
  <c r="AR50" i="34"/>
  <c r="BO170" i="34"/>
  <c r="BO186" i="34"/>
  <c r="BO64" i="36"/>
  <c r="BO105" i="34" s="1"/>
  <c r="BO80" i="36"/>
  <c r="BO121" i="34" s="1"/>
  <c r="BO32" i="34"/>
  <c r="BO50" i="34"/>
  <c r="AO168" i="34"/>
  <c r="AO184" i="34"/>
  <c r="AO78" i="36"/>
  <c r="AO119" i="34" s="1"/>
  <c r="AO62" i="36"/>
  <c r="AO103" i="34" s="1"/>
  <c r="AO16" i="34"/>
  <c r="AO30" i="34"/>
  <c r="AO48" i="34"/>
  <c r="AP163" i="34"/>
  <c r="AL168" i="34"/>
  <c r="AL184" i="34"/>
  <c r="AL78" i="36"/>
  <c r="AL119" i="34" s="1"/>
  <c r="AL62" i="36"/>
  <c r="AL103" i="34" s="1"/>
  <c r="AL30" i="34"/>
  <c r="AL48" i="34"/>
  <c r="AL16" i="34"/>
  <c r="AM179" i="34"/>
  <c r="AJ179" i="34"/>
  <c r="AJ11" i="34"/>
  <c r="AJ43" i="34"/>
  <c r="AJ163" i="34"/>
  <c r="AJ57" i="36"/>
  <c r="AJ98" i="34" s="1"/>
  <c r="AJ25" i="34"/>
  <c r="AJ73" i="36"/>
  <c r="AJ114" i="34" s="1"/>
  <c r="BK41" i="36" l="1"/>
  <c r="BK82" i="36" s="1"/>
  <c r="AV41" i="36"/>
  <c r="AV82" i="36" s="1"/>
  <c r="BH41" i="36"/>
  <c r="BH82" i="36" s="1"/>
  <c r="AF41" i="36"/>
  <c r="AF82" i="36" s="1"/>
  <c r="BH61" i="50"/>
  <c r="BM41" i="36"/>
  <c r="BM82" i="36" s="1"/>
  <c r="BJ41" i="36"/>
  <c r="BJ82" i="36" s="1"/>
  <c r="AQ41" i="36"/>
  <c r="AQ82" i="36" s="1"/>
  <c r="BJ61" i="50"/>
  <c r="AU41" i="36"/>
  <c r="AU82" i="36" s="1"/>
  <c r="BA41" i="36"/>
  <c r="BA82" i="36" s="1"/>
  <c r="AU61" i="50"/>
  <c r="AH41" i="36"/>
  <c r="AH82" i="36" s="1"/>
  <c r="AB61" i="50"/>
  <c r="BF41" i="36"/>
  <c r="BF82" i="36" s="1"/>
  <c r="AZ61" i="50"/>
  <c r="Y61" i="50"/>
  <c r="AE41" i="36"/>
  <c r="AE82" i="36" s="1"/>
  <c r="AS41" i="36"/>
  <c r="AS82" i="36" s="1"/>
  <c r="AM61" i="50"/>
  <c r="AR61" i="50"/>
  <c r="AX41" i="36"/>
  <c r="AX82" i="36" s="1"/>
  <c r="BL41" i="36"/>
  <c r="BL82" i="36" s="1"/>
  <c r="BF61" i="50"/>
  <c r="BE41" i="36"/>
  <c r="BE82" i="36" s="1"/>
  <c r="AY61" i="50"/>
  <c r="AG41" i="36"/>
  <c r="AG82" i="36" s="1"/>
  <c r="AG85" i="36" s="1"/>
  <c r="AA61" i="50"/>
  <c r="AJ61" i="50"/>
  <c r="AP41" i="36"/>
  <c r="AP82" i="36" s="1"/>
  <c r="AC61" i="50"/>
  <c r="AI41" i="36"/>
  <c r="AI82" i="36" s="1"/>
  <c r="AW61" i="50"/>
  <c r="BC41" i="36"/>
  <c r="BC82" i="36" s="1"/>
  <c r="AF61" i="50"/>
  <c r="AL41" i="36"/>
  <c r="AL82" i="36" s="1"/>
  <c r="AJ41" i="36"/>
  <c r="AJ82" i="36" s="1"/>
  <c r="AD61" i="50"/>
  <c r="AZ41" i="36"/>
  <c r="AZ82" i="36" s="1"/>
  <c r="AT61" i="50"/>
  <c r="AV61" i="50"/>
  <c r="BB41" i="36"/>
  <c r="BB82" i="36" s="1"/>
  <c r="AT41" i="36"/>
  <c r="AT82" i="36" s="1"/>
  <c r="AN61" i="50"/>
  <c r="AK41" i="36"/>
  <c r="AK82" i="36" s="1"/>
  <c r="AE61" i="50"/>
  <c r="BI61" i="50"/>
  <c r="BO41" i="36"/>
  <c r="BO82" i="36" s="1"/>
  <c r="AG61" i="50"/>
  <c r="AM41" i="36"/>
  <c r="AM82" i="36" s="1"/>
  <c r="BD41" i="36"/>
  <c r="BD82" i="36" s="1"/>
  <c r="AX61" i="50"/>
  <c r="BA61" i="50"/>
  <c r="BG41" i="36"/>
  <c r="BG82" i="36" s="1"/>
  <c r="AR41" i="36"/>
  <c r="AR82" i="36" s="1"/>
  <c r="AL61" i="50"/>
  <c r="AW41" i="36"/>
  <c r="AW82" i="36" s="1"/>
  <c r="AQ61" i="50"/>
  <c r="AS61" i="50"/>
  <c r="AY41" i="36"/>
  <c r="AY82" i="36" s="1"/>
  <c r="AN41" i="36"/>
  <c r="AN82" i="36" s="1"/>
  <c r="AH61" i="50"/>
  <c r="AO41" i="36"/>
  <c r="AO82" i="36" s="1"/>
  <c r="AI61" i="50"/>
  <c r="AT52" i="36"/>
  <c r="AT93" i="34" s="1"/>
  <c r="BH172" i="34"/>
  <c r="BH38" i="34"/>
  <c r="AQ173" i="34"/>
  <c r="BF6" i="34"/>
  <c r="AP158" i="34"/>
  <c r="AP172" i="34"/>
  <c r="BL157" i="34"/>
  <c r="BL38" i="34"/>
  <c r="AR38" i="34"/>
  <c r="AR18" i="34"/>
  <c r="BO158" i="34"/>
  <c r="AE50" i="36"/>
  <c r="AE91" i="34" s="1"/>
  <c r="AE20" i="34"/>
  <c r="BE38" i="34"/>
  <c r="BE50" i="36"/>
  <c r="BE91" i="34" s="1"/>
  <c r="AO18" i="34"/>
  <c r="AO6" i="34"/>
  <c r="AU19" i="34"/>
  <c r="AU38" i="34"/>
  <c r="BP173" i="34"/>
  <c r="BP174" i="34"/>
  <c r="AS4" i="34"/>
  <c r="AS52" i="36"/>
  <c r="AS93" i="34" s="1"/>
  <c r="BK18" i="34"/>
  <c r="BK6" i="34"/>
  <c r="AI67" i="36"/>
  <c r="AI108" i="34" s="1"/>
  <c r="BB20" i="34"/>
  <c r="AL50" i="36"/>
  <c r="AL91" i="34" s="1"/>
  <c r="AL37" i="34"/>
  <c r="BD158" i="34"/>
  <c r="AD172" i="34"/>
  <c r="BA6" i="34"/>
  <c r="BA37" i="34"/>
  <c r="AK36" i="34"/>
  <c r="AK38" i="34"/>
  <c r="BJ157" i="34"/>
  <c r="BJ66" i="36"/>
  <c r="BJ107" i="34" s="1"/>
  <c r="AV174" i="34"/>
  <c r="AV67" i="36"/>
  <c r="AV108" i="34" s="1"/>
  <c r="AV36" i="34"/>
  <c r="BI6" i="34"/>
  <c r="BC6" i="34"/>
  <c r="BC4" i="34"/>
  <c r="BN67" i="36"/>
  <c r="BN108" i="34" s="1"/>
  <c r="BN36" i="34"/>
  <c r="BN6" i="34"/>
  <c r="AX37" i="34"/>
  <c r="AH20" i="34"/>
  <c r="AH18" i="34"/>
  <c r="AZ174" i="34"/>
  <c r="AY51" i="36"/>
  <c r="AY92" i="34" s="1"/>
  <c r="AY6" i="34"/>
  <c r="BM174" i="34"/>
  <c r="BM5" i="34"/>
  <c r="AW50" i="36"/>
  <c r="AW91" i="34" s="1"/>
  <c r="AW6" i="34"/>
  <c r="AG52" i="36"/>
  <c r="AG93" i="34" s="1"/>
  <c r="AG37" i="34"/>
  <c r="AL18" i="34"/>
  <c r="AQ172" i="34"/>
  <c r="AQ51" i="36"/>
  <c r="AQ92" i="34" s="1"/>
  <c r="AQ4" i="34"/>
  <c r="AQ156" i="34"/>
  <c r="AQ67" i="36"/>
  <c r="AQ108" i="34" s="1"/>
  <c r="AM163" i="34"/>
  <c r="AL6" i="45"/>
  <c r="N8" i="62" s="1"/>
  <c r="AP11" i="34"/>
  <c r="AN6" i="45" s="1"/>
  <c r="P8" i="62" s="1"/>
  <c r="AM25" i="34"/>
  <c r="AK13" i="45" s="1"/>
  <c r="M14" i="62" s="1"/>
  <c r="AP25" i="34"/>
  <c r="AN13" i="45" s="1"/>
  <c r="P14" i="62" s="1"/>
  <c r="AM57" i="36"/>
  <c r="AM98" i="34" s="1"/>
  <c r="AM11" i="34"/>
  <c r="AK6" i="45" s="1"/>
  <c r="M8" i="62" s="1"/>
  <c r="AP73" i="36"/>
  <c r="AP114" i="34" s="1"/>
  <c r="AO179" i="34"/>
  <c r="AP57" i="36"/>
  <c r="AP98" i="34" s="1"/>
  <c r="AP43" i="34"/>
  <c r="AN21" i="45" s="1"/>
  <c r="P21" i="62" s="1"/>
  <c r="AM73" i="36"/>
  <c r="AM114" i="34" s="1"/>
  <c r="AO43" i="34"/>
  <c r="AM21" i="45" s="1"/>
  <c r="O21" i="62" s="1"/>
  <c r="AL73" i="36"/>
  <c r="AL114" i="34" s="1"/>
  <c r="AL163" i="34"/>
  <c r="AL43" i="34"/>
  <c r="AJ21" i="45" s="1"/>
  <c r="L21" i="62" s="1"/>
  <c r="AL57" i="36"/>
  <c r="AL98" i="34" s="1"/>
  <c r="AL25" i="34"/>
  <c r="AJ13" i="45" s="1"/>
  <c r="L14" i="62" s="1"/>
  <c r="AL11" i="34"/>
  <c r="AJ6" i="45" s="1"/>
  <c r="L8" i="62" s="1"/>
  <c r="AO73" i="36"/>
  <c r="AO114" i="34" s="1"/>
  <c r="AO11" i="34"/>
  <c r="AM6" i="45" s="1"/>
  <c r="O8" i="62" s="1"/>
  <c r="AO163" i="34"/>
  <c r="AW10" i="34"/>
  <c r="AO57" i="36"/>
  <c r="AO98" i="34" s="1"/>
  <c r="AO13" i="45"/>
  <c r="Q14" i="62" s="1"/>
  <c r="BP156" i="34"/>
  <c r="AU179" i="34"/>
  <c r="AH6" i="45"/>
  <c r="J8" i="62" s="1"/>
  <c r="AO6" i="45"/>
  <c r="Q8" i="62" s="1"/>
  <c r="AT163" i="34"/>
  <c r="AU73" i="36"/>
  <c r="AU114" i="34" s="1"/>
  <c r="AI6" i="45"/>
  <c r="K8" i="62" s="1"/>
  <c r="AU57" i="36"/>
  <c r="AU98" i="34" s="1"/>
  <c r="AU11" i="34"/>
  <c r="AS6" i="45" s="1"/>
  <c r="U8" i="62" s="1"/>
  <c r="BA158" i="34"/>
  <c r="AH13" i="45"/>
  <c r="J14" i="62" s="1"/>
  <c r="AU25" i="34"/>
  <c r="AS13" i="45" s="1"/>
  <c r="U14" i="62" s="1"/>
  <c r="AH21" i="45"/>
  <c r="J21" i="62" s="1"/>
  <c r="AU163" i="34"/>
  <c r="AL13" i="45"/>
  <c r="N14" i="62" s="1"/>
  <c r="AL4" i="34"/>
  <c r="AM13" i="45"/>
  <c r="O14" i="62" s="1"/>
  <c r="AS21" i="45"/>
  <c r="U21" i="62" s="1"/>
  <c r="AT57" i="36"/>
  <c r="AT98" i="34" s="1"/>
  <c r="AT43" i="34"/>
  <c r="AR21" i="45" s="1"/>
  <c r="T21" i="62" s="1"/>
  <c r="AT73" i="36"/>
  <c r="AT114" i="34" s="1"/>
  <c r="AT25" i="34"/>
  <c r="AR13" i="45" s="1"/>
  <c r="T14" i="62" s="1"/>
  <c r="AL21" i="45"/>
  <c r="N21" i="62" s="1"/>
  <c r="AT11" i="34"/>
  <c r="AR6" i="45" s="1"/>
  <c r="T8" i="62" s="1"/>
  <c r="AU174" i="34"/>
  <c r="AU18" i="34"/>
  <c r="BF18" i="34"/>
  <c r="AK21" i="45"/>
  <c r="M21" i="62" s="1"/>
  <c r="AR174" i="34"/>
  <c r="AO21" i="45"/>
  <c r="Q21" i="62" s="1"/>
  <c r="AQ21" i="45"/>
  <c r="S21" i="62" s="1"/>
  <c r="AU50" i="36"/>
  <c r="AU91" i="34" s="1"/>
  <c r="BF66" i="36"/>
  <c r="BF107" i="34" s="1"/>
  <c r="BN174" i="34"/>
  <c r="AZ52" i="36"/>
  <c r="AZ93" i="34" s="1"/>
  <c r="AP13" i="45"/>
  <c r="R14" i="62" s="1"/>
  <c r="BI172" i="34"/>
  <c r="AZ38" i="34"/>
  <c r="BO52" i="36"/>
  <c r="BO93" i="34" s="1"/>
  <c r="AZ158" i="34"/>
  <c r="BO38" i="34"/>
  <c r="BO174" i="34"/>
  <c r="AR172" i="34"/>
  <c r="AU172" i="34"/>
  <c r="AK20" i="34"/>
  <c r="BN158" i="34"/>
  <c r="AO68" i="36"/>
  <c r="AO109" i="34" s="1"/>
  <c r="AZ68" i="36"/>
  <c r="AZ109" i="34" s="1"/>
  <c r="AZ20" i="34"/>
  <c r="AU4" i="34"/>
  <c r="AU156" i="34"/>
  <c r="AK174" i="34"/>
  <c r="BO68" i="36"/>
  <c r="BO109" i="34" s="1"/>
  <c r="BO20" i="34"/>
  <c r="AZ6" i="34"/>
  <c r="AU36" i="34"/>
  <c r="AU66" i="36"/>
  <c r="AU107" i="34" s="1"/>
  <c r="BO6" i="34"/>
  <c r="BC156" i="34"/>
  <c r="BP4" i="34"/>
  <c r="BA20" i="34"/>
  <c r="BL18" i="34"/>
  <c r="BE52" i="36"/>
  <c r="BE93" i="34" s="1"/>
  <c r="BP50" i="36"/>
  <c r="BP91" i="34" s="1"/>
  <c r="BI38" i="34"/>
  <c r="BE20" i="34"/>
  <c r="BL156" i="34"/>
  <c r="BE174" i="34"/>
  <c r="BP172" i="34"/>
  <c r="BA38" i="34"/>
  <c r="BK36" i="34"/>
  <c r="BI20" i="34"/>
  <c r="BE68" i="36"/>
  <c r="BE109" i="34" s="1"/>
  <c r="BE6" i="34"/>
  <c r="BP18" i="34"/>
  <c r="BA52" i="36"/>
  <c r="BA93" i="34" s="1"/>
  <c r="BK4" i="34"/>
  <c r="AK43" i="34"/>
  <c r="AI21" i="45" s="1"/>
  <c r="K21" i="62" s="1"/>
  <c r="BK66" i="36"/>
  <c r="BK107" i="34" s="1"/>
  <c r="AK25" i="34"/>
  <c r="AI13" i="45" s="1"/>
  <c r="K14" i="62" s="1"/>
  <c r="AK179" i="34"/>
  <c r="AK57" i="36"/>
  <c r="AK98" i="34" s="1"/>
  <c r="AK163" i="34"/>
  <c r="AK73" i="36"/>
  <c r="AK114" i="34" s="1"/>
  <c r="AP6" i="45"/>
  <c r="R8" i="62" s="1"/>
  <c r="AP21" i="45"/>
  <c r="R21" i="62" s="1"/>
  <c r="AI52" i="34"/>
  <c r="AI34" i="34"/>
  <c r="AD35" i="34"/>
  <c r="AD53" i="34"/>
  <c r="AH4" i="34"/>
  <c r="AH172" i="34"/>
  <c r="AE53" i="34"/>
  <c r="AE35" i="34"/>
  <c r="BA4" i="34"/>
  <c r="AG35" i="34"/>
  <c r="AG53" i="34"/>
  <c r="AE34" i="34"/>
  <c r="AE52" i="34"/>
  <c r="AD66" i="36"/>
  <c r="AD107" i="34" s="1"/>
  <c r="AD50" i="36"/>
  <c r="AD91" i="34" s="1"/>
  <c r="AD4" i="34"/>
  <c r="AD156" i="34"/>
  <c r="AD36" i="34"/>
  <c r="AH35" i="34"/>
  <c r="AH53" i="34"/>
  <c r="BA50" i="36"/>
  <c r="BA91" i="34" s="1"/>
  <c r="AI38" i="34"/>
  <c r="AI52" i="36"/>
  <c r="AI93" i="34" s="1"/>
  <c r="AI68" i="36"/>
  <c r="AI109" i="34" s="1"/>
  <c r="AI158" i="34"/>
  <c r="AI174" i="34"/>
  <c r="AI20" i="34"/>
  <c r="AI6" i="34"/>
  <c r="AF52" i="34"/>
  <c r="AF34" i="34"/>
  <c r="AF50" i="36"/>
  <c r="AF91" i="34" s="1"/>
  <c r="AF66" i="36"/>
  <c r="AF107" i="34" s="1"/>
  <c r="AF18" i="34"/>
  <c r="AF172" i="34"/>
  <c r="AF4" i="34"/>
  <c r="AF36" i="34"/>
  <c r="AF156" i="34"/>
  <c r="AF35" i="34"/>
  <c r="AF53" i="34"/>
  <c r="AG50" i="36"/>
  <c r="AG91" i="34" s="1"/>
  <c r="AG66" i="36"/>
  <c r="AG107" i="34" s="1"/>
  <c r="AG36" i="34"/>
  <c r="AG4" i="34"/>
  <c r="AG156" i="34"/>
  <c r="AG18" i="34"/>
  <c r="AG172" i="34"/>
  <c r="AG52" i="34"/>
  <c r="AG34" i="34"/>
  <c r="AI36" i="34"/>
  <c r="AI50" i="36"/>
  <c r="AI91" i="34" s="1"/>
  <c r="AI66" i="36"/>
  <c r="AI107" i="34" s="1"/>
  <c r="AI156" i="34"/>
  <c r="AI4" i="34"/>
  <c r="AI18" i="34"/>
  <c r="AI172" i="34"/>
  <c r="AE4" i="34"/>
  <c r="AF52" i="36"/>
  <c r="AF93" i="34" s="1"/>
  <c r="AF68" i="36"/>
  <c r="AF109" i="34" s="1"/>
  <c r="AF38" i="34"/>
  <c r="AF158" i="34"/>
  <c r="AF20" i="34"/>
  <c r="AF6" i="34"/>
  <c r="AF174" i="34"/>
  <c r="AH52" i="36"/>
  <c r="AH93" i="34" s="1"/>
  <c r="AH68" i="36"/>
  <c r="AH109" i="34" s="1"/>
  <c r="AH6" i="34"/>
  <c r="AH174" i="34"/>
  <c r="AH38" i="34"/>
  <c r="AI53" i="34"/>
  <c r="AI35" i="34"/>
  <c r="AH52" i="34"/>
  <c r="AH34" i="34"/>
  <c r="AD34" i="34"/>
  <c r="AD52" i="34"/>
  <c r="AQ6" i="45"/>
  <c r="S8" i="62" s="1"/>
  <c r="AQ13" i="45"/>
  <c r="S14" i="62" s="1"/>
  <c r="AR6" i="34"/>
  <c r="AU68" i="36"/>
  <c r="AU109" i="34" s="1"/>
  <c r="AU20" i="34"/>
  <c r="AO4" i="34"/>
  <c r="AO172" i="34"/>
  <c r="BF156" i="34"/>
  <c r="BF50" i="36"/>
  <c r="BF91" i="34" s="1"/>
  <c r="AV158" i="34"/>
  <c r="AR52" i="36"/>
  <c r="AR93" i="34" s="1"/>
  <c r="AR158" i="34"/>
  <c r="AU6" i="34"/>
  <c r="AU158" i="34"/>
  <c r="AO36" i="34"/>
  <c r="AO50" i="36"/>
  <c r="AO91" i="34" s="1"/>
  <c r="BF36" i="34"/>
  <c r="AV68" i="36"/>
  <c r="AV109" i="34" s="1"/>
  <c r="AV20" i="34"/>
  <c r="AR68" i="36"/>
  <c r="AR109" i="34" s="1"/>
  <c r="AO66" i="36"/>
  <c r="AO107" i="34" s="1"/>
  <c r="BF4" i="34"/>
  <c r="BF172" i="34"/>
  <c r="AV52" i="36"/>
  <c r="AV93" i="34" s="1"/>
  <c r="AV38" i="34"/>
  <c r="AI113" i="34"/>
  <c r="AH113" i="34"/>
  <c r="AG113" i="34"/>
  <c r="AD73" i="36"/>
  <c r="AD114" i="34" s="1"/>
  <c r="AD57" i="36"/>
  <c r="AD98" i="34" s="1"/>
  <c r="AD11" i="34"/>
  <c r="AB6" i="45" s="1"/>
  <c r="D8" i="62" s="1"/>
  <c r="AD163" i="34"/>
  <c r="AD43" i="34"/>
  <c r="AB21" i="45" s="1"/>
  <c r="D21" i="62" s="1"/>
  <c r="AD25" i="34"/>
  <c r="AB13" i="45" s="1"/>
  <c r="D14" i="62" s="1"/>
  <c r="AD179" i="34"/>
  <c r="AI97" i="34"/>
  <c r="AF57" i="36"/>
  <c r="AF98" i="34" s="1"/>
  <c r="AF73" i="36"/>
  <c r="AF114" i="34" s="1"/>
  <c r="AF179" i="34"/>
  <c r="AF43" i="34"/>
  <c r="AD21" i="45" s="1"/>
  <c r="F21" i="62" s="1"/>
  <c r="AF25" i="34"/>
  <c r="AD13" i="45" s="1"/>
  <c r="F14" i="62" s="1"/>
  <c r="AF11" i="34"/>
  <c r="AD6" i="45" s="1"/>
  <c r="F8" i="62" s="1"/>
  <c r="AF163" i="34"/>
  <c r="AH97" i="34"/>
  <c r="AG57" i="36"/>
  <c r="AG98" i="34" s="1"/>
  <c r="AG73" i="36"/>
  <c r="AG114" i="34" s="1"/>
  <c r="AG43" i="34"/>
  <c r="AE21" i="45" s="1"/>
  <c r="G21" i="62" s="1"/>
  <c r="AG25" i="34"/>
  <c r="AE13" i="45" s="1"/>
  <c r="G14" i="62" s="1"/>
  <c r="AG163" i="34"/>
  <c r="AG11" i="34"/>
  <c r="AE6" i="45" s="1"/>
  <c r="G8" i="62" s="1"/>
  <c r="AG179" i="34"/>
  <c r="AE113" i="34"/>
  <c r="AD113" i="34"/>
  <c r="AF113" i="34"/>
  <c r="AE97" i="34"/>
  <c r="AW158" i="34"/>
  <c r="AD97" i="34"/>
  <c r="AI73" i="36"/>
  <c r="AI114" i="34" s="1"/>
  <c r="AI57" i="36"/>
  <c r="AI98" i="34" s="1"/>
  <c r="AI43" i="34"/>
  <c r="AG21" i="45" s="1"/>
  <c r="I21" i="62" s="1"/>
  <c r="AI11" i="34"/>
  <c r="AG6" i="45" s="1"/>
  <c r="I8" i="62" s="1"/>
  <c r="AI25" i="34"/>
  <c r="AG13" i="45" s="1"/>
  <c r="I14" i="62" s="1"/>
  <c r="AI163" i="34"/>
  <c r="AI179" i="34"/>
  <c r="AF97" i="34"/>
  <c r="AH57" i="36"/>
  <c r="AH98" i="34" s="1"/>
  <c r="AH73" i="36"/>
  <c r="AH114" i="34" s="1"/>
  <c r="AH43" i="34"/>
  <c r="AF21" i="45" s="1"/>
  <c r="H21" i="62" s="1"/>
  <c r="AH11" i="34"/>
  <c r="AF6" i="45" s="1"/>
  <c r="H8" i="62" s="1"/>
  <c r="AH25" i="34"/>
  <c r="AF13" i="45" s="1"/>
  <c r="H14" i="62" s="1"/>
  <c r="AH163" i="34"/>
  <c r="AH179" i="34"/>
  <c r="AG97" i="34"/>
  <c r="AE57" i="36"/>
  <c r="AE98" i="34" s="1"/>
  <c r="AE73" i="36"/>
  <c r="AE114" i="34" s="1"/>
  <c r="AE43" i="34"/>
  <c r="AC21" i="45" s="1"/>
  <c r="E21" i="62" s="1"/>
  <c r="AE163" i="34"/>
  <c r="AE25" i="34"/>
  <c r="AC13" i="45" s="1"/>
  <c r="E14" i="62" s="1"/>
  <c r="AE179" i="34"/>
  <c r="AE11" i="34"/>
  <c r="AC6" i="45" s="1"/>
  <c r="E8" i="62" s="1"/>
  <c r="BA66" i="36"/>
  <c r="BA107" i="34" s="1"/>
  <c r="BD52" i="36"/>
  <c r="BD93" i="34" s="1"/>
  <c r="BA174" i="34"/>
  <c r="BA36" i="34"/>
  <c r="BA172" i="34"/>
  <c r="BK156" i="34"/>
  <c r="BK50" i="36"/>
  <c r="BK91" i="34" s="1"/>
  <c r="BD6" i="34"/>
  <c r="BE158" i="34"/>
  <c r="BI18" i="34"/>
  <c r="BP36" i="34"/>
  <c r="BP66" i="36"/>
  <c r="BP107" i="34" s="1"/>
  <c r="BM18" i="34"/>
  <c r="BA68" i="36"/>
  <c r="BA109" i="34" s="1"/>
  <c r="BA156" i="34"/>
  <c r="BA18" i="34"/>
  <c r="BK172" i="34"/>
  <c r="BD50" i="36"/>
  <c r="BD91" i="34" s="1"/>
  <c r="BI66" i="36"/>
  <c r="BI107" i="34" s="1"/>
  <c r="BK52" i="36"/>
  <c r="BK93" i="34" s="1"/>
  <c r="BN38" i="34"/>
  <c r="BD4" i="34"/>
  <c r="BI36" i="34"/>
  <c r="BI4" i="34"/>
  <c r="AW20" i="34"/>
  <c r="AW174" i="34"/>
  <c r="BK68" i="36"/>
  <c r="BK109" i="34" s="1"/>
  <c r="BK20" i="34"/>
  <c r="BE51" i="36"/>
  <c r="BE92" i="34" s="1"/>
  <c r="BI156" i="34"/>
  <c r="BI50" i="36"/>
  <c r="BI91" i="34" s="1"/>
  <c r="AW38" i="34"/>
  <c r="BK174" i="34"/>
  <c r="BK38" i="34"/>
  <c r="BF19" i="34"/>
  <c r="BN68" i="36"/>
  <c r="BN109" i="34" s="1"/>
  <c r="BN20" i="34"/>
  <c r="BN52" i="36"/>
  <c r="BN93" i="34" s="1"/>
  <c r="AW68" i="36"/>
  <c r="AW109" i="34" s="1"/>
  <c r="BL66" i="36"/>
  <c r="BL107" i="34" s="1"/>
  <c r="BL172" i="34"/>
  <c r="BN19" i="34"/>
  <c r="BH36" i="34"/>
  <c r="BL36" i="34"/>
  <c r="BC18" i="34"/>
  <c r="BD174" i="34"/>
  <c r="BD38" i="34"/>
  <c r="BL4" i="34"/>
  <c r="BL50" i="36"/>
  <c r="BL91" i="34" s="1"/>
  <c r="BC172" i="34"/>
  <c r="BC50" i="36"/>
  <c r="BC91" i="34" s="1"/>
  <c r="BN37" i="34"/>
  <c r="BH4" i="34"/>
  <c r="BD68" i="36"/>
  <c r="BD109" i="34" s="1"/>
  <c r="BD20" i="34"/>
  <c r="BC36" i="34"/>
  <c r="AP6" i="34"/>
  <c r="BH18" i="34"/>
  <c r="BL67" i="36"/>
  <c r="BL108" i="34" s="1"/>
  <c r="BL37" i="34"/>
  <c r="BL173" i="34"/>
  <c r="BL51" i="36"/>
  <c r="BL92" i="34" s="1"/>
  <c r="BL19" i="34"/>
  <c r="BL5" i="34"/>
  <c r="BM19" i="34"/>
  <c r="BI174" i="34"/>
  <c r="BD66" i="36"/>
  <c r="BD107" i="34" s="1"/>
  <c r="BM4" i="34"/>
  <c r="BM172" i="34"/>
  <c r="AP38" i="34"/>
  <c r="AT20" i="34"/>
  <c r="AT68" i="36"/>
  <c r="AT109" i="34" s="1"/>
  <c r="AT6" i="34"/>
  <c r="AT38" i="34"/>
  <c r="AT174" i="34"/>
  <c r="BI68" i="36"/>
  <c r="BI109" i="34" s="1"/>
  <c r="BI158" i="34"/>
  <c r="BD18" i="34"/>
  <c r="BD156" i="34"/>
  <c r="BM36" i="34"/>
  <c r="BM66" i="36"/>
  <c r="BM107" i="34" s="1"/>
  <c r="AP20" i="34"/>
  <c r="BI52" i="36"/>
  <c r="BI93" i="34" s="1"/>
  <c r="BD36" i="34"/>
  <c r="BD172" i="34"/>
  <c r="BM156" i="34"/>
  <c r="BM50" i="36"/>
  <c r="BM91" i="34" s="1"/>
  <c r="AT156" i="34"/>
  <c r="AT172" i="34"/>
  <c r="AT50" i="36"/>
  <c r="AT91" i="34" s="1"/>
  <c r="AT4" i="34"/>
  <c r="AT66" i="36"/>
  <c r="AT107" i="34" s="1"/>
  <c r="AT36" i="34"/>
  <c r="AT18" i="34"/>
  <c r="AV42" i="34"/>
  <c r="AT21" i="45" s="1"/>
  <c r="V21" i="62" s="1"/>
  <c r="AT6" i="45"/>
  <c r="V8" i="62" s="1"/>
  <c r="AT5" i="34"/>
  <c r="AT173" i="34"/>
  <c r="AT67" i="36"/>
  <c r="AT108" i="34" s="1"/>
  <c r="AT37" i="34"/>
  <c r="AT157" i="34"/>
  <c r="AT51" i="36"/>
  <c r="AT92" i="34" s="1"/>
  <c r="AT19" i="34"/>
  <c r="AV157" i="34"/>
  <c r="AV178" i="34"/>
  <c r="AV72" i="36"/>
  <c r="AV113" i="34" s="1"/>
  <c r="AV24" i="34"/>
  <c r="AT13" i="45" s="1"/>
  <c r="V14" i="62" s="1"/>
  <c r="AK37" i="34"/>
  <c r="AK173" i="34"/>
  <c r="AK51" i="36"/>
  <c r="AK92" i="34" s="1"/>
  <c r="AS5" i="34"/>
  <c r="AS36" i="34"/>
  <c r="AS18" i="34"/>
  <c r="AS172" i="34"/>
  <c r="AS156" i="34"/>
  <c r="AV5" i="34"/>
  <c r="AV37" i="34"/>
  <c r="AV51" i="36"/>
  <c r="AV92" i="34" s="1"/>
  <c r="AV19" i="34"/>
  <c r="AL49" i="34"/>
  <c r="AJ25" i="45" s="1"/>
  <c r="L23" i="62" s="1"/>
  <c r="AL31" i="34"/>
  <c r="AJ17" i="45" s="1"/>
  <c r="L18" i="62" s="1"/>
  <c r="AL169" i="34"/>
  <c r="AL185" i="34"/>
  <c r="AL17" i="34"/>
  <c r="AJ10" i="45" s="1"/>
  <c r="L12" i="62" s="1"/>
  <c r="AL79" i="36"/>
  <c r="AL120" i="34" s="1"/>
  <c r="AL63" i="36"/>
  <c r="AL104" i="34" s="1"/>
  <c r="BC34" i="34"/>
  <c r="BC52" i="34"/>
  <c r="AN49" i="34"/>
  <c r="AL25" i="45" s="1"/>
  <c r="N23" i="62" s="1"/>
  <c r="AN31" i="34"/>
  <c r="AL17" i="45" s="1"/>
  <c r="N18" i="62" s="1"/>
  <c r="AN169" i="34"/>
  <c r="AN185" i="34"/>
  <c r="AN63" i="36"/>
  <c r="AN104" i="34" s="1"/>
  <c r="AN17" i="34"/>
  <c r="AL10" i="45" s="1"/>
  <c r="N12" i="62" s="1"/>
  <c r="AN79" i="36"/>
  <c r="AV49" i="34"/>
  <c r="AT25" i="45" s="1"/>
  <c r="V23" i="62" s="1"/>
  <c r="AV31" i="34"/>
  <c r="AT17" i="45" s="1"/>
  <c r="V18" i="62" s="1"/>
  <c r="AV17" i="34"/>
  <c r="AT10" i="45" s="1"/>
  <c r="V12" i="62" s="1"/>
  <c r="AV169" i="34"/>
  <c r="AV185" i="34"/>
  <c r="AV79" i="36"/>
  <c r="AV120" i="34" s="1"/>
  <c r="AV63" i="36"/>
  <c r="AV104" i="34" s="1"/>
  <c r="AN53" i="34"/>
  <c r="AN35" i="34"/>
  <c r="AW52" i="34"/>
  <c r="AW34" i="34"/>
  <c r="AJ52" i="34"/>
  <c r="AJ34" i="34"/>
  <c r="AR53" i="34"/>
  <c r="AR35" i="34"/>
  <c r="AS19" i="34"/>
  <c r="AS173" i="34"/>
  <c r="AS157" i="34"/>
  <c r="AS37" i="34"/>
  <c r="AS67" i="36"/>
  <c r="AS108" i="34" s="1"/>
  <c r="AS51" i="36"/>
  <c r="AS92" i="34" s="1"/>
  <c r="BM53" i="34"/>
  <c r="BM35" i="34"/>
  <c r="AY34" i="34"/>
  <c r="AY52" i="34"/>
  <c r="BM52" i="34"/>
  <c r="BM34" i="34"/>
  <c r="BE53" i="34"/>
  <c r="BE35" i="34"/>
  <c r="AM53" i="34"/>
  <c r="AM35" i="34"/>
  <c r="AU52" i="34"/>
  <c r="AU34" i="34"/>
  <c r="AL34" i="34"/>
  <c r="AL52" i="34"/>
  <c r="BK53" i="34"/>
  <c r="BK35" i="34"/>
  <c r="AK31" i="34"/>
  <c r="AI17" i="45" s="1"/>
  <c r="K18" i="62" s="1"/>
  <c r="AK169" i="34"/>
  <c r="AK17" i="34"/>
  <c r="AI10" i="45" s="1"/>
  <c r="K12" i="62" s="1"/>
  <c r="AK185" i="34"/>
  <c r="AK49" i="34"/>
  <c r="AI25" i="45" s="1"/>
  <c r="K23" i="62" s="1"/>
  <c r="AK63" i="36"/>
  <c r="AK104" i="34" s="1"/>
  <c r="AK79" i="36"/>
  <c r="AK120" i="34" s="1"/>
  <c r="AJ53" i="34"/>
  <c r="AJ35" i="34"/>
  <c r="BL34" i="34"/>
  <c r="BL52" i="34"/>
  <c r="BO173" i="34"/>
  <c r="BO19" i="34"/>
  <c r="BO37" i="34"/>
  <c r="BO157" i="34"/>
  <c r="BO5" i="34"/>
  <c r="BO67" i="36"/>
  <c r="BO108" i="34" s="1"/>
  <c r="BO51" i="36"/>
  <c r="BO92" i="34" s="1"/>
  <c r="BB52" i="34"/>
  <c r="BB34" i="34"/>
  <c r="BA53" i="34"/>
  <c r="BA35" i="34"/>
  <c r="AS52" i="34"/>
  <c r="AS34" i="34"/>
  <c r="BH37" i="34"/>
  <c r="BH19" i="34"/>
  <c r="BH5" i="34"/>
  <c r="BH157" i="34"/>
  <c r="BH173" i="34"/>
  <c r="BH51" i="36"/>
  <c r="BH92" i="34" s="1"/>
  <c r="BH67" i="36"/>
  <c r="BH108" i="34" s="1"/>
  <c r="AZ34" i="34"/>
  <c r="AZ52" i="34"/>
  <c r="BI53" i="34"/>
  <c r="BI35" i="34"/>
  <c r="BF34" i="34"/>
  <c r="BF52" i="34"/>
  <c r="AV53" i="34"/>
  <c r="AV35" i="34"/>
  <c r="AK52" i="34"/>
  <c r="AK34" i="34"/>
  <c r="BA52" i="34"/>
  <c r="BA34" i="34"/>
  <c r="AP169" i="34"/>
  <c r="AP31" i="34"/>
  <c r="AN17" i="45" s="1"/>
  <c r="P18" i="62" s="1"/>
  <c r="AP185" i="34"/>
  <c r="AP49" i="34"/>
  <c r="AN25" i="45" s="1"/>
  <c r="P23" i="62" s="1"/>
  <c r="AP17" i="34"/>
  <c r="AN10" i="45" s="1"/>
  <c r="P12" i="62" s="1"/>
  <c r="AP79" i="36"/>
  <c r="AP120" i="34" s="1"/>
  <c r="AP63" i="36"/>
  <c r="AP104" i="34" s="1"/>
  <c r="AT49" i="34"/>
  <c r="AR25" i="45" s="1"/>
  <c r="T23" i="62" s="1"/>
  <c r="AT17" i="34"/>
  <c r="AR10" i="45" s="1"/>
  <c r="T12" i="62" s="1"/>
  <c r="AT31" i="34"/>
  <c r="AR17" i="45" s="1"/>
  <c r="T18" i="62" s="1"/>
  <c r="AT169" i="34"/>
  <c r="AT185" i="34"/>
  <c r="AT79" i="36"/>
  <c r="AT63" i="36"/>
  <c r="AT104" i="34" s="1"/>
  <c r="BG52" i="34"/>
  <c r="BG34" i="34"/>
  <c r="AS49" i="34"/>
  <c r="AQ25" i="45" s="1"/>
  <c r="S23" i="62" s="1"/>
  <c r="AS31" i="34"/>
  <c r="AQ17" i="45" s="1"/>
  <c r="S18" i="62" s="1"/>
  <c r="AS169" i="34"/>
  <c r="AS185" i="34"/>
  <c r="AS17" i="34"/>
  <c r="AQ10" i="45" s="1"/>
  <c r="S12" i="62" s="1"/>
  <c r="AS63" i="36"/>
  <c r="AS104" i="34" s="1"/>
  <c r="AS79" i="36"/>
  <c r="AS120" i="34" s="1"/>
  <c r="AP53" i="34"/>
  <c r="AP35" i="34"/>
  <c r="AY53" i="34"/>
  <c r="AY35" i="34"/>
  <c r="BK34" i="34"/>
  <c r="BK52" i="34"/>
  <c r="BL53" i="34"/>
  <c r="BL35" i="34"/>
  <c r="BP53" i="34"/>
  <c r="BP35" i="34"/>
  <c r="AR169" i="34"/>
  <c r="AR31" i="34"/>
  <c r="AP17" i="45" s="1"/>
  <c r="R18" i="62" s="1"/>
  <c r="AR185" i="34"/>
  <c r="AR49" i="34"/>
  <c r="AP25" i="45" s="1"/>
  <c r="R23" i="62" s="1"/>
  <c r="AR17" i="34"/>
  <c r="AP10" i="45" s="1"/>
  <c r="R12" i="62" s="1"/>
  <c r="AR79" i="36"/>
  <c r="AR120" i="34" s="1"/>
  <c r="AR63" i="36"/>
  <c r="AR104" i="34" s="1"/>
  <c r="AX34" i="34"/>
  <c r="AX52" i="34"/>
  <c r="BH53" i="34"/>
  <c r="BH35" i="34"/>
  <c r="BP37" i="34"/>
  <c r="BP19" i="34"/>
  <c r="BP157" i="34"/>
  <c r="BP5" i="34"/>
  <c r="BP67" i="36"/>
  <c r="BP108" i="34" s="1"/>
  <c r="AY173" i="34"/>
  <c r="AY5" i="34"/>
  <c r="AY37" i="34"/>
  <c r="AY157" i="34"/>
  <c r="AY67" i="36"/>
  <c r="AY108" i="34" s="1"/>
  <c r="AY19" i="34"/>
  <c r="AO185" i="34"/>
  <c r="AO17" i="34"/>
  <c r="AM10" i="45" s="1"/>
  <c r="O12" i="62" s="1"/>
  <c r="AO169" i="34"/>
  <c r="AO49" i="34"/>
  <c r="AM25" i="45" s="1"/>
  <c r="O23" i="62" s="1"/>
  <c r="AO31" i="34"/>
  <c r="AM17" i="45" s="1"/>
  <c r="O18" i="62" s="1"/>
  <c r="AO63" i="36"/>
  <c r="AO104" i="34" s="1"/>
  <c r="AO79" i="36"/>
  <c r="AO120" i="34" s="1"/>
  <c r="AR52" i="34"/>
  <c r="AR34" i="34"/>
  <c r="AQ53" i="34"/>
  <c r="AQ35" i="34"/>
  <c r="BD53" i="34"/>
  <c r="BD35" i="34"/>
  <c r="BC53" i="34"/>
  <c r="BC35" i="34"/>
  <c r="AX53" i="34"/>
  <c r="AX35" i="34"/>
  <c r="BA19" i="34"/>
  <c r="BA173" i="34"/>
  <c r="BA5" i="34"/>
  <c r="BA157" i="34"/>
  <c r="BA51" i="36"/>
  <c r="BA92" i="34" s="1"/>
  <c r="BA67" i="36"/>
  <c r="BA108" i="34" s="1"/>
  <c r="AM169" i="34"/>
  <c r="AM31" i="34"/>
  <c r="AK17" i="45" s="1"/>
  <c r="M18" i="62" s="1"/>
  <c r="AM185" i="34"/>
  <c r="AM49" i="34"/>
  <c r="AK25" i="45" s="1"/>
  <c r="M23" i="62" s="1"/>
  <c r="AM17" i="34"/>
  <c r="AK10" i="45" s="1"/>
  <c r="M12" i="62" s="1"/>
  <c r="AM63" i="36"/>
  <c r="AM104" i="34" s="1"/>
  <c r="AM79" i="36"/>
  <c r="AM120" i="34" s="1"/>
  <c r="AJ185" i="34"/>
  <c r="AJ31" i="34"/>
  <c r="AH17" i="45" s="1"/>
  <c r="J18" i="62" s="1"/>
  <c r="AJ49" i="34"/>
  <c r="AH25" i="45" s="1"/>
  <c r="J23" i="62" s="1"/>
  <c r="AJ17" i="34"/>
  <c r="AH10" i="45" s="1"/>
  <c r="J12" i="62" s="1"/>
  <c r="AJ169" i="34"/>
  <c r="AJ63" i="36"/>
  <c r="AJ104" i="34" s="1"/>
  <c r="AJ79" i="36"/>
  <c r="AJ120" i="34" s="1"/>
  <c r="AQ34" i="34"/>
  <c r="AQ52" i="34"/>
  <c r="AS53" i="34"/>
  <c r="AS35" i="34"/>
  <c r="AQ49" i="34"/>
  <c r="AO25" i="45" s="1"/>
  <c r="Q23" i="62" s="1"/>
  <c r="AQ31" i="34"/>
  <c r="AO17" i="45" s="1"/>
  <c r="Q18" i="62" s="1"/>
  <c r="AQ17" i="34"/>
  <c r="AO10" i="45" s="1"/>
  <c r="Q12" i="62" s="1"/>
  <c r="AQ185" i="34"/>
  <c r="AQ169" i="34"/>
  <c r="AQ63" i="36"/>
  <c r="AQ104" i="34" s="1"/>
  <c r="AQ79" i="36"/>
  <c r="AQ120" i="34" s="1"/>
  <c r="AW53" i="34"/>
  <c r="AW35" i="34"/>
  <c r="BB53" i="34"/>
  <c r="BB35" i="34"/>
  <c r="AM34" i="34"/>
  <c r="AM52" i="34"/>
  <c r="AT34" i="34"/>
  <c r="AT52" i="34"/>
  <c r="AL53" i="34"/>
  <c r="AL35" i="34"/>
  <c r="AN34" i="34"/>
  <c r="AN52" i="34"/>
  <c r="AO52" i="34"/>
  <c r="AO34" i="34"/>
  <c r="AO53" i="34"/>
  <c r="AO35" i="34"/>
  <c r="BD34" i="34"/>
  <c r="BD52" i="34"/>
  <c r="BE52" i="34"/>
  <c r="BE34" i="34"/>
  <c r="BO52" i="34"/>
  <c r="BO34" i="34"/>
  <c r="AT53" i="34"/>
  <c r="AT35" i="34"/>
  <c r="AU169" i="34"/>
  <c r="AU31" i="34"/>
  <c r="AS17" i="45" s="1"/>
  <c r="U18" i="62" s="1"/>
  <c r="AU49" i="34"/>
  <c r="AS25" i="45" s="1"/>
  <c r="U23" i="62" s="1"/>
  <c r="AU17" i="34"/>
  <c r="AS10" i="45" s="1"/>
  <c r="U12" i="62" s="1"/>
  <c r="AU185" i="34"/>
  <c r="AU63" i="36"/>
  <c r="AU104" i="34" s="1"/>
  <c r="AU79" i="36"/>
  <c r="AU120" i="34" s="1"/>
  <c r="AK53" i="34"/>
  <c r="AK35" i="34"/>
  <c r="BH34" i="34"/>
  <c r="BH52" i="34"/>
  <c r="AP52" i="34"/>
  <c r="AP34" i="34"/>
  <c r="AU53" i="34"/>
  <c r="AU35" i="34"/>
  <c r="BJ37" i="34"/>
  <c r="BJ5" i="34"/>
  <c r="BJ19" i="34"/>
  <c r="BJ51" i="36"/>
  <c r="BJ92" i="34" s="1"/>
  <c r="BJ67" i="36"/>
  <c r="BJ108" i="34" s="1"/>
  <c r="AZ53" i="34"/>
  <c r="AZ35" i="34"/>
  <c r="BF37" i="34"/>
  <c r="AV52" i="34"/>
  <c r="AV34" i="34"/>
  <c r="BN52" i="34"/>
  <c r="BN34" i="34"/>
  <c r="BG53" i="34"/>
  <c r="BG35" i="34"/>
  <c r="BI52" i="34"/>
  <c r="BI34" i="34"/>
  <c r="BJ52" i="34"/>
  <c r="BJ34" i="34"/>
  <c r="BP34" i="34"/>
  <c r="BP52" i="34"/>
  <c r="BF53" i="34"/>
  <c r="BF35" i="34"/>
  <c r="BO53" i="34"/>
  <c r="BO35" i="34"/>
  <c r="BN53" i="34"/>
  <c r="BN35" i="34"/>
  <c r="BJ53" i="34"/>
  <c r="BJ35" i="34"/>
  <c r="AE45" i="36" l="1"/>
  <c r="AF45" i="36" s="1"/>
  <c r="AG45" i="36" s="1"/>
  <c r="AH45" i="36" s="1"/>
  <c r="AI45" i="36" s="1"/>
  <c r="AJ45" i="36" s="1"/>
  <c r="AK45" i="36" s="1"/>
  <c r="AL45" i="36" s="1"/>
  <c r="AM45" i="36" s="1"/>
  <c r="AN45" i="36" s="1"/>
  <c r="AO45" i="36" s="1"/>
  <c r="AP45" i="36" s="1"/>
  <c r="AQ45" i="36" s="1"/>
  <c r="AR45" i="36" s="1"/>
  <c r="AS45" i="36" s="1"/>
  <c r="AT45" i="36" s="1"/>
  <c r="AU45" i="36" s="1"/>
  <c r="AV45" i="36" s="1"/>
  <c r="AW45" i="36" s="1"/>
  <c r="AX45" i="36" s="1"/>
  <c r="AY45" i="36" s="1"/>
  <c r="AZ45" i="36" s="1"/>
  <c r="BA45" i="36" s="1"/>
  <c r="BB45" i="36" s="1"/>
  <c r="BC45" i="36" s="1"/>
  <c r="BD45" i="36" s="1"/>
  <c r="BE45" i="36" s="1"/>
  <c r="BF45" i="36" s="1"/>
  <c r="BG45" i="36" s="1"/>
  <c r="BH45" i="36" s="1"/>
  <c r="BI45" i="36" s="1"/>
  <c r="AG158" i="34"/>
  <c r="BM6" i="34"/>
  <c r="AK158" i="34"/>
  <c r="AL172" i="34"/>
  <c r="AL156" i="34"/>
  <c r="AL36" i="34"/>
  <c r="AW52" i="36"/>
  <c r="AW93" i="34" s="1"/>
  <c r="BM38" i="34"/>
  <c r="BM20" i="34"/>
  <c r="BM158" i="34"/>
  <c r="BM52" i="36"/>
  <c r="BM93" i="34" s="1"/>
  <c r="AK6" i="34"/>
  <c r="AH158" i="34"/>
  <c r="AD18" i="34"/>
  <c r="AK52" i="36"/>
  <c r="AK93" i="34" s="1"/>
  <c r="AO156" i="34"/>
  <c r="AG68" i="36"/>
  <c r="AG109" i="34" s="1"/>
  <c r="AV6" i="34"/>
  <c r="AK68" i="36"/>
  <c r="AK109" i="34" s="1"/>
  <c r="BM68" i="36"/>
  <c r="BM109" i="34" s="1"/>
  <c r="AK4" i="34"/>
  <c r="AI51" i="36"/>
  <c r="AI92" i="34" s="1"/>
  <c r="BC66" i="36"/>
  <c r="BC107" i="34" s="1"/>
  <c r="AS38" i="34"/>
  <c r="BM173" i="34"/>
  <c r="AX157" i="34"/>
  <c r="AE172" i="34"/>
  <c r="AH50" i="36"/>
  <c r="AH91" i="34" s="1"/>
  <c r="AR66" i="36"/>
  <c r="AR107" i="34" s="1"/>
  <c r="AY174" i="34"/>
  <c r="AS20" i="34"/>
  <c r="BP6" i="34"/>
  <c r="BM67" i="36"/>
  <c r="BM108" i="34" s="1"/>
  <c r="AX173" i="34"/>
  <c r="AX51" i="36"/>
  <c r="AX92" i="34" s="1"/>
  <c r="BK158" i="34"/>
  <c r="AS50" i="36"/>
  <c r="AS91" i="34" s="1"/>
  <c r="AE156" i="34"/>
  <c r="AG6" i="34"/>
  <c r="AH66" i="36"/>
  <c r="AH107" i="34" s="1"/>
  <c r="AR4" i="34"/>
  <c r="AO158" i="34"/>
  <c r="AR36" i="34"/>
  <c r="AO20" i="34"/>
  <c r="AY52" i="36"/>
  <c r="AY93" i="34" s="1"/>
  <c r="AW18" i="34"/>
  <c r="AD158" i="34"/>
  <c r="BJ36" i="34"/>
  <c r="AU173" i="34"/>
  <c r="BN18" i="34"/>
  <c r="BH52" i="36"/>
  <c r="BH93" i="34" s="1"/>
  <c r="AG173" i="34"/>
  <c r="AS66" i="36"/>
  <c r="AS107" i="34" s="1"/>
  <c r="BN4" i="34"/>
  <c r="AE18" i="34"/>
  <c r="AE66" i="36"/>
  <c r="AE107" i="34" s="1"/>
  <c r="AE158" i="34"/>
  <c r="AG38" i="34"/>
  <c r="AE20" i="45" s="1"/>
  <c r="G20" i="62" s="1"/>
  <c r="AG20" i="34"/>
  <c r="AW172" i="34"/>
  <c r="AG51" i="36"/>
  <c r="AG92" i="34" s="1"/>
  <c r="AH156" i="34"/>
  <c r="BH156" i="34"/>
  <c r="AO52" i="36"/>
  <c r="AO93" i="34" s="1"/>
  <c r="AR50" i="36"/>
  <c r="AR91" i="34" s="1"/>
  <c r="BH50" i="36"/>
  <c r="BH91" i="34" s="1"/>
  <c r="AY38" i="34"/>
  <c r="BJ4" i="34"/>
  <c r="BB52" i="36"/>
  <c r="BB93" i="34" s="1"/>
  <c r="AU51" i="36"/>
  <c r="AU92" i="34" s="1"/>
  <c r="BH68" i="36"/>
  <c r="BH109" i="34" s="1"/>
  <c r="BL20" i="34"/>
  <c r="AK18" i="34"/>
  <c r="AV4" i="34"/>
  <c r="AW66" i="36"/>
  <c r="AW107" i="34" s="1"/>
  <c r="AU67" i="36"/>
  <c r="AU108" i="34" s="1"/>
  <c r="BE36" i="34"/>
  <c r="BE66" i="36"/>
  <c r="BE107" i="34" s="1"/>
  <c r="BJ173" i="34"/>
  <c r="BP51" i="36"/>
  <c r="BP92" i="34" s="1"/>
  <c r="AV173" i="34"/>
  <c r="BC20" i="34"/>
  <c r="AP174" i="34"/>
  <c r="AP68" i="36"/>
  <c r="AP109" i="34" s="1"/>
  <c r="AT158" i="34"/>
  <c r="AP52" i="36"/>
  <c r="AP93" i="34" s="1"/>
  <c r="BM51" i="36"/>
  <c r="BM92" i="34" s="1"/>
  <c r="BM37" i="34"/>
  <c r="AX67" i="36"/>
  <c r="AX108" i="34" s="1"/>
  <c r="BH66" i="36"/>
  <c r="BH107" i="34" s="1"/>
  <c r="BN173" i="34"/>
  <c r="AX19" i="34"/>
  <c r="AX5" i="34"/>
  <c r="BL174" i="34"/>
  <c r="AP18" i="34"/>
  <c r="AE36" i="34"/>
  <c r="AE174" i="34"/>
  <c r="AG174" i="34"/>
  <c r="AI5" i="34"/>
  <c r="AG5" i="45" s="1"/>
  <c r="AH36" i="34"/>
  <c r="AR156" i="34"/>
  <c r="AO174" i="34"/>
  <c r="AO38" i="34"/>
  <c r="BN156" i="34"/>
  <c r="AU52" i="36"/>
  <c r="AU93" i="34" s="1"/>
  <c r="AL66" i="36"/>
  <c r="AL107" i="34" s="1"/>
  <c r="AR20" i="34"/>
  <c r="AY20" i="34"/>
  <c r="AX66" i="36"/>
  <c r="AX107" i="34" s="1"/>
  <c r="AX4" i="34"/>
  <c r="AX18" i="34"/>
  <c r="AX172" i="34"/>
  <c r="AX36" i="34"/>
  <c r="AX50" i="36"/>
  <c r="AX91" i="34" s="1"/>
  <c r="AX156" i="34"/>
  <c r="BC158" i="34"/>
  <c r="AW4" i="34"/>
  <c r="BP38" i="34"/>
  <c r="AW156" i="34"/>
  <c r="BP52" i="36"/>
  <c r="BP93" i="34" s="1"/>
  <c r="BE156" i="34"/>
  <c r="AP36" i="34"/>
  <c r="AP156" i="34"/>
  <c r="BL6" i="34"/>
  <c r="BL68" i="36"/>
  <c r="BL109" i="34" s="1"/>
  <c r="BE172" i="34"/>
  <c r="BL158" i="34"/>
  <c r="AW36" i="34"/>
  <c r="BH174" i="34"/>
  <c r="AP66" i="36"/>
  <c r="AP107" i="34" s="1"/>
  <c r="AD174" i="34"/>
  <c r="AD38" i="34"/>
  <c r="AE38" i="34"/>
  <c r="AE52" i="36"/>
  <c r="AE93" i="34" s="1"/>
  <c r="AI19" i="34"/>
  <c r="AG12" i="45" s="1"/>
  <c r="I13" i="62" s="1"/>
  <c r="AI37" i="34"/>
  <c r="AG20" i="45" s="1"/>
  <c r="I20" i="62" s="1"/>
  <c r="AG5" i="34"/>
  <c r="AG67" i="36"/>
  <c r="AG108" i="34" s="1"/>
  <c r="AS158" i="34"/>
  <c r="AS174" i="34"/>
  <c r="AY68" i="36"/>
  <c r="AY109" i="34" s="1"/>
  <c r="AL51" i="36"/>
  <c r="AL92" i="34" s="1"/>
  <c r="BB6" i="34"/>
  <c r="AJ172" i="34"/>
  <c r="AJ18" i="34"/>
  <c r="AJ50" i="36"/>
  <c r="AJ91" i="34" s="1"/>
  <c r="AJ4" i="34"/>
  <c r="AJ156" i="34"/>
  <c r="AJ36" i="34"/>
  <c r="AJ66" i="36"/>
  <c r="AJ107" i="34" s="1"/>
  <c r="BG174" i="34"/>
  <c r="BG6" i="34"/>
  <c r="BG52" i="36"/>
  <c r="BG93" i="34" s="1"/>
  <c r="BG20" i="34"/>
  <c r="BG68" i="36"/>
  <c r="BG109" i="34" s="1"/>
  <c r="BG38" i="34"/>
  <c r="BG158" i="34"/>
  <c r="AL20" i="34"/>
  <c r="AL52" i="36"/>
  <c r="AL93" i="34" s="1"/>
  <c r="AL68" i="36"/>
  <c r="AL109" i="34" s="1"/>
  <c r="AL38" i="34"/>
  <c r="AL158" i="34"/>
  <c r="AL6" i="34"/>
  <c r="AL174" i="34"/>
  <c r="BB157" i="34"/>
  <c r="BB19" i="34"/>
  <c r="BB5" i="34"/>
  <c r="BB51" i="36"/>
  <c r="BB92" i="34" s="1"/>
  <c r="BB37" i="34"/>
  <c r="BB173" i="34"/>
  <c r="BB67" i="36"/>
  <c r="BB108" i="34" s="1"/>
  <c r="AQ20" i="34"/>
  <c r="AQ68" i="36"/>
  <c r="AQ109" i="34" s="1"/>
  <c r="AQ38" i="34"/>
  <c r="AQ52" i="36"/>
  <c r="AQ93" i="34" s="1"/>
  <c r="AQ158" i="34"/>
  <c r="AQ174" i="34"/>
  <c r="AQ6" i="34"/>
  <c r="AM6" i="34"/>
  <c r="AM52" i="36"/>
  <c r="AM93" i="34" s="1"/>
  <c r="AM20" i="34"/>
  <c r="AM158" i="34"/>
  <c r="AM174" i="34"/>
  <c r="AM68" i="36"/>
  <c r="AM109" i="34" s="1"/>
  <c r="AM38" i="34"/>
  <c r="BO18" i="34"/>
  <c r="BO50" i="36"/>
  <c r="BO91" i="34" s="1"/>
  <c r="BO156" i="34"/>
  <c r="BO36" i="34"/>
  <c r="BO172" i="34"/>
  <c r="BO4" i="34"/>
  <c r="BO66" i="36"/>
  <c r="BO107" i="34" s="1"/>
  <c r="AM5" i="34"/>
  <c r="AM19" i="34"/>
  <c r="AM157" i="34"/>
  <c r="AM67" i="36"/>
  <c r="AM108" i="34" s="1"/>
  <c r="AM173" i="34"/>
  <c r="AM37" i="34"/>
  <c r="AM51" i="36"/>
  <c r="AM92" i="34" s="1"/>
  <c r="AV172" i="34"/>
  <c r="AV156" i="34"/>
  <c r="AV66" i="36"/>
  <c r="AV107" i="34" s="1"/>
  <c r="BC68" i="36"/>
  <c r="BC109" i="34" s="1"/>
  <c r="AS68" i="36"/>
  <c r="AS109" i="34" s="1"/>
  <c r="BP158" i="34"/>
  <c r="AP50" i="36"/>
  <c r="AP91" i="34" s="1"/>
  <c r="BH158" i="34"/>
  <c r="BF158" i="34"/>
  <c r="BP68" i="36"/>
  <c r="BP109" i="34" s="1"/>
  <c r="BC52" i="36"/>
  <c r="BC93" i="34" s="1"/>
  <c r="AK172" i="34"/>
  <c r="BN66" i="36"/>
  <c r="BN107" i="34" s="1"/>
  <c r="AD6" i="34"/>
  <c r="AD52" i="36"/>
  <c r="AD93" i="34" s="1"/>
  <c r="AE6" i="34"/>
  <c r="AE68" i="36"/>
  <c r="AE109" i="34" s="1"/>
  <c r="AI157" i="34"/>
  <c r="AG53" i="45" s="1"/>
  <c r="AG19" i="34"/>
  <c r="BF38" i="34"/>
  <c r="BF20" i="34"/>
  <c r="AL157" i="34"/>
  <c r="AL173" i="34"/>
  <c r="AL19" i="34"/>
  <c r="BJ50" i="36"/>
  <c r="BJ91" i="34" s="1"/>
  <c r="BB68" i="36"/>
  <c r="BB109" i="34" s="1"/>
  <c r="BB38" i="34"/>
  <c r="BB174" i="34"/>
  <c r="BB158" i="34"/>
  <c r="AY156" i="34"/>
  <c r="AY4" i="34"/>
  <c r="AY66" i="36"/>
  <c r="AY107" i="34" s="1"/>
  <c r="AY36" i="34"/>
  <c r="AY172" i="34"/>
  <c r="AY18" i="34"/>
  <c r="AY50" i="36"/>
  <c r="AY91" i="34" s="1"/>
  <c r="AZ19" i="34"/>
  <c r="AZ51" i="36"/>
  <c r="AZ92" i="34" s="1"/>
  <c r="AZ173" i="34"/>
  <c r="AZ67" i="36"/>
  <c r="AZ108" i="34" s="1"/>
  <c r="AZ37" i="34"/>
  <c r="AZ157" i="34"/>
  <c r="AZ5" i="34"/>
  <c r="AX38" i="34"/>
  <c r="AX20" i="34"/>
  <c r="AX6" i="34"/>
  <c r="AX174" i="34"/>
  <c r="AX158" i="34"/>
  <c r="AX52" i="36"/>
  <c r="AX93" i="34" s="1"/>
  <c r="AX68" i="36"/>
  <c r="AX109" i="34" s="1"/>
  <c r="AN6" i="34"/>
  <c r="AN174" i="34"/>
  <c r="AN68" i="36"/>
  <c r="AN109" i="34" s="1"/>
  <c r="AN38" i="34"/>
  <c r="AN20" i="34"/>
  <c r="AN158" i="34"/>
  <c r="AN52" i="36"/>
  <c r="AN93" i="34" s="1"/>
  <c r="AQ19" i="34"/>
  <c r="AQ37" i="34"/>
  <c r="AQ5" i="34"/>
  <c r="AQ157" i="34"/>
  <c r="AJ173" i="34"/>
  <c r="AJ51" i="36"/>
  <c r="AJ92" i="34" s="1"/>
  <c r="AJ67" i="36"/>
  <c r="AJ108" i="34" s="1"/>
  <c r="AJ157" i="34"/>
  <c r="AJ19" i="34"/>
  <c r="AJ5" i="34"/>
  <c r="AJ37" i="34"/>
  <c r="AZ172" i="34"/>
  <c r="AZ4" i="34"/>
  <c r="AZ156" i="34"/>
  <c r="AZ18" i="34"/>
  <c r="AZ66" i="36"/>
  <c r="AZ107" i="34" s="1"/>
  <c r="AZ50" i="36"/>
  <c r="AZ91" i="34" s="1"/>
  <c r="AZ36" i="34"/>
  <c r="BG4" i="34"/>
  <c r="BG18" i="34"/>
  <c r="BG50" i="36"/>
  <c r="BG91" i="34" s="1"/>
  <c r="BG66" i="36"/>
  <c r="BG107" i="34" s="1"/>
  <c r="BG156" i="34"/>
  <c r="BG172" i="34"/>
  <c r="BG36" i="34"/>
  <c r="AN173" i="34"/>
  <c r="AN37" i="34"/>
  <c r="AN5" i="34"/>
  <c r="AN67" i="36"/>
  <c r="AN108" i="34" s="1"/>
  <c r="AN19" i="34"/>
  <c r="AN51" i="36"/>
  <c r="AN92" i="34" s="1"/>
  <c r="AN157" i="34"/>
  <c r="AV50" i="36"/>
  <c r="AV91" i="34" s="1"/>
  <c r="AV18" i="34"/>
  <c r="BC174" i="34"/>
  <c r="AS6" i="34"/>
  <c r="BF68" i="36"/>
  <c r="BF109" i="34" s="1"/>
  <c r="AP4" i="34"/>
  <c r="BE18" i="34"/>
  <c r="BH20" i="34"/>
  <c r="BF52" i="36"/>
  <c r="BF93" i="34" s="1"/>
  <c r="BH6" i="34"/>
  <c r="BF174" i="34"/>
  <c r="BC38" i="34"/>
  <c r="BE4" i="34"/>
  <c r="BL52" i="36"/>
  <c r="BL93" i="34" s="1"/>
  <c r="BN50" i="36"/>
  <c r="BN91" i="34" s="1"/>
  <c r="BN172" i="34"/>
  <c r="AK50" i="36"/>
  <c r="AK91" i="34" s="1"/>
  <c r="AK156" i="34"/>
  <c r="AD20" i="34"/>
  <c r="AD68" i="36"/>
  <c r="AD109" i="34" s="1"/>
  <c r="AI173" i="34"/>
  <c r="AG54" i="45" s="1"/>
  <c r="AG157" i="34"/>
  <c r="BP20" i="34"/>
  <c r="AK66" i="36"/>
  <c r="AK107" i="34" s="1"/>
  <c r="AL67" i="36"/>
  <c r="AL108" i="34" s="1"/>
  <c r="AL5" i="34"/>
  <c r="AY158" i="34"/>
  <c r="BJ156" i="34"/>
  <c r="BJ18" i="34"/>
  <c r="BJ172" i="34"/>
  <c r="AJ38" i="34"/>
  <c r="AJ6" i="34"/>
  <c r="AJ68" i="36"/>
  <c r="AJ109" i="34" s="1"/>
  <c r="AJ20" i="34"/>
  <c r="AJ52" i="36"/>
  <c r="AJ93" i="34" s="1"/>
  <c r="AJ174" i="34"/>
  <c r="AJ158" i="34"/>
  <c r="BJ38" i="34"/>
  <c r="BJ52" i="36"/>
  <c r="BJ93" i="34" s="1"/>
  <c r="BJ68" i="36"/>
  <c r="BJ109" i="34" s="1"/>
  <c r="BJ20" i="34"/>
  <c r="BJ174" i="34"/>
  <c r="BJ6" i="34"/>
  <c r="BJ158" i="34"/>
  <c r="BG157" i="34"/>
  <c r="BG67" i="36"/>
  <c r="BG108" i="34" s="1"/>
  <c r="BG37" i="34"/>
  <c r="BG51" i="36"/>
  <c r="BG92" i="34" s="1"/>
  <c r="BG173" i="34"/>
  <c r="BG5" i="34"/>
  <c r="BG19" i="34"/>
  <c r="AN66" i="36"/>
  <c r="AN107" i="34" s="1"/>
  <c r="AN156" i="34"/>
  <c r="AN36" i="34"/>
  <c r="AN172" i="34"/>
  <c r="AN50" i="36"/>
  <c r="AN91" i="34" s="1"/>
  <c r="AN4" i="34"/>
  <c r="AN18" i="34"/>
  <c r="BB50" i="36"/>
  <c r="BB91" i="34" s="1"/>
  <c r="BB18" i="34"/>
  <c r="BB36" i="34"/>
  <c r="BB172" i="34"/>
  <c r="BB4" i="34"/>
  <c r="BB66" i="36"/>
  <c r="BB107" i="34" s="1"/>
  <c r="BB156" i="34"/>
  <c r="AQ50" i="36"/>
  <c r="AQ91" i="34" s="1"/>
  <c r="AQ66" i="36"/>
  <c r="AQ107" i="34" s="1"/>
  <c r="AQ18" i="34"/>
  <c r="AQ36" i="34"/>
  <c r="AM66" i="36"/>
  <c r="AM107" i="34" s="1"/>
  <c r="AM18" i="34"/>
  <c r="AM156" i="34"/>
  <c r="AM172" i="34"/>
  <c r="AM36" i="34"/>
  <c r="AM4" i="34"/>
  <c r="AM50" i="36"/>
  <c r="AM91" i="34" s="1"/>
  <c r="AW24" i="34"/>
  <c r="AW43" i="34"/>
  <c r="AW4" i="36"/>
  <c r="AW42" i="34"/>
  <c r="AW72" i="36"/>
  <c r="AW113" i="34" s="1"/>
  <c r="AX4" i="36"/>
  <c r="AW56" i="36"/>
  <c r="AW97" i="34" s="1"/>
  <c r="AW162" i="34"/>
  <c r="AW178" i="34"/>
  <c r="AF26" i="45"/>
  <c r="H24" i="62" s="1"/>
  <c r="AB18" i="45"/>
  <c r="D19" i="62" s="1"/>
  <c r="AE26" i="45"/>
  <c r="G24" i="62" s="1"/>
  <c r="AC26" i="45"/>
  <c r="E24" i="62" s="1"/>
  <c r="AY18" i="45"/>
  <c r="AA19" i="62" s="1"/>
  <c r="AB26" i="45"/>
  <c r="D24" i="62" s="1"/>
  <c r="AG18" i="45"/>
  <c r="I19" i="62" s="1"/>
  <c r="AE18" i="45"/>
  <c r="G19" i="62" s="1"/>
  <c r="AF18" i="45"/>
  <c r="H19" i="62" s="1"/>
  <c r="AC18" i="45"/>
  <c r="E19" i="62" s="1"/>
  <c r="AQ26" i="45"/>
  <c r="S24" i="62" s="1"/>
  <c r="AG26" i="45"/>
  <c r="I24" i="62" s="1"/>
  <c r="AD26" i="45"/>
  <c r="F24" i="62" s="1"/>
  <c r="AD18" i="45"/>
  <c r="F19" i="62" s="1"/>
  <c r="AF67" i="36"/>
  <c r="AF51" i="36"/>
  <c r="AF92" i="34" s="1"/>
  <c r="AF37" i="34"/>
  <c r="AD20" i="45" s="1"/>
  <c r="F20" i="62" s="1"/>
  <c r="AF19" i="34"/>
  <c r="AD12" i="45" s="1"/>
  <c r="F13" i="62" s="1"/>
  <c r="AF5" i="34"/>
  <c r="AD5" i="45" s="1"/>
  <c r="AF157" i="34"/>
  <c r="AD53" i="45" s="1"/>
  <c r="AF173" i="34"/>
  <c r="AD54" i="45" s="1"/>
  <c r="AE51" i="36"/>
  <c r="AE92" i="34" s="1"/>
  <c r="AE67" i="36"/>
  <c r="AE108" i="34" s="1"/>
  <c r="AE19" i="34"/>
  <c r="AE5" i="34"/>
  <c r="AE37" i="34"/>
  <c r="AE173" i="34"/>
  <c r="AE157" i="34"/>
  <c r="AH51" i="36"/>
  <c r="AH92" i="34" s="1"/>
  <c r="AH67" i="36"/>
  <c r="AH108" i="34" s="1"/>
  <c r="AH19" i="34"/>
  <c r="AF12" i="45" s="1"/>
  <c r="H13" i="62" s="1"/>
  <c r="AH5" i="34"/>
  <c r="AF5" i="45" s="1"/>
  <c r="AH37" i="34"/>
  <c r="AH157" i="34"/>
  <c r="AH173" i="34"/>
  <c r="AF54" i="45" s="1"/>
  <c r="AD67" i="36"/>
  <c r="AD108" i="34" s="1"/>
  <c r="AD51" i="36"/>
  <c r="AD92" i="34" s="1"/>
  <c r="AD37" i="34"/>
  <c r="AD173" i="34"/>
  <c r="AD19" i="34"/>
  <c r="AD5" i="34"/>
  <c r="AD157" i="34"/>
  <c r="AI138" i="34"/>
  <c r="AG47" i="45"/>
  <c r="AI142" i="34"/>
  <c r="BB26" i="45"/>
  <c r="AD24" i="62" s="1"/>
  <c r="BF5" i="34"/>
  <c r="BF173" i="34"/>
  <c r="BE67" i="36"/>
  <c r="BE108" i="34" s="1"/>
  <c r="BE37" i="34"/>
  <c r="BF67" i="36"/>
  <c r="BF108" i="34" s="1"/>
  <c r="AU157" i="34"/>
  <c r="AU5" i="34"/>
  <c r="AU37" i="34"/>
  <c r="BE173" i="34"/>
  <c r="BE157" i="34"/>
  <c r="BE19" i="34"/>
  <c r="BF157" i="34"/>
  <c r="BF51" i="36"/>
  <c r="BF92" i="34" s="1"/>
  <c r="BE5" i="34"/>
  <c r="BN51" i="36"/>
  <c r="BN92" i="34" s="1"/>
  <c r="BN5" i="34"/>
  <c r="BN157" i="34"/>
  <c r="BM157" i="34"/>
  <c r="AK157" i="34"/>
  <c r="AK67" i="36"/>
  <c r="AK108" i="34" s="1"/>
  <c r="AK19" i="34"/>
  <c r="AK5" i="34"/>
  <c r="AR19" i="34"/>
  <c r="AR173" i="34"/>
  <c r="AR5" i="34"/>
  <c r="AR67" i="36"/>
  <c r="AR108" i="34" s="1"/>
  <c r="AR157" i="34"/>
  <c r="AR37" i="34"/>
  <c r="AR51" i="36"/>
  <c r="AR92" i="34" s="1"/>
  <c r="BI157" i="34"/>
  <c r="BI19" i="34"/>
  <c r="BI37" i="34"/>
  <c r="BI173" i="34"/>
  <c r="BI51" i="36"/>
  <c r="BI92" i="34" s="1"/>
  <c r="BI5" i="34"/>
  <c r="BI67" i="36"/>
  <c r="BI108" i="34" s="1"/>
  <c r="AP19" i="34"/>
  <c r="AP51" i="36"/>
  <c r="AP92" i="34" s="1"/>
  <c r="AP173" i="34"/>
  <c r="AP67" i="36"/>
  <c r="AP108" i="34" s="1"/>
  <c r="AP37" i="34"/>
  <c r="AP5" i="34"/>
  <c r="AP157" i="34"/>
  <c r="BK37" i="34"/>
  <c r="BK173" i="34"/>
  <c r="BK5" i="34"/>
  <c r="BK51" i="36"/>
  <c r="BK92" i="34" s="1"/>
  <c r="BK19" i="34"/>
  <c r="BK67" i="36"/>
  <c r="BK108" i="34" s="1"/>
  <c r="BK157" i="34"/>
  <c r="BD157" i="34"/>
  <c r="BD67" i="36"/>
  <c r="BD108" i="34" s="1"/>
  <c r="BD37" i="34"/>
  <c r="BD173" i="34"/>
  <c r="BD19" i="34"/>
  <c r="BD5" i="34"/>
  <c r="BD51" i="36"/>
  <c r="BD92" i="34" s="1"/>
  <c r="AW19" i="34"/>
  <c r="AW51" i="36"/>
  <c r="AW92" i="34" s="1"/>
  <c r="AW37" i="34"/>
  <c r="AW67" i="36"/>
  <c r="AW108" i="34" s="1"/>
  <c r="AW173" i="34"/>
  <c r="AW5" i="34"/>
  <c r="AW157" i="34"/>
  <c r="AO37" i="34"/>
  <c r="AO67" i="36"/>
  <c r="AO108" i="34" s="1"/>
  <c r="AO173" i="34"/>
  <c r="AO19" i="34"/>
  <c r="AO5" i="34"/>
  <c r="AO157" i="34"/>
  <c r="AO51" i="36"/>
  <c r="AO92" i="34" s="1"/>
  <c r="BC5" i="34"/>
  <c r="BC51" i="36"/>
  <c r="BC92" i="34" s="1"/>
  <c r="BC173" i="34"/>
  <c r="BC67" i="36"/>
  <c r="BC108" i="34" s="1"/>
  <c r="BC157" i="34"/>
  <c r="BC37" i="34"/>
  <c r="BC19" i="34"/>
  <c r="BG26" i="45"/>
  <c r="AI24" i="62" s="1"/>
  <c r="AU18" i="45"/>
  <c r="W19" i="62" s="1"/>
  <c r="AS26" i="45"/>
  <c r="U24" i="62" s="1"/>
  <c r="AN26" i="45"/>
  <c r="P24" i="62" s="1"/>
  <c r="AL18" i="45"/>
  <c r="N19" i="62" s="1"/>
  <c r="AV26" i="45"/>
  <c r="X24" i="62" s="1"/>
  <c r="BD18" i="45"/>
  <c r="AF19" i="62" s="1"/>
  <c r="AS18" i="45"/>
  <c r="U19" i="62" s="1"/>
  <c r="BF26" i="45"/>
  <c r="AH24" i="62" s="1"/>
  <c r="BJ26" i="45"/>
  <c r="AL24" i="62" s="1"/>
  <c r="AP18" i="45"/>
  <c r="R19" i="62" s="1"/>
  <c r="AT18" i="45"/>
  <c r="V19" i="62" s="1"/>
  <c r="BI26" i="45"/>
  <c r="AK24" i="62" s="1"/>
  <c r="BK26" i="45"/>
  <c r="AM24" i="62" s="1"/>
  <c r="BN18" i="45"/>
  <c r="AP19" i="62" s="1"/>
  <c r="AK26" i="45"/>
  <c r="M24" i="62" s="1"/>
  <c r="AZ18" i="45"/>
  <c r="AB19" i="62" s="1"/>
  <c r="AP26" i="45"/>
  <c r="R24" i="62" s="1"/>
  <c r="BA18" i="45"/>
  <c r="AC19" i="62" s="1"/>
  <c r="AJ26" i="45"/>
  <c r="L24" i="62" s="1"/>
  <c r="BK18" i="45"/>
  <c r="AM19" i="62" s="1"/>
  <c r="AW26" i="45"/>
  <c r="Y24" i="62" s="1"/>
  <c r="AY26" i="45"/>
  <c r="AA24" i="62" s="1"/>
  <c r="BJ18" i="45"/>
  <c r="AL19" i="62" s="1"/>
  <c r="BA26" i="45"/>
  <c r="AC24" i="62" s="1"/>
  <c r="AL26" i="45"/>
  <c r="N24" i="62" s="1"/>
  <c r="BI18" i="45"/>
  <c r="AK19" i="62" s="1"/>
  <c r="BC18" i="45"/>
  <c r="AE19" i="62" s="1"/>
  <c r="AH18" i="45"/>
  <c r="J19" i="62" s="1"/>
  <c r="BB18" i="45"/>
  <c r="AD19" i="62" s="1"/>
  <c r="AW18" i="45"/>
  <c r="Y19" i="62" s="1"/>
  <c r="AH26" i="45"/>
  <c r="J24" i="62" s="1"/>
  <c r="AK18" i="45"/>
  <c r="M19" i="62" s="1"/>
  <c r="AO18" i="45"/>
  <c r="Q19" i="62" s="1"/>
  <c r="BN26" i="45"/>
  <c r="AP24" i="62" s="1"/>
  <c r="AT26" i="45"/>
  <c r="V24" i="62" s="1"/>
  <c r="BF18" i="45"/>
  <c r="AH19" i="62" s="1"/>
  <c r="AU26" i="45"/>
  <c r="W24" i="62" s="1"/>
  <c r="BE18" i="45"/>
  <c r="AG19" i="62" s="1"/>
  <c r="AX18" i="45"/>
  <c r="Z19" i="62" s="1"/>
  <c r="BG18" i="45"/>
  <c r="AI19" i="62" s="1"/>
  <c r="AN18" i="45"/>
  <c r="P19" i="62" s="1"/>
  <c r="BC26" i="45"/>
  <c r="AE24" i="62" s="1"/>
  <c r="AJ18" i="45"/>
  <c r="L19" i="62" s="1"/>
  <c r="AO26" i="45"/>
  <c r="Q24" i="62" s="1"/>
  <c r="BH18" i="45"/>
  <c r="AJ19" i="62" s="1"/>
  <c r="BL26" i="45"/>
  <c r="AN24" i="62" s="1"/>
  <c r="BE26" i="45"/>
  <c r="AG24" i="62" s="1"/>
  <c r="AI18" i="45"/>
  <c r="K19" i="62" s="1"/>
  <c r="BH26" i="45"/>
  <c r="AJ24" i="62" s="1"/>
  <c r="AR26" i="45"/>
  <c r="T24" i="62" s="1"/>
  <c r="AI26" i="45"/>
  <c r="K24" i="62" s="1"/>
  <c r="AQ18" i="45"/>
  <c r="S19" i="62" s="1"/>
  <c r="BM18" i="45"/>
  <c r="AO19" i="62" s="1"/>
  <c r="AM18" i="45"/>
  <c r="O19" i="62" s="1"/>
  <c r="AR18" i="45"/>
  <c r="T19" i="62" s="1"/>
  <c r="AV18" i="45"/>
  <c r="X19" i="62" s="1"/>
  <c r="BD26" i="45"/>
  <c r="AF24" i="62" s="1"/>
  <c r="BL18" i="45"/>
  <c r="AN19" i="62" s="1"/>
  <c r="BM26" i="45"/>
  <c r="AO24" i="62" s="1"/>
  <c r="AM26" i="45"/>
  <c r="O24" i="62" s="1"/>
  <c r="AX26" i="45"/>
  <c r="Z24" i="62" s="1"/>
  <c r="AZ26" i="45"/>
  <c r="AB24" i="62" s="1"/>
  <c r="AN120" i="34"/>
  <c r="AT120" i="34"/>
  <c r="AC5" i="45" l="1"/>
  <c r="AC4" i="45" s="1"/>
  <c r="AC58" i="45" s="1"/>
  <c r="AO85" i="36"/>
  <c r="AP85" i="36"/>
  <c r="AE85" i="36"/>
  <c r="BG85" i="36"/>
  <c r="AS85" i="36"/>
  <c r="AF85" i="36"/>
  <c r="AV85" i="36"/>
  <c r="AX85" i="36"/>
  <c r="BH85" i="36"/>
  <c r="AQ85" i="36"/>
  <c r="AN85" i="36"/>
  <c r="AU85" i="36"/>
  <c r="BC85" i="36"/>
  <c r="BA85" i="36"/>
  <c r="AZ85" i="36"/>
  <c r="AY85" i="36"/>
  <c r="AM85" i="36"/>
  <c r="BF85" i="36"/>
  <c r="AT85" i="36"/>
  <c r="AJ85" i="36"/>
  <c r="BE85" i="36"/>
  <c r="BJ45" i="36"/>
  <c r="BI85" i="36"/>
  <c r="BB85" i="36"/>
  <c r="BD85" i="36"/>
  <c r="AI85" i="36"/>
  <c r="AK85" i="36"/>
  <c r="AR85" i="36"/>
  <c r="AL85" i="36"/>
  <c r="AH85" i="36"/>
  <c r="AW85" i="36"/>
  <c r="AD4" i="45"/>
  <c r="AD58" i="45" s="1"/>
  <c r="F7" i="62"/>
  <c r="AG4" i="45"/>
  <c r="AG58" i="45" s="1"/>
  <c r="I7" i="62"/>
  <c r="AF4" i="45"/>
  <c r="AF58" i="45" s="1"/>
  <c r="H7" i="62"/>
  <c r="AD19" i="45"/>
  <c r="AD60" i="45" s="1"/>
  <c r="AD11" i="45"/>
  <c r="AD59" i="45" s="1"/>
  <c r="AE12" i="45"/>
  <c r="AE53" i="45"/>
  <c r="AE47" i="45"/>
  <c r="AF20" i="45"/>
  <c r="AC53" i="45"/>
  <c r="AB53" i="45"/>
  <c r="AB54" i="45"/>
  <c r="AE54" i="45"/>
  <c r="AE5" i="45"/>
  <c r="AE19" i="45"/>
  <c r="AE60" i="45" s="1"/>
  <c r="AB47" i="45"/>
  <c r="AG141" i="34"/>
  <c r="AI141" i="34"/>
  <c r="AG137" i="34"/>
  <c r="AC47" i="45"/>
  <c r="AI137" i="34"/>
  <c r="AC20" i="45"/>
  <c r="AF47" i="45"/>
  <c r="AC12" i="45"/>
  <c r="AG138" i="34"/>
  <c r="AB5" i="45"/>
  <c r="AC54" i="45"/>
  <c r="AG142" i="34"/>
  <c r="AF53" i="45"/>
  <c r="AF52" i="45" s="1"/>
  <c r="AB20" i="45"/>
  <c r="AB12" i="45"/>
  <c r="AW57" i="36"/>
  <c r="AW98" i="34" s="1"/>
  <c r="AW11" i="34"/>
  <c r="AU6" i="45" s="1"/>
  <c r="W8" i="62" s="1"/>
  <c r="AW73" i="36"/>
  <c r="AW114" i="34" s="1"/>
  <c r="AW179" i="34"/>
  <c r="AW163" i="34"/>
  <c r="AX42" i="34"/>
  <c r="AX24" i="34"/>
  <c r="AW25" i="34"/>
  <c r="AU13" i="45" s="1"/>
  <c r="W14" i="62" s="1"/>
  <c r="AX72" i="36"/>
  <c r="AX113" i="34" s="1"/>
  <c r="AX10" i="34"/>
  <c r="AX56" i="36"/>
  <c r="AX97" i="34" s="1"/>
  <c r="AX57" i="36"/>
  <c r="AX98" i="34" s="1"/>
  <c r="AX162" i="34"/>
  <c r="AX178" i="34"/>
  <c r="AU21" i="45"/>
  <c r="W21" i="62" s="1"/>
  <c r="AY10" i="34"/>
  <c r="AG19" i="45"/>
  <c r="AG60" i="45" s="1"/>
  <c r="AW168" i="34"/>
  <c r="AW48" i="34"/>
  <c r="AW184" i="34"/>
  <c r="AW16" i="34"/>
  <c r="AW78" i="36"/>
  <c r="AW119" i="34" s="1"/>
  <c r="AW30" i="34"/>
  <c r="AW62" i="36"/>
  <c r="AW103" i="34" s="1"/>
  <c r="AE142" i="34"/>
  <c r="AE138" i="34"/>
  <c r="AG11" i="45"/>
  <c r="AG59" i="45" s="1"/>
  <c r="AF11" i="45"/>
  <c r="AF59" i="45" s="1"/>
  <c r="AD137" i="34"/>
  <c r="AD141" i="34"/>
  <c r="AD138" i="34"/>
  <c r="AH142" i="34"/>
  <c r="AE141" i="34"/>
  <c r="AE137" i="34"/>
  <c r="AH138" i="34"/>
  <c r="AF137" i="34"/>
  <c r="AF141" i="34"/>
  <c r="AD142" i="34"/>
  <c r="AD52" i="45"/>
  <c r="AG52" i="45"/>
  <c r="AF108" i="34"/>
  <c r="AD47" i="45" s="1"/>
  <c r="AF138" i="34"/>
  <c r="AH141" i="34"/>
  <c r="AF142" i="34"/>
  <c r="AH137" i="34"/>
  <c r="E7" i="62" l="1"/>
  <c r="BK45" i="36"/>
  <c r="BJ85" i="36"/>
  <c r="AD67" i="45"/>
  <c r="F41" i="62"/>
  <c r="AB11" i="45"/>
  <c r="AB59" i="45" s="1"/>
  <c r="D13" i="62"/>
  <c r="AB19" i="45"/>
  <c r="AB60" i="45" s="1"/>
  <c r="D20" i="62"/>
  <c r="AB4" i="45"/>
  <c r="AB58" i="45" s="1"/>
  <c r="D7" i="62"/>
  <c r="AC19" i="45"/>
  <c r="AC60" i="45" s="1"/>
  <c r="E20" i="62"/>
  <c r="AE4" i="45"/>
  <c r="AE58" i="45" s="1"/>
  <c r="G7" i="62"/>
  <c r="AE11" i="45"/>
  <c r="AE59" i="45" s="1"/>
  <c r="G13" i="62"/>
  <c r="AF67" i="45"/>
  <c r="H41" i="62"/>
  <c r="AF19" i="45"/>
  <c r="AF60" i="45" s="1"/>
  <c r="AF71" i="45" s="1"/>
  <c r="H20" i="62"/>
  <c r="AG67" i="45"/>
  <c r="I41" i="62"/>
  <c r="AC11" i="45"/>
  <c r="AC59" i="45" s="1"/>
  <c r="E13" i="62"/>
  <c r="AD71" i="45"/>
  <c r="AE52" i="45"/>
  <c r="AC52" i="45"/>
  <c r="AB52" i="45"/>
  <c r="AY56" i="36"/>
  <c r="AY97" i="34" s="1"/>
  <c r="AX73" i="36"/>
  <c r="AX114" i="34" s="1"/>
  <c r="AX11" i="34"/>
  <c r="AV6" i="45" s="1"/>
  <c r="X8" i="62" s="1"/>
  <c r="AY73" i="36"/>
  <c r="AY114" i="34" s="1"/>
  <c r="AY42" i="34"/>
  <c r="AY24" i="34"/>
  <c r="AX163" i="34"/>
  <c r="AX43" i="34"/>
  <c r="AV21" i="45" s="1"/>
  <c r="X21" i="62" s="1"/>
  <c r="AX179" i="34"/>
  <c r="AX25" i="34"/>
  <c r="AV13" i="45" s="1"/>
  <c r="X14" i="62" s="1"/>
  <c r="AY178" i="34"/>
  <c r="AY72" i="36"/>
  <c r="AY113" i="34" s="1"/>
  <c r="AY4" i="36"/>
  <c r="AY162" i="34"/>
  <c r="AG71" i="45"/>
  <c r="AW49" i="34"/>
  <c r="AU25" i="45" s="1"/>
  <c r="W23" i="62" s="1"/>
  <c r="AW79" i="36"/>
  <c r="AW120" i="34" s="1"/>
  <c r="AW31" i="34"/>
  <c r="AU17" i="45" s="1"/>
  <c r="W18" i="62" s="1"/>
  <c r="AW169" i="34"/>
  <c r="AW17" i="34"/>
  <c r="AU10" i="45" s="1"/>
  <c r="W12" i="62" s="1"/>
  <c r="AW63" i="36"/>
  <c r="AW104" i="34" s="1"/>
  <c r="AW185" i="34"/>
  <c r="AX62" i="36"/>
  <c r="AX103" i="34" s="1"/>
  <c r="AX16" i="34"/>
  <c r="AX184" i="34"/>
  <c r="AX30" i="34"/>
  <c r="AX168" i="34"/>
  <c r="AX78" i="36"/>
  <c r="AX119" i="34" s="1"/>
  <c r="AX48" i="34"/>
  <c r="BL45" i="36" l="1"/>
  <c r="BK85" i="36"/>
  <c r="AC71" i="45"/>
  <c r="AB71" i="45"/>
  <c r="AE71" i="45"/>
  <c r="AE67" i="45"/>
  <c r="G41" i="62"/>
  <c r="AB67" i="45"/>
  <c r="D41" i="62"/>
  <c r="AC67" i="45"/>
  <c r="E41" i="62"/>
  <c r="AZ162" i="34"/>
  <c r="AY57" i="36"/>
  <c r="AY98" i="34" s="1"/>
  <c r="AY25" i="34"/>
  <c r="AW13" i="45" s="1"/>
  <c r="Y14" i="62" s="1"/>
  <c r="AZ10" i="34"/>
  <c r="AY11" i="34"/>
  <c r="AW6" i="45" s="1"/>
  <c r="Y8" i="62" s="1"/>
  <c r="AZ72" i="36"/>
  <c r="AZ113" i="34" s="1"/>
  <c r="AY163" i="34"/>
  <c r="AY43" i="34"/>
  <c r="AW21" i="45" s="1"/>
  <c r="Y21" i="62" s="1"/>
  <c r="AY179" i="34"/>
  <c r="AZ42" i="34"/>
  <c r="AZ4" i="36"/>
  <c r="AZ56" i="36"/>
  <c r="AZ97" i="34" s="1"/>
  <c r="AZ24" i="34"/>
  <c r="AZ178" i="34"/>
  <c r="AY184" i="34"/>
  <c r="AY48" i="34"/>
  <c r="AY62" i="36"/>
  <c r="AY103" i="34" s="1"/>
  <c r="AY168" i="34"/>
  <c r="AY16" i="34"/>
  <c r="AY30" i="34"/>
  <c r="AY78" i="36"/>
  <c r="AY119" i="34" s="1"/>
  <c r="AX169" i="34"/>
  <c r="AX17" i="34"/>
  <c r="AV10" i="45" s="1"/>
  <c r="X12" i="62" s="1"/>
  <c r="AX63" i="36"/>
  <c r="AX104" i="34" s="1"/>
  <c r="AX49" i="34"/>
  <c r="AV25" i="45" s="1"/>
  <c r="X23" i="62" s="1"/>
  <c r="AX185" i="34"/>
  <c r="AX79" i="36"/>
  <c r="AX120" i="34" s="1"/>
  <c r="AX31" i="34"/>
  <c r="AV17" i="45" s="1"/>
  <c r="X18" i="62" s="1"/>
  <c r="AZ43" i="34"/>
  <c r="AZ57" i="36"/>
  <c r="AZ98" i="34" s="1"/>
  <c r="AZ25" i="34"/>
  <c r="AZ179" i="34"/>
  <c r="AZ11" i="34"/>
  <c r="AZ163" i="34"/>
  <c r="AZ73" i="36"/>
  <c r="AZ114" i="34" s="1"/>
  <c r="BM45" i="36" l="1"/>
  <c r="BL85" i="36"/>
  <c r="BA42" i="34"/>
  <c r="AX6" i="45"/>
  <c r="Z8" i="62" s="1"/>
  <c r="BA72" i="36"/>
  <c r="BA113" i="34" s="1"/>
  <c r="AX21" i="45"/>
  <c r="Z21" i="62" s="1"/>
  <c r="BA162" i="34"/>
  <c r="BA56" i="36"/>
  <c r="BA97" i="34" s="1"/>
  <c r="AX13" i="45"/>
  <c r="Z14" i="62" s="1"/>
  <c r="BA178" i="34"/>
  <c r="BA10" i="34"/>
  <c r="BA24" i="34"/>
  <c r="BB24" i="34"/>
  <c r="AY185" i="34"/>
  <c r="AY79" i="36"/>
  <c r="AY120" i="34" s="1"/>
  <c r="AY169" i="34"/>
  <c r="AY49" i="34"/>
  <c r="AW25" i="45" s="1"/>
  <c r="Y23" i="62" s="1"/>
  <c r="AY31" i="34"/>
  <c r="AW17" i="45" s="1"/>
  <c r="Y18" i="62" s="1"/>
  <c r="AY17" i="34"/>
  <c r="AW10" i="45" s="1"/>
  <c r="Y12" i="62" s="1"/>
  <c r="AY63" i="36"/>
  <c r="AY104" i="34" s="1"/>
  <c r="AZ78" i="36"/>
  <c r="AZ119" i="34" s="1"/>
  <c r="AZ48" i="34"/>
  <c r="AZ184" i="34"/>
  <c r="AZ168" i="34"/>
  <c r="AZ30" i="34"/>
  <c r="AZ16" i="34"/>
  <c r="AZ62" i="36"/>
  <c r="AZ103" i="34" s="1"/>
  <c r="BA179" i="34"/>
  <c r="BA25" i="34"/>
  <c r="BA73" i="36"/>
  <c r="BA114" i="34" s="1"/>
  <c r="BA163" i="34"/>
  <c r="BA11" i="34"/>
  <c r="BA43" i="34"/>
  <c r="BA57" i="36"/>
  <c r="BA98" i="34" s="1"/>
  <c r="BN45" i="36" l="1"/>
  <c r="BM85" i="36"/>
  <c r="AY21" i="45"/>
  <c r="AA21" i="62" s="1"/>
  <c r="BB56" i="36"/>
  <c r="BB97" i="34" s="1"/>
  <c r="BB72" i="36"/>
  <c r="BB113" i="34" s="1"/>
  <c r="AY6" i="45"/>
  <c r="AA8" i="62" s="1"/>
  <c r="BB162" i="34"/>
  <c r="AY13" i="45"/>
  <c r="AA14" i="62" s="1"/>
  <c r="BB178" i="34"/>
  <c r="BB42" i="34"/>
  <c r="BC42" i="34"/>
  <c r="BB10" i="34"/>
  <c r="BA16" i="34"/>
  <c r="BA184" i="34"/>
  <c r="BA30" i="34"/>
  <c r="BA168" i="34"/>
  <c r="BA62" i="36"/>
  <c r="BA103" i="34" s="1"/>
  <c r="BA48" i="34"/>
  <c r="BA78" i="36"/>
  <c r="BA119" i="34" s="1"/>
  <c r="AZ169" i="34"/>
  <c r="AZ185" i="34"/>
  <c r="AZ17" i="34"/>
  <c r="AX10" i="45" s="1"/>
  <c r="Z12" i="62" s="1"/>
  <c r="AZ63" i="36"/>
  <c r="AZ104" i="34" s="1"/>
  <c r="AZ31" i="34"/>
  <c r="AX17" i="45" s="1"/>
  <c r="Z18" i="62" s="1"/>
  <c r="AZ49" i="34"/>
  <c r="AX25" i="45" s="1"/>
  <c r="Z23" i="62" s="1"/>
  <c r="AZ79" i="36"/>
  <c r="AZ120" i="34" s="1"/>
  <c r="BB43" i="34"/>
  <c r="BB163" i="34"/>
  <c r="BB73" i="36"/>
  <c r="BB114" i="34" s="1"/>
  <c r="BB179" i="34"/>
  <c r="BB57" i="36"/>
  <c r="BB98" i="34" s="1"/>
  <c r="BB25" i="34"/>
  <c r="AZ13" i="45" s="1"/>
  <c r="AB14" i="62" s="1"/>
  <c r="BB11" i="34"/>
  <c r="BO45" i="36" l="1"/>
  <c r="BN85" i="36"/>
  <c r="BC10" i="34"/>
  <c r="AZ21" i="45"/>
  <c r="AB21" i="62" s="1"/>
  <c r="AZ6" i="45"/>
  <c r="AB8" i="62" s="1"/>
  <c r="BC162" i="34"/>
  <c r="BC24" i="34"/>
  <c r="BC178" i="34"/>
  <c r="BC56" i="36"/>
  <c r="BC97" i="34" s="1"/>
  <c r="BD72" i="36"/>
  <c r="BD113" i="34" s="1"/>
  <c r="BC72" i="36"/>
  <c r="BC113" i="34" s="1"/>
  <c r="BB78" i="36"/>
  <c r="BB119" i="34" s="1"/>
  <c r="BB16" i="34"/>
  <c r="BB30" i="34"/>
  <c r="BB184" i="34"/>
  <c r="BB62" i="36"/>
  <c r="BB103" i="34" s="1"/>
  <c r="BB48" i="34"/>
  <c r="BB168" i="34"/>
  <c r="BA17" i="34"/>
  <c r="AY10" i="45" s="1"/>
  <c r="AA12" i="62" s="1"/>
  <c r="BA169" i="34"/>
  <c r="BA79" i="36"/>
  <c r="BA120" i="34" s="1"/>
  <c r="BA49" i="34"/>
  <c r="AY25" i="45" s="1"/>
  <c r="AA23" i="62" s="1"/>
  <c r="BA63" i="36"/>
  <c r="BA104" i="34" s="1"/>
  <c r="BA31" i="34"/>
  <c r="AY17" i="45" s="1"/>
  <c r="AA18" i="62" s="1"/>
  <c r="BA185" i="34"/>
  <c r="BC25" i="34"/>
  <c r="BC73" i="36"/>
  <c r="BC114" i="34" s="1"/>
  <c r="BC43" i="34"/>
  <c r="BA21" i="45" s="1"/>
  <c r="AC21" i="62" s="1"/>
  <c r="BC163" i="34"/>
  <c r="BC11" i="34"/>
  <c r="BC179" i="34"/>
  <c r="BC57" i="36"/>
  <c r="BC98" i="34" s="1"/>
  <c r="BD178" i="34"/>
  <c r="BP45" i="36" l="1"/>
  <c r="BP85" i="36" s="1"/>
  <c r="BO85" i="36"/>
  <c r="BA6" i="45"/>
  <c r="AC8" i="62" s="1"/>
  <c r="BD56" i="36"/>
  <c r="BD97" i="34" s="1"/>
  <c r="BD162" i="34"/>
  <c r="BD43" i="34"/>
  <c r="BD10" i="34"/>
  <c r="BD24" i="34"/>
  <c r="BD42" i="34"/>
  <c r="BA13" i="45"/>
  <c r="AC14" i="62" s="1"/>
  <c r="BC168" i="34"/>
  <c r="BC16" i="34"/>
  <c r="BC30" i="34"/>
  <c r="BC184" i="34"/>
  <c r="BC48" i="34"/>
  <c r="BC78" i="36"/>
  <c r="BC119" i="34" s="1"/>
  <c r="BC62" i="36"/>
  <c r="BC103" i="34" s="1"/>
  <c r="BB169" i="34"/>
  <c r="BB63" i="36"/>
  <c r="BB104" i="34" s="1"/>
  <c r="BB185" i="34"/>
  <c r="BB17" i="34"/>
  <c r="AZ10" i="45" s="1"/>
  <c r="AB12" i="62" s="1"/>
  <c r="BB31" i="34"/>
  <c r="AZ17" i="45" s="1"/>
  <c r="AB18" i="62" s="1"/>
  <c r="BB79" i="36"/>
  <c r="BB120" i="34" s="1"/>
  <c r="BB49" i="34"/>
  <c r="AZ25" i="45" s="1"/>
  <c r="AB23" i="62" s="1"/>
  <c r="BE42" i="34"/>
  <c r="BE178" i="34" l="1"/>
  <c r="BD73" i="36"/>
  <c r="BD114" i="34" s="1"/>
  <c r="BD11" i="34"/>
  <c r="BB6" i="45" s="1"/>
  <c r="AD8" i="62" s="1"/>
  <c r="BD25" i="34"/>
  <c r="BB13" i="45" s="1"/>
  <c r="AD14" i="62" s="1"/>
  <c r="BE24" i="34"/>
  <c r="BE72" i="36"/>
  <c r="BE113" i="34" s="1"/>
  <c r="BE10" i="34"/>
  <c r="BB21" i="45"/>
  <c r="AD21" i="62" s="1"/>
  <c r="BE56" i="36"/>
  <c r="BE97" i="34" s="1"/>
  <c r="BD179" i="34"/>
  <c r="BD163" i="34"/>
  <c r="BD57" i="36"/>
  <c r="BD98" i="34" s="1"/>
  <c r="BE162" i="34"/>
  <c r="BF10" i="34"/>
  <c r="BD168" i="34"/>
  <c r="BD30" i="34"/>
  <c r="BD184" i="34"/>
  <c r="BD48" i="34"/>
  <c r="BD78" i="36"/>
  <c r="BD119" i="34" s="1"/>
  <c r="BD62" i="36"/>
  <c r="BD103" i="34" s="1"/>
  <c r="BD16" i="34"/>
  <c r="BC31" i="34"/>
  <c r="BA17" i="45" s="1"/>
  <c r="AC18" i="62" s="1"/>
  <c r="BC63" i="36"/>
  <c r="BC104" i="34" s="1"/>
  <c r="BC185" i="34"/>
  <c r="BC169" i="34"/>
  <c r="BC79" i="36"/>
  <c r="BC120" i="34" s="1"/>
  <c r="BC17" i="34"/>
  <c r="BA10" i="45" s="1"/>
  <c r="AC12" i="62" s="1"/>
  <c r="BC49" i="34"/>
  <c r="BA25" i="45" s="1"/>
  <c r="AC23" i="62" s="1"/>
  <c r="BE25" i="34"/>
  <c r="BE57" i="36"/>
  <c r="BE98" i="34" s="1"/>
  <c r="BE179" i="34"/>
  <c r="BE163" i="34"/>
  <c r="BE73" i="36"/>
  <c r="BE114" i="34" s="1"/>
  <c r="BE43" i="34"/>
  <c r="BC21" i="45" s="1"/>
  <c r="AE21" i="62" s="1"/>
  <c r="BE11" i="34"/>
  <c r="BF56" i="36" l="1"/>
  <c r="BF97" i="34" s="1"/>
  <c r="BF24" i="34"/>
  <c r="BF162" i="34"/>
  <c r="BF42" i="34"/>
  <c r="BF72" i="36"/>
  <c r="BF113" i="34" s="1"/>
  <c r="BC13" i="45"/>
  <c r="AE14" i="62" s="1"/>
  <c r="BC6" i="45"/>
  <c r="AE8" i="62" s="1"/>
  <c r="BF178" i="34"/>
  <c r="BG56" i="36"/>
  <c r="BG97" i="34" s="1"/>
  <c r="BE184" i="34"/>
  <c r="BE30" i="34"/>
  <c r="BE78" i="36"/>
  <c r="BE119" i="34" s="1"/>
  <c r="BE16" i="34"/>
  <c r="BE62" i="36"/>
  <c r="BE103" i="34" s="1"/>
  <c r="BE168" i="34"/>
  <c r="BE48" i="34"/>
  <c r="BD49" i="34"/>
  <c r="BB25" i="45" s="1"/>
  <c r="AD23" i="62" s="1"/>
  <c r="BD17" i="34"/>
  <c r="BB10" i="45" s="1"/>
  <c r="AD12" i="62" s="1"/>
  <c r="BD79" i="36"/>
  <c r="BD120" i="34" s="1"/>
  <c r="BD185" i="34"/>
  <c r="BD31" i="34"/>
  <c r="BB17" i="45" s="1"/>
  <c r="AD18" i="62" s="1"/>
  <c r="BD169" i="34"/>
  <c r="BD63" i="36"/>
  <c r="BD104" i="34" s="1"/>
  <c r="BF11" i="34"/>
  <c r="BD6" i="45" s="1"/>
  <c r="AF8" i="62" s="1"/>
  <c r="BF73" i="36"/>
  <c r="BF114" i="34" s="1"/>
  <c r="BF25" i="34"/>
  <c r="BF179" i="34"/>
  <c r="BF163" i="34"/>
  <c r="BF43" i="34"/>
  <c r="BF57" i="36"/>
  <c r="BF98" i="34" s="1"/>
  <c r="BD13" i="45" l="1"/>
  <c r="AF14" i="62" s="1"/>
  <c r="BG178" i="34"/>
  <c r="BD21" i="45"/>
  <c r="AF21" i="62" s="1"/>
  <c r="BG10" i="34"/>
  <c r="BG72" i="36"/>
  <c r="BG113" i="34" s="1"/>
  <c r="BG43" i="34"/>
  <c r="BG162" i="34"/>
  <c r="BG24" i="34"/>
  <c r="BG42" i="34"/>
  <c r="BE185" i="34"/>
  <c r="BE79" i="36"/>
  <c r="BE120" i="34" s="1"/>
  <c r="BE31" i="34"/>
  <c r="BC17" i="45" s="1"/>
  <c r="AE18" i="62" s="1"/>
  <c r="BE17" i="34"/>
  <c r="BC10" i="45" s="1"/>
  <c r="AE12" i="62" s="1"/>
  <c r="BE63" i="36"/>
  <c r="BE104" i="34" s="1"/>
  <c r="BE49" i="34"/>
  <c r="BC25" i="45" s="1"/>
  <c r="AE23" i="62" s="1"/>
  <c r="BE169" i="34"/>
  <c r="BF184" i="34"/>
  <c r="BF16" i="34"/>
  <c r="BF168" i="34"/>
  <c r="BF48" i="34"/>
  <c r="BF62" i="36"/>
  <c r="BF103" i="34" s="1"/>
  <c r="BF30" i="34"/>
  <c r="BF78" i="36"/>
  <c r="BF119" i="34" s="1"/>
  <c r="BG163" i="34" l="1"/>
  <c r="BH56" i="36"/>
  <c r="BH97" i="34" s="1"/>
  <c r="BG73" i="36"/>
  <c r="BG114" i="34" s="1"/>
  <c r="BG179" i="34"/>
  <c r="BG11" i="34"/>
  <c r="BE6" i="45" s="1"/>
  <c r="AG8" i="62" s="1"/>
  <c r="BH24" i="34"/>
  <c r="BH178" i="34"/>
  <c r="BH72" i="36"/>
  <c r="BH113" i="34" s="1"/>
  <c r="BG57" i="36"/>
  <c r="BG98" i="34" s="1"/>
  <c r="BH162" i="34"/>
  <c r="BG25" i="34"/>
  <c r="BE13" i="45" s="1"/>
  <c r="AG14" i="62" s="1"/>
  <c r="BH10" i="34"/>
  <c r="BH42" i="34"/>
  <c r="BE21" i="45"/>
  <c r="AG21" i="62" s="1"/>
  <c r="BI10" i="34"/>
  <c r="BF31" i="34"/>
  <c r="BD17" i="45" s="1"/>
  <c r="AF18" i="62" s="1"/>
  <c r="BF63" i="36"/>
  <c r="BF104" i="34" s="1"/>
  <c r="BF169" i="34"/>
  <c r="BF79" i="36"/>
  <c r="BF120" i="34" s="1"/>
  <c r="BF49" i="34"/>
  <c r="BD25" i="45" s="1"/>
  <c r="AF23" i="62" s="1"/>
  <c r="BF185" i="34"/>
  <c r="BF17" i="34"/>
  <c r="BD10" i="45" s="1"/>
  <c r="AF12" i="62" s="1"/>
  <c r="BG168" i="34"/>
  <c r="BG48" i="34"/>
  <c r="BG62" i="36"/>
  <c r="BG103" i="34" s="1"/>
  <c r="BG78" i="36"/>
  <c r="BG119" i="34" s="1"/>
  <c r="BG30" i="34"/>
  <c r="BG184" i="34"/>
  <c r="BG16" i="34"/>
  <c r="BI162" i="34"/>
  <c r="BH43" i="34"/>
  <c r="BH179" i="34"/>
  <c r="BH57" i="36"/>
  <c r="BH98" i="34" s="1"/>
  <c r="BH11" i="34"/>
  <c r="BH25" i="34"/>
  <c r="BH163" i="34"/>
  <c r="BH73" i="36"/>
  <c r="BH114" i="34" s="1"/>
  <c r="BF13" i="45" l="1"/>
  <c r="AH14" i="62" s="1"/>
  <c r="BI72" i="36"/>
  <c r="BI113" i="34" s="1"/>
  <c r="BF21" i="45"/>
  <c r="AH21" i="62" s="1"/>
  <c r="BF6" i="45"/>
  <c r="AH8" i="62" s="1"/>
  <c r="BI42" i="34"/>
  <c r="BI24" i="34"/>
  <c r="BI178" i="34"/>
  <c r="BI25" i="34"/>
  <c r="BI56" i="36"/>
  <c r="BI97" i="34" s="1"/>
  <c r="BJ162" i="34"/>
  <c r="BG17" i="34"/>
  <c r="BE10" i="45" s="1"/>
  <c r="AG12" i="62" s="1"/>
  <c r="BG79" i="36"/>
  <c r="BG120" i="34" s="1"/>
  <c r="BG49" i="34"/>
  <c r="BE25" i="45" s="1"/>
  <c r="AG23" i="62" s="1"/>
  <c r="BG185" i="34"/>
  <c r="BG169" i="34"/>
  <c r="BG31" i="34"/>
  <c r="BE17" i="45" s="1"/>
  <c r="AG18" i="62" s="1"/>
  <c r="BG63" i="36"/>
  <c r="BG104" i="34" s="1"/>
  <c r="BH184" i="34"/>
  <c r="BH30" i="34"/>
  <c r="BH62" i="36"/>
  <c r="BH103" i="34" s="1"/>
  <c r="BH78" i="36"/>
  <c r="BH119" i="34" s="1"/>
  <c r="BH168" i="34"/>
  <c r="BH48" i="34"/>
  <c r="BH16" i="34"/>
  <c r="BJ10" i="34" l="1"/>
  <c r="BI11" i="34"/>
  <c r="BG6" i="45" s="1"/>
  <c r="AI8" i="62" s="1"/>
  <c r="BI163" i="34"/>
  <c r="BG13" i="45"/>
  <c r="AI14" i="62" s="1"/>
  <c r="BI179" i="34"/>
  <c r="BI73" i="36"/>
  <c r="BI114" i="34" s="1"/>
  <c r="BI43" i="34"/>
  <c r="BG21" i="45" s="1"/>
  <c r="AI21" i="62" s="1"/>
  <c r="BI57" i="36"/>
  <c r="BI98" i="34" s="1"/>
  <c r="BJ24" i="34"/>
  <c r="BJ56" i="36"/>
  <c r="BJ97" i="34" s="1"/>
  <c r="BJ11" i="34"/>
  <c r="BJ72" i="36"/>
  <c r="BJ113" i="34" s="1"/>
  <c r="BJ42" i="34"/>
  <c r="BJ178" i="34"/>
  <c r="BK24" i="34"/>
  <c r="BH49" i="34"/>
  <c r="BF25" i="45" s="1"/>
  <c r="AH23" i="62" s="1"/>
  <c r="BH185" i="34"/>
  <c r="BH17" i="34"/>
  <c r="BF10" i="45" s="1"/>
  <c r="AH12" i="62" s="1"/>
  <c r="BH79" i="36"/>
  <c r="BH120" i="34" s="1"/>
  <c r="BH31" i="34"/>
  <c r="BF17" i="45" s="1"/>
  <c r="AH18" i="62" s="1"/>
  <c r="BH169" i="34"/>
  <c r="BH63" i="36"/>
  <c r="BH104" i="34" s="1"/>
  <c r="BI168" i="34"/>
  <c r="BI184" i="34"/>
  <c r="BI30" i="34"/>
  <c r="BI16" i="34"/>
  <c r="BI62" i="36"/>
  <c r="BI103" i="34" s="1"/>
  <c r="BI78" i="36"/>
  <c r="BI119" i="34" s="1"/>
  <c r="BI48" i="34"/>
  <c r="BH6" i="45" l="1"/>
  <c r="AJ8" i="62" s="1"/>
  <c r="BK42" i="34"/>
  <c r="BJ179" i="34"/>
  <c r="BK56" i="36"/>
  <c r="BK97" i="34" s="1"/>
  <c r="BJ163" i="34"/>
  <c r="BJ57" i="36"/>
  <c r="BJ98" i="34" s="1"/>
  <c r="BK72" i="36"/>
  <c r="BK113" i="34" s="1"/>
  <c r="BK163" i="34"/>
  <c r="BK178" i="34"/>
  <c r="BK10" i="34"/>
  <c r="BJ73" i="36"/>
  <c r="BJ114" i="34" s="1"/>
  <c r="BJ25" i="34"/>
  <c r="BH13" i="45" s="1"/>
  <c r="AJ14" i="62" s="1"/>
  <c r="BK162" i="34"/>
  <c r="BJ43" i="34"/>
  <c r="BH21" i="45" s="1"/>
  <c r="AJ21" i="62" s="1"/>
  <c r="BL56" i="36"/>
  <c r="BL97" i="34" s="1"/>
  <c r="BJ184" i="34"/>
  <c r="BJ16" i="34"/>
  <c r="BJ78" i="36"/>
  <c r="BJ119" i="34" s="1"/>
  <c r="BJ30" i="34"/>
  <c r="BJ62" i="36"/>
  <c r="BJ103" i="34" s="1"/>
  <c r="BJ168" i="34"/>
  <c r="BJ48" i="34"/>
  <c r="BI49" i="34"/>
  <c r="BG25" i="45" s="1"/>
  <c r="AI23" i="62" s="1"/>
  <c r="BI185" i="34"/>
  <c r="BI79" i="36"/>
  <c r="BI120" i="34" s="1"/>
  <c r="BI17" i="34"/>
  <c r="BG10" i="45" s="1"/>
  <c r="AI12" i="62" s="1"/>
  <c r="BI31" i="34"/>
  <c r="BG17" i="45" s="1"/>
  <c r="AI18" i="62" s="1"/>
  <c r="BI63" i="36"/>
  <c r="BI104" i="34" s="1"/>
  <c r="BI169" i="34"/>
  <c r="BK25" i="34"/>
  <c r="BI13" i="45" s="1"/>
  <c r="AK14" i="62" s="1"/>
  <c r="BK43" i="34"/>
  <c r="BK179" i="34"/>
  <c r="BK11" i="34"/>
  <c r="BK57" i="36"/>
  <c r="BK98" i="34" s="1"/>
  <c r="BI21" i="45" l="1"/>
  <c r="AK21" i="62" s="1"/>
  <c r="BK73" i="36"/>
  <c r="BK114" i="34" s="1"/>
  <c r="BL162" i="34"/>
  <c r="BL42" i="34"/>
  <c r="BL72" i="36"/>
  <c r="BL113" i="34" s="1"/>
  <c r="BL10" i="34"/>
  <c r="BI6" i="45"/>
  <c r="AK8" i="62" s="1"/>
  <c r="BL178" i="34"/>
  <c r="BL25" i="34"/>
  <c r="BM42" i="34"/>
  <c r="BL24" i="34"/>
  <c r="BK184" i="34"/>
  <c r="BK16" i="34"/>
  <c r="BK62" i="36"/>
  <c r="BK103" i="34" s="1"/>
  <c r="BK168" i="34"/>
  <c r="BK30" i="34"/>
  <c r="BK78" i="36"/>
  <c r="BK119" i="34" s="1"/>
  <c r="BK48" i="34"/>
  <c r="BJ185" i="34"/>
  <c r="BJ31" i="34"/>
  <c r="BH17" i="45" s="1"/>
  <c r="AJ18" i="62" s="1"/>
  <c r="BJ169" i="34"/>
  <c r="BJ49" i="34"/>
  <c r="BH25" i="45" s="1"/>
  <c r="AJ23" i="62" s="1"/>
  <c r="BJ79" i="36"/>
  <c r="BJ120" i="34" s="1"/>
  <c r="BJ17" i="34"/>
  <c r="BH10" i="45" s="1"/>
  <c r="AJ12" i="62" s="1"/>
  <c r="BJ63" i="36"/>
  <c r="BJ104" i="34" s="1"/>
  <c r="BL179" i="34" l="1"/>
  <c r="BM10" i="34"/>
  <c r="BL57" i="36"/>
  <c r="BL98" i="34" s="1"/>
  <c r="BL11" i="34"/>
  <c r="BJ6" i="45" s="1"/>
  <c r="AL8" i="62" s="1"/>
  <c r="BL163" i="34"/>
  <c r="BL73" i="36"/>
  <c r="BL114" i="34" s="1"/>
  <c r="BL43" i="34"/>
  <c r="BJ21" i="45" s="1"/>
  <c r="AL21" i="62" s="1"/>
  <c r="BM178" i="34"/>
  <c r="BM24" i="34"/>
  <c r="BM11" i="34"/>
  <c r="BK6" i="45" s="1"/>
  <c r="AM8" i="62" s="1"/>
  <c r="BJ13" i="45"/>
  <c r="AL14" i="62" s="1"/>
  <c r="BM56" i="36"/>
  <c r="BM97" i="34" s="1"/>
  <c r="BM72" i="36"/>
  <c r="BM113" i="34" s="1"/>
  <c r="BN56" i="36"/>
  <c r="BN97" i="34" s="1"/>
  <c r="BM162" i="34"/>
  <c r="BL184" i="34"/>
  <c r="BL62" i="36"/>
  <c r="BL103" i="34" s="1"/>
  <c r="BL48" i="34"/>
  <c r="BL30" i="34"/>
  <c r="BL78" i="36"/>
  <c r="BL119" i="34" s="1"/>
  <c r="BL168" i="34"/>
  <c r="BL16" i="34"/>
  <c r="BK31" i="34"/>
  <c r="BI17" i="45" s="1"/>
  <c r="AK18" i="62" s="1"/>
  <c r="BK49" i="34"/>
  <c r="BI25" i="45" s="1"/>
  <c r="AK23" i="62" s="1"/>
  <c r="BK185" i="34"/>
  <c r="BK169" i="34"/>
  <c r="BK17" i="34"/>
  <c r="BI10" i="45" s="1"/>
  <c r="AK12" i="62" s="1"/>
  <c r="BK79" i="36"/>
  <c r="BK120" i="34" s="1"/>
  <c r="BK63" i="36"/>
  <c r="BK104" i="34" s="1"/>
  <c r="BN162" i="34" l="1"/>
  <c r="BM163" i="34"/>
  <c r="BM43" i="34"/>
  <c r="BK21" i="45" s="1"/>
  <c r="AM21" i="62" s="1"/>
  <c r="BM73" i="36"/>
  <c r="BM114" i="34" s="1"/>
  <c r="BN42" i="34"/>
  <c r="BN24" i="34"/>
  <c r="BM57" i="36"/>
  <c r="BM98" i="34" s="1"/>
  <c r="BM179" i="34"/>
  <c r="BN57" i="36"/>
  <c r="BN98" i="34" s="1"/>
  <c r="BM25" i="34"/>
  <c r="BK13" i="45" s="1"/>
  <c r="AM14" i="62" s="1"/>
  <c r="BN72" i="36"/>
  <c r="BN113" i="34" s="1"/>
  <c r="BN178" i="34"/>
  <c r="BN10" i="34"/>
  <c r="BO72" i="36"/>
  <c r="BO113" i="34" s="1"/>
  <c r="BM184" i="34"/>
  <c r="BM30" i="34"/>
  <c r="BM78" i="36"/>
  <c r="BM119" i="34" s="1"/>
  <c r="BM62" i="36"/>
  <c r="BM103" i="34" s="1"/>
  <c r="BM48" i="34"/>
  <c r="BM168" i="34"/>
  <c r="BM16" i="34"/>
  <c r="BL17" i="34"/>
  <c r="BJ10" i="45" s="1"/>
  <c r="AL12" i="62" s="1"/>
  <c r="BL79" i="36"/>
  <c r="BL120" i="34" s="1"/>
  <c r="BL49" i="34"/>
  <c r="BJ25" i="45" s="1"/>
  <c r="AL23" i="62" s="1"/>
  <c r="BL63" i="36"/>
  <c r="BL104" i="34" s="1"/>
  <c r="BL169" i="34"/>
  <c r="BL31" i="34"/>
  <c r="BJ17" i="45" s="1"/>
  <c r="AL18" i="62" s="1"/>
  <c r="BL185" i="34"/>
  <c r="BN25" i="34"/>
  <c r="BN73" i="36"/>
  <c r="BN114" i="34" s="1"/>
  <c r="BN163" i="34" l="1"/>
  <c r="BL13" i="45"/>
  <c r="AN14" i="62" s="1"/>
  <c r="BN11" i="34"/>
  <c r="BL6" i="45" s="1"/>
  <c r="AN8" i="62" s="1"/>
  <c r="BN179" i="34"/>
  <c r="BN43" i="34"/>
  <c r="BL21" i="45" s="1"/>
  <c r="AN21" i="62" s="1"/>
  <c r="BO56" i="36"/>
  <c r="BO97" i="34" s="1"/>
  <c r="BO162" i="34"/>
  <c r="BO24" i="34"/>
  <c r="BO178" i="34"/>
  <c r="BO42" i="34"/>
  <c r="BO10" i="34"/>
  <c r="BM31" i="34"/>
  <c r="BK17" i="45" s="1"/>
  <c r="AM18" i="62" s="1"/>
  <c r="BM169" i="34"/>
  <c r="BM79" i="36"/>
  <c r="BM120" i="34" s="1"/>
  <c r="BM49" i="34"/>
  <c r="BK25" i="45" s="1"/>
  <c r="AM23" i="62" s="1"/>
  <c r="BM185" i="34"/>
  <c r="BM17" i="34"/>
  <c r="BK10" i="45" s="1"/>
  <c r="AM12" i="62" s="1"/>
  <c r="BM63" i="36"/>
  <c r="BM104" i="34" s="1"/>
  <c r="BN62" i="36"/>
  <c r="BN103" i="34" s="1"/>
  <c r="BN48" i="34"/>
  <c r="BN184" i="34"/>
  <c r="BN78" i="36"/>
  <c r="BN119" i="34" s="1"/>
  <c r="BN168" i="34"/>
  <c r="BN16" i="34"/>
  <c r="BN30" i="34"/>
  <c r="BO163" i="34"/>
  <c r="BO73" i="36"/>
  <c r="BO114" i="34" s="1"/>
  <c r="BO43" i="34"/>
  <c r="BO11" i="34"/>
  <c r="BO57" i="36"/>
  <c r="BO98" i="34" s="1"/>
  <c r="BO25" i="34"/>
  <c r="BO179" i="34"/>
  <c r="BP56" i="36"/>
  <c r="BP97" i="34" s="1"/>
  <c r="BP24" i="34"/>
  <c r="BP42" i="34"/>
  <c r="BP72" i="36"/>
  <c r="BP113" i="34" s="1"/>
  <c r="BP178" i="34"/>
  <c r="BP10" i="34"/>
  <c r="BP162" i="34"/>
  <c r="BM13" i="45" l="1"/>
  <c r="AO14" i="62" s="1"/>
  <c r="BP168" i="34"/>
  <c r="BP30" i="34"/>
  <c r="BP78" i="36"/>
  <c r="BP119" i="34" s="1"/>
  <c r="BM6" i="45"/>
  <c r="AO8" i="62" s="1"/>
  <c r="BM21" i="45"/>
  <c r="AO21" i="62" s="1"/>
  <c r="BP48" i="34"/>
  <c r="BP184" i="34"/>
  <c r="BP16" i="34"/>
  <c r="BP62" i="36"/>
  <c r="BP103" i="34" s="1"/>
  <c r="BO168" i="34"/>
  <c r="BO16" i="34"/>
  <c r="BO184" i="34"/>
  <c r="BO48" i="34"/>
  <c r="BO62" i="36"/>
  <c r="BO103" i="34" s="1"/>
  <c r="BO30" i="34"/>
  <c r="BO78" i="36"/>
  <c r="BO119" i="34" s="1"/>
  <c r="BN185" i="34"/>
  <c r="BN63" i="36"/>
  <c r="BN104" i="34" s="1"/>
  <c r="BN31" i="34"/>
  <c r="BL17" i="45" s="1"/>
  <c r="AN18" i="62" s="1"/>
  <c r="BN79" i="36"/>
  <c r="BN120" i="34" s="1"/>
  <c r="BN17" i="34"/>
  <c r="BL10" i="45" s="1"/>
  <c r="AN12" i="62" s="1"/>
  <c r="BN49" i="34"/>
  <c r="BL25" i="45" s="1"/>
  <c r="AN23" i="62" s="1"/>
  <c r="BN169" i="34"/>
  <c r="BP43" i="34"/>
  <c r="BN21" i="45" s="1"/>
  <c r="AP21" i="62" s="1"/>
  <c r="BP179" i="34"/>
  <c r="BP11" i="34"/>
  <c r="BN6" i="45" s="1"/>
  <c r="AP8" i="62" s="1"/>
  <c r="BP57" i="36"/>
  <c r="BP98" i="34" s="1"/>
  <c r="BP163" i="34"/>
  <c r="BP25" i="34"/>
  <c r="BN13" i="45" s="1"/>
  <c r="AP14" i="62" s="1"/>
  <c r="BP73" i="36"/>
  <c r="BP114" i="34" s="1"/>
  <c r="BP185" i="34"/>
  <c r="BP31" i="34"/>
  <c r="BP49" i="34"/>
  <c r="BP169" i="34"/>
  <c r="BP17" i="34"/>
  <c r="BP79" i="36"/>
  <c r="BP120" i="34" s="1"/>
  <c r="BP63" i="36"/>
  <c r="BP104" i="34" s="1"/>
  <c r="BN17" i="45" l="1"/>
  <c r="AP18" i="62" s="1"/>
  <c r="BN10" i="45"/>
  <c r="AP12" i="62" s="1"/>
  <c r="BN25" i="45"/>
  <c r="AP23" i="62" s="1"/>
  <c r="BO169" i="34"/>
  <c r="BO63" i="36"/>
  <c r="BO104" i="34" s="1"/>
  <c r="BO185" i="34"/>
  <c r="BO31" i="34"/>
  <c r="BM17" i="45" s="1"/>
  <c r="AO18" i="62" s="1"/>
  <c r="BO79" i="36"/>
  <c r="BO120" i="34" s="1"/>
  <c r="BO49" i="34"/>
  <c r="BM25" i="45" s="1"/>
  <c r="AO23" i="62" s="1"/>
  <c r="BO17" i="34"/>
  <c r="BM10" i="45" s="1"/>
  <c r="AO12" i="62" s="1"/>
  <c r="T18" i="55" l="1"/>
  <c r="BA18" i="55" l="1"/>
  <c r="AC18" i="55"/>
  <c r="Y18" i="55"/>
  <c r="AJ18" i="55"/>
  <c r="AA18" i="55"/>
  <c r="U18" i="55"/>
  <c r="AE18" i="55"/>
  <c r="AP18" i="55"/>
  <c r="AB18" i="55"/>
  <c r="AL18" i="55" l="1"/>
  <c r="AK18" i="55"/>
  <c r="AF18" i="55"/>
  <c r="AG18" i="55"/>
  <c r="AY18" i="55"/>
  <c r="AD18" i="55"/>
  <c r="AM18" i="55"/>
  <c r="AH18" i="55"/>
  <c r="W18" i="55"/>
  <c r="AV18" i="55"/>
  <c r="AN18" i="55"/>
  <c r="AT18" i="55"/>
  <c r="AU18" i="55"/>
  <c r="V18" i="55"/>
  <c r="AQ18" i="55"/>
  <c r="AI18" i="55"/>
  <c r="Z18" i="55"/>
  <c r="AO69" i="36"/>
  <c r="AX18" i="55"/>
  <c r="AR18" i="55"/>
  <c r="AZ18" i="55"/>
  <c r="AW18" i="55"/>
  <c r="X18" i="55"/>
  <c r="AS18" i="55"/>
  <c r="AO18" i="55"/>
  <c r="AJ7" i="34"/>
  <c r="AH5" i="45" s="1"/>
  <c r="AJ175" i="34"/>
  <c r="AH54" i="45" s="1"/>
  <c r="AJ159" i="34"/>
  <c r="AH53" i="45" s="1"/>
  <c r="AJ21" i="34"/>
  <c r="AH12" i="45" s="1"/>
  <c r="AJ69" i="36"/>
  <c r="AJ53" i="36"/>
  <c r="AJ39" i="34"/>
  <c r="AH20" i="45" s="1"/>
  <c r="AP175" i="34"/>
  <c r="AN54" i="45" s="1"/>
  <c r="AP39" i="34"/>
  <c r="AN20" i="45" s="1"/>
  <c r="AP159" i="34"/>
  <c r="AN53" i="45" s="1"/>
  <c r="AP53" i="36"/>
  <c r="AP7" i="34"/>
  <c r="AN5" i="45" s="1"/>
  <c r="AP69" i="36"/>
  <c r="AP21" i="34"/>
  <c r="AN12" i="45" s="1"/>
  <c r="AS39" i="34"/>
  <c r="AQ20" i="45" s="1"/>
  <c r="AS159" i="34"/>
  <c r="AQ53" i="45" s="1"/>
  <c r="AS21" i="34"/>
  <c r="AQ12" i="45" s="1"/>
  <c r="AS53" i="36"/>
  <c r="AS69" i="36"/>
  <c r="AS175" i="34"/>
  <c r="AQ54" i="45" s="1"/>
  <c r="AS7" i="34"/>
  <c r="AQ5" i="45" s="1"/>
  <c r="AN175" i="34"/>
  <c r="AL54" i="45" s="1"/>
  <c r="AN21" i="34"/>
  <c r="AL12" i="45" s="1"/>
  <c r="AN7" i="34"/>
  <c r="AL5" i="45" s="1"/>
  <c r="AN53" i="36"/>
  <c r="AN159" i="34"/>
  <c r="AL53" i="45" s="1"/>
  <c r="AN39" i="34"/>
  <c r="AL20" i="45" s="1"/>
  <c r="AN69" i="36"/>
  <c r="AQ7" i="34"/>
  <c r="AO5" i="45" s="1"/>
  <c r="AQ69" i="36"/>
  <c r="AQ175" i="34"/>
  <c r="AO54" i="45" s="1"/>
  <c r="AQ53" i="36"/>
  <c r="AQ159" i="34"/>
  <c r="AO53" i="45" s="1"/>
  <c r="AQ21" i="34"/>
  <c r="AO12" i="45" s="1"/>
  <c r="AQ39" i="34"/>
  <c r="AO20" i="45" s="1"/>
  <c r="AK21" i="34"/>
  <c r="AI12" i="45" s="1"/>
  <c r="AK175" i="34"/>
  <c r="AI54" i="45" s="1"/>
  <c r="AK53" i="36"/>
  <c r="AK39" i="34"/>
  <c r="AI20" i="45" s="1"/>
  <c r="AK7" i="34"/>
  <c r="AI5" i="45" s="1"/>
  <c r="AK69" i="36"/>
  <c r="AK159" i="34"/>
  <c r="AI53" i="45" s="1"/>
  <c r="AU175" i="34"/>
  <c r="AS54" i="45" s="1"/>
  <c r="AU69" i="36"/>
  <c r="AU21" i="34"/>
  <c r="AS12" i="45" s="1"/>
  <c r="AU159" i="34"/>
  <c r="AS53" i="45" s="1"/>
  <c r="AU39" i="34"/>
  <c r="AS20" i="45" s="1"/>
  <c r="AU7" i="34"/>
  <c r="AS5" i="45" s="1"/>
  <c r="AU53" i="36"/>
  <c r="AM175" i="34"/>
  <c r="AK54" i="45" s="1"/>
  <c r="AM21" i="34"/>
  <c r="AK12" i="45" s="1"/>
  <c r="AM69" i="36"/>
  <c r="AM7" i="34"/>
  <c r="AK5" i="45" s="1"/>
  <c r="AM39" i="34"/>
  <c r="AK20" i="45" s="1"/>
  <c r="AM159" i="34"/>
  <c r="AK53" i="45" s="1"/>
  <c r="AM53" i="36"/>
  <c r="AR175" i="34"/>
  <c r="AP54" i="45" s="1"/>
  <c r="AR69" i="36"/>
  <c r="AR21" i="34"/>
  <c r="AP12" i="45" s="1"/>
  <c r="AR39" i="34"/>
  <c r="AP20" i="45" s="1"/>
  <c r="AR7" i="34"/>
  <c r="AP5" i="45" s="1"/>
  <c r="AR159" i="34"/>
  <c r="AP53" i="45" s="1"/>
  <c r="AR53" i="36"/>
  <c r="AV69" i="36"/>
  <c r="AV175" i="34"/>
  <c r="AT54" i="45" s="1"/>
  <c r="AV39" i="34"/>
  <c r="AT20" i="45" s="1"/>
  <c r="AV21" i="34"/>
  <c r="AT12" i="45" s="1"/>
  <c r="AV7" i="34"/>
  <c r="AT5" i="45" s="1"/>
  <c r="AV159" i="34"/>
  <c r="AT53" i="45" s="1"/>
  <c r="AV53" i="36"/>
  <c r="AL69" i="36"/>
  <c r="AL175" i="34"/>
  <c r="AJ54" i="45" s="1"/>
  <c r="AL21" i="34"/>
  <c r="AJ12" i="45" s="1"/>
  <c r="AL53" i="36"/>
  <c r="AL159" i="34"/>
  <c r="AJ53" i="45" s="1"/>
  <c r="AL7" i="34"/>
  <c r="AJ5" i="45" s="1"/>
  <c r="AL39" i="34"/>
  <c r="AJ20" i="45" s="1"/>
  <c r="AT7" i="34"/>
  <c r="AR5" i="45" s="1"/>
  <c r="AT175" i="34"/>
  <c r="AR54" i="45" s="1"/>
  <c r="AT159" i="34"/>
  <c r="AR53" i="45" s="1"/>
  <c r="AT69" i="36"/>
  <c r="AT53" i="36"/>
  <c r="AT21" i="34"/>
  <c r="AR12" i="45" s="1"/>
  <c r="AT39" i="34"/>
  <c r="AR20" i="45" s="1"/>
  <c r="AR11" i="45" l="1"/>
  <c r="AR59" i="45" s="1"/>
  <c r="T13" i="62"/>
  <c r="AJ19" i="45"/>
  <c r="AJ60" i="45" s="1"/>
  <c r="L20" i="62"/>
  <c r="AJ11" i="45"/>
  <c r="AJ59" i="45" s="1"/>
  <c r="L13" i="62"/>
  <c r="AP4" i="45"/>
  <c r="AP58" i="45" s="1"/>
  <c r="R7" i="62"/>
  <c r="AK4" i="45"/>
  <c r="AK58" i="45" s="1"/>
  <c r="M7" i="62"/>
  <c r="AS11" i="45"/>
  <c r="AS59" i="45" s="1"/>
  <c r="U13" i="62"/>
  <c r="AO4" i="45"/>
  <c r="AO58" i="45" s="1"/>
  <c r="Q7" i="62"/>
  <c r="AQ4" i="45"/>
  <c r="AQ58" i="45" s="1"/>
  <c r="S7" i="62"/>
  <c r="AQ11" i="45"/>
  <c r="AQ59" i="45" s="1"/>
  <c r="S13" i="62"/>
  <c r="AN19" i="45"/>
  <c r="AN60" i="45" s="1"/>
  <c r="P20" i="62"/>
  <c r="AH4" i="45"/>
  <c r="AH58" i="45" s="1"/>
  <c r="J7" i="62"/>
  <c r="AR19" i="45"/>
  <c r="AR60" i="45" s="1"/>
  <c r="T20" i="62"/>
  <c r="AJ4" i="45"/>
  <c r="AJ58" i="45" s="1"/>
  <c r="L7" i="62"/>
  <c r="AT4" i="45"/>
  <c r="AT58" i="45" s="1"/>
  <c r="V7" i="62"/>
  <c r="AP19" i="45"/>
  <c r="AP60" i="45" s="1"/>
  <c r="R20" i="62"/>
  <c r="AS4" i="45"/>
  <c r="AS58" i="45" s="1"/>
  <c r="U7" i="62"/>
  <c r="AI4" i="45"/>
  <c r="AI58" i="45" s="1"/>
  <c r="K7" i="62"/>
  <c r="AI11" i="45"/>
  <c r="AI59" i="45" s="1"/>
  <c r="K13" i="62"/>
  <c r="AL4" i="45"/>
  <c r="AL58" i="45" s="1"/>
  <c r="N7" i="62"/>
  <c r="AN4" i="45"/>
  <c r="AN58" i="45" s="1"/>
  <c r="P7" i="62"/>
  <c r="AH11" i="45"/>
  <c r="AH59" i="45" s="1"/>
  <c r="J13" i="62"/>
  <c r="AT11" i="45"/>
  <c r="AT59" i="45" s="1"/>
  <c r="V13" i="62"/>
  <c r="AP11" i="45"/>
  <c r="AP59" i="45" s="1"/>
  <c r="R13" i="62"/>
  <c r="AK11" i="45"/>
  <c r="AK59" i="45" s="1"/>
  <c r="M13" i="62"/>
  <c r="AS19" i="45"/>
  <c r="AS60" i="45" s="1"/>
  <c r="U20" i="62"/>
  <c r="AI19" i="45"/>
  <c r="AI60" i="45" s="1"/>
  <c r="K20" i="62"/>
  <c r="AO19" i="45"/>
  <c r="AO60" i="45" s="1"/>
  <c r="Q20" i="62"/>
  <c r="AL19" i="45"/>
  <c r="AL60" i="45" s="1"/>
  <c r="N20" i="62"/>
  <c r="AL11" i="45"/>
  <c r="AL59" i="45" s="1"/>
  <c r="N13" i="62"/>
  <c r="AQ19" i="45"/>
  <c r="AQ60" i="45" s="1"/>
  <c r="S20" i="62"/>
  <c r="AH19" i="45"/>
  <c r="AH60" i="45" s="1"/>
  <c r="J20" i="62"/>
  <c r="AR4" i="45"/>
  <c r="AR58" i="45" s="1"/>
  <c r="T7" i="62"/>
  <c r="AT19" i="45"/>
  <c r="AT60" i="45" s="1"/>
  <c r="V20" i="62"/>
  <c r="AK19" i="45"/>
  <c r="AK60" i="45" s="1"/>
  <c r="M20" i="62"/>
  <c r="AO11" i="45"/>
  <c r="AO59" i="45" s="1"/>
  <c r="Q13" i="62"/>
  <c r="AN11" i="45"/>
  <c r="AN59" i="45" s="1"/>
  <c r="P13" i="62"/>
  <c r="AO39" i="34"/>
  <c r="AM20" i="45" s="1"/>
  <c r="AO175" i="34"/>
  <c r="AM54" i="45" s="1"/>
  <c r="AO7" i="34"/>
  <c r="AM5" i="45" s="1"/>
  <c r="AO21" i="34"/>
  <c r="AM12" i="45" s="1"/>
  <c r="AO159" i="34"/>
  <c r="AM53" i="45" s="1"/>
  <c r="AO53" i="36"/>
  <c r="AO141" i="34" s="1"/>
  <c r="AT52" i="45"/>
  <c r="AI52" i="45"/>
  <c r="AN52" i="45"/>
  <c r="AH52" i="45"/>
  <c r="AS52" i="45"/>
  <c r="AO52" i="45"/>
  <c r="AP52" i="45"/>
  <c r="AK52" i="45"/>
  <c r="AL94" i="34"/>
  <c r="AL141" i="34"/>
  <c r="AL137" i="34"/>
  <c r="AK110" i="34"/>
  <c r="AI47" i="45" s="1"/>
  <c r="AK138" i="34"/>
  <c r="AK142" i="34"/>
  <c r="AK94" i="34"/>
  <c r="AK141" i="34"/>
  <c r="AK137" i="34"/>
  <c r="AQ52" i="45"/>
  <c r="AP138" i="34"/>
  <c r="AP142" i="34"/>
  <c r="AP110" i="34"/>
  <c r="AN47" i="45" s="1"/>
  <c r="AJ137" i="34"/>
  <c r="AJ141" i="34"/>
  <c r="AJ94" i="34"/>
  <c r="AT142" i="34"/>
  <c r="AT138" i="34"/>
  <c r="AT110" i="34"/>
  <c r="AR47" i="45" s="1"/>
  <c r="AV110" i="34"/>
  <c r="AT47" i="45" s="1"/>
  <c r="AV138" i="34"/>
  <c r="AV142" i="34"/>
  <c r="AR52" i="45"/>
  <c r="AV141" i="34"/>
  <c r="AV94" i="34"/>
  <c r="AV137" i="34"/>
  <c r="AR141" i="34"/>
  <c r="AR137" i="34"/>
  <c r="AR94" i="34"/>
  <c r="AM141" i="34"/>
  <c r="AM137" i="34"/>
  <c r="AM94" i="34"/>
  <c r="AM142" i="34"/>
  <c r="AM138" i="34"/>
  <c r="AM110" i="34"/>
  <c r="AK47" i="45" s="1"/>
  <c r="AU141" i="34"/>
  <c r="AU137" i="34"/>
  <c r="AU94" i="34"/>
  <c r="AQ138" i="34"/>
  <c r="AQ142" i="34"/>
  <c r="AQ110" i="34"/>
  <c r="AO47" i="45" s="1"/>
  <c r="AL52" i="45"/>
  <c r="AS138" i="34"/>
  <c r="AS142" i="34"/>
  <c r="AS110" i="34"/>
  <c r="AQ47" i="45" s="1"/>
  <c r="AJ138" i="34"/>
  <c r="AJ110" i="34"/>
  <c r="AH47" i="45" s="1"/>
  <c r="AJ142" i="34"/>
  <c r="AO142" i="34"/>
  <c r="AO138" i="34"/>
  <c r="AO110" i="34"/>
  <c r="AM47" i="45" s="1"/>
  <c r="AU110" i="34"/>
  <c r="AS47" i="45" s="1"/>
  <c r="AU138" i="34"/>
  <c r="AU142" i="34"/>
  <c r="AQ137" i="34"/>
  <c r="AQ141" i="34"/>
  <c r="AQ94" i="34"/>
  <c r="AN94" i="34"/>
  <c r="AN141" i="34"/>
  <c r="AN137" i="34"/>
  <c r="AS141" i="34"/>
  <c r="AS137" i="34"/>
  <c r="AS94" i="34"/>
  <c r="AP141" i="34"/>
  <c r="AP137" i="34"/>
  <c r="AP94" i="34"/>
  <c r="AT141" i="34"/>
  <c r="AT94" i="34"/>
  <c r="AT137" i="34"/>
  <c r="AJ52" i="45"/>
  <c r="AL142" i="34"/>
  <c r="AL138" i="34"/>
  <c r="AL110" i="34"/>
  <c r="AJ47" i="45" s="1"/>
  <c r="AR110" i="34"/>
  <c r="AP47" i="45" s="1"/>
  <c r="AR138" i="34"/>
  <c r="AR142" i="34"/>
  <c r="AN142" i="34"/>
  <c r="AN138" i="34"/>
  <c r="AN110" i="34"/>
  <c r="AL47" i="45" s="1"/>
  <c r="AR71" i="45" l="1"/>
  <c r="AJ71" i="45"/>
  <c r="AS71" i="45"/>
  <c r="AI71" i="45"/>
  <c r="AH71" i="45"/>
  <c r="AN71" i="45"/>
  <c r="AT71" i="45"/>
  <c r="AQ71" i="45"/>
  <c r="AP71" i="45"/>
  <c r="AL71" i="45"/>
  <c r="AO71" i="45"/>
  <c r="AK71" i="45"/>
  <c r="AJ67" i="45"/>
  <c r="L41" i="62"/>
  <c r="AL67" i="45"/>
  <c r="N41" i="62"/>
  <c r="AQ67" i="45"/>
  <c r="S41" i="62"/>
  <c r="AO67" i="45"/>
  <c r="Q41" i="62"/>
  <c r="AI67" i="45"/>
  <c r="K41" i="62"/>
  <c r="AM11" i="45"/>
  <c r="AM59" i="45" s="1"/>
  <c r="O13" i="62"/>
  <c r="AS67" i="45"/>
  <c r="U41" i="62"/>
  <c r="AT67" i="45"/>
  <c r="V41" i="62"/>
  <c r="AM4" i="45"/>
  <c r="AM58" i="45" s="1"/>
  <c r="O7" i="62"/>
  <c r="AK67" i="45"/>
  <c r="M41" i="62"/>
  <c r="AH67" i="45"/>
  <c r="J41" i="62"/>
  <c r="AR67" i="45"/>
  <c r="T41" i="62"/>
  <c r="AP67" i="45"/>
  <c r="R41" i="62"/>
  <c r="AN67" i="45"/>
  <c r="P41" i="62"/>
  <c r="AM19" i="45"/>
  <c r="AM60" i="45" s="1"/>
  <c r="O20" i="62"/>
  <c r="AO137" i="34"/>
  <c r="AO94" i="34"/>
  <c r="AM52" i="45"/>
  <c r="AK47" i="57"/>
  <c r="AK48" i="57"/>
  <c r="AK49" i="57"/>
  <c r="AM71" i="45" l="1"/>
  <c r="AM67" i="45"/>
  <c r="O41" i="62"/>
  <c r="AD47" i="36"/>
  <c r="AE47" i="36"/>
  <c r="AI47" i="36"/>
  <c r="AF47" i="36"/>
  <c r="AL47" i="36"/>
  <c r="AK47" i="36"/>
  <c r="AG47" i="36"/>
  <c r="AJ47" i="36"/>
  <c r="AM47" i="36"/>
  <c r="AH47" i="36"/>
  <c r="BA47" i="36"/>
  <c r="BA135" i="34" s="1"/>
  <c r="BN47" i="36"/>
  <c r="BK47" i="36"/>
  <c r="AN47" i="36"/>
  <c r="BI47" i="36"/>
  <c r="AX47" i="36"/>
  <c r="BB47" i="36"/>
  <c r="AS47" i="36"/>
  <c r="AO47" i="36"/>
  <c r="AV47" i="36"/>
  <c r="AW47" i="36"/>
  <c r="AT47" i="36"/>
  <c r="BC47" i="36"/>
  <c r="AP47" i="36"/>
  <c r="BP47" i="36"/>
  <c r="BF47" i="36"/>
  <c r="BE47" i="36"/>
  <c r="BM47" i="36"/>
  <c r="BG47" i="36"/>
  <c r="BD47" i="36"/>
  <c r="AZ47" i="36"/>
  <c r="AY47" i="36"/>
  <c r="BL47" i="36"/>
  <c r="BO47" i="36"/>
  <c r="AR47" i="36"/>
  <c r="BJ47" i="36"/>
  <c r="AU47" i="36"/>
  <c r="AJ48" i="57"/>
  <c r="AJ47" i="57"/>
  <c r="BH47" i="36"/>
  <c r="AQ47" i="36"/>
  <c r="BA48" i="36" l="1"/>
  <c r="BA89" i="34" s="1"/>
  <c r="BA88" i="34"/>
  <c r="AY44" i="45" s="1"/>
  <c r="BA139" i="34"/>
  <c r="AH46" i="36"/>
  <c r="AH87" i="34" s="1"/>
  <c r="AF42" i="45" s="1"/>
  <c r="AG46" i="36"/>
  <c r="AG87" i="34" s="1"/>
  <c r="AE42" i="45" s="1"/>
  <c r="AI46" i="36"/>
  <c r="AI87" i="34" s="1"/>
  <c r="AG42" i="45" s="1"/>
  <c r="AD46" i="36"/>
  <c r="AD87" i="34" s="1"/>
  <c r="AB42" i="45" s="1"/>
  <c r="AE46" i="36"/>
  <c r="AE87" i="34" s="1"/>
  <c r="AC42" i="45" s="1"/>
  <c r="AF46" i="36"/>
  <c r="AF87" i="34" s="1"/>
  <c r="AD42" i="45" s="1"/>
  <c r="AI48" i="36"/>
  <c r="AI88" i="34"/>
  <c r="AG44" i="45" s="1"/>
  <c r="AI139" i="34"/>
  <c r="AI135" i="34"/>
  <c r="AD48" i="36"/>
  <c r="AD135" i="34"/>
  <c r="AD88" i="34"/>
  <c r="AB44" i="45" s="1"/>
  <c r="AD139" i="34"/>
  <c r="AE48" i="36"/>
  <c r="AE139" i="34"/>
  <c r="AE135" i="34"/>
  <c r="AE88" i="34"/>
  <c r="AC44" i="45" s="1"/>
  <c r="AF48" i="36"/>
  <c r="AF88" i="34"/>
  <c r="AD44" i="45" s="1"/>
  <c r="AF135" i="34"/>
  <c r="AF139" i="34"/>
  <c r="AG48" i="36"/>
  <c r="AG135" i="34"/>
  <c r="AG139" i="34"/>
  <c r="AG88" i="34"/>
  <c r="AE44" i="45" s="1"/>
  <c r="AF86" i="34"/>
  <c r="AD41" i="45" s="1"/>
  <c r="AE86" i="34"/>
  <c r="AC41" i="45" s="1"/>
  <c r="AD86" i="34"/>
  <c r="AB41" i="45" s="1"/>
  <c r="AI86" i="34"/>
  <c r="AG41" i="45" s="1"/>
  <c r="AH86" i="34"/>
  <c r="AF41" i="45" s="1"/>
  <c r="AG86" i="34"/>
  <c r="AE41" i="45" s="1"/>
  <c r="AH48" i="36"/>
  <c r="AH135" i="34"/>
  <c r="AH88" i="34"/>
  <c r="AF44" i="45" s="1"/>
  <c r="AH139" i="34"/>
  <c r="AQ88" i="34"/>
  <c r="AO44" i="45" s="1"/>
  <c r="AQ139" i="34"/>
  <c r="AQ48" i="36"/>
  <c r="AQ135" i="34"/>
  <c r="AU139" i="34"/>
  <c r="AU135" i="34"/>
  <c r="AU88" i="34"/>
  <c r="AS44" i="45" s="1"/>
  <c r="AU48" i="36"/>
  <c r="BL88" i="34"/>
  <c r="BJ44" i="45" s="1"/>
  <c r="BL48" i="36"/>
  <c r="BL139" i="34"/>
  <c r="BL135" i="34"/>
  <c r="BG139" i="34"/>
  <c r="BG88" i="34"/>
  <c r="BE44" i="45" s="1"/>
  <c r="BG48" i="36"/>
  <c r="BG135" i="34"/>
  <c r="BF135" i="34"/>
  <c r="BF88" i="34"/>
  <c r="BD44" i="45" s="1"/>
  <c r="BF139" i="34"/>
  <c r="BF48" i="36"/>
  <c r="AT48" i="36"/>
  <c r="AT139" i="34"/>
  <c r="AT88" i="34"/>
  <c r="AR44" i="45" s="1"/>
  <c r="AT135" i="34"/>
  <c r="AO88" i="34"/>
  <c r="AM44" i="45" s="1"/>
  <c r="AO48" i="36"/>
  <c r="AO139" i="34"/>
  <c r="AO135" i="34"/>
  <c r="BB88" i="34"/>
  <c r="AZ44" i="45" s="1"/>
  <c r="BB48" i="36"/>
  <c r="BB139" i="34"/>
  <c r="BB135" i="34"/>
  <c r="BK48" i="36"/>
  <c r="BK139" i="34"/>
  <c r="BK88" i="34"/>
  <c r="BI44" i="45" s="1"/>
  <c r="BK135" i="34"/>
  <c r="BH48" i="36"/>
  <c r="BH88" i="34"/>
  <c r="BF44" i="45" s="1"/>
  <c r="BH135" i="34"/>
  <c r="BH139" i="34"/>
  <c r="BJ48" i="36"/>
  <c r="BJ139" i="34"/>
  <c r="BJ135" i="34"/>
  <c r="BJ88" i="34"/>
  <c r="BH44" i="45" s="1"/>
  <c r="AY139" i="34"/>
  <c r="AY135" i="34"/>
  <c r="AY88" i="34"/>
  <c r="AW44" i="45" s="1"/>
  <c r="AY48" i="36"/>
  <c r="BM139" i="34"/>
  <c r="BM48" i="36"/>
  <c r="BM88" i="34"/>
  <c r="BK44" i="45" s="1"/>
  <c r="BM135" i="34"/>
  <c r="BP48" i="36"/>
  <c r="BP135" i="34"/>
  <c r="BP139" i="34"/>
  <c r="BP88" i="34"/>
  <c r="BN44" i="45" s="1"/>
  <c r="AL48" i="36"/>
  <c r="AL88" i="34"/>
  <c r="AJ44" i="45" s="1"/>
  <c r="AL139" i="34"/>
  <c r="AL135" i="34"/>
  <c r="AS88" i="34"/>
  <c r="AQ44" i="45" s="1"/>
  <c r="AS139" i="34"/>
  <c r="AS48" i="36"/>
  <c r="AS135" i="34"/>
  <c r="AX139" i="34"/>
  <c r="AX48" i="36"/>
  <c r="AX135" i="34"/>
  <c r="AX88" i="34"/>
  <c r="AV44" i="45" s="1"/>
  <c r="BN48" i="36"/>
  <c r="BN135" i="34"/>
  <c r="BN139" i="34"/>
  <c r="BN88" i="34"/>
  <c r="BL44" i="45" s="1"/>
  <c r="AJ86" i="34"/>
  <c r="AH41" i="45" s="1"/>
  <c r="AP86" i="34"/>
  <c r="AN41" i="45" s="1"/>
  <c r="AU86" i="34"/>
  <c r="AS41" i="45" s="1"/>
  <c r="BD86" i="34"/>
  <c r="BB41" i="45" s="1"/>
  <c r="AO86" i="34"/>
  <c r="AM41" i="45" s="1"/>
  <c r="AM86" i="34"/>
  <c r="AK41" i="45" s="1"/>
  <c r="AT86" i="34"/>
  <c r="AR41" i="45" s="1"/>
  <c r="AV86" i="34"/>
  <c r="AT41" i="45" s="1"/>
  <c r="AL86" i="34"/>
  <c r="AJ41" i="45" s="1"/>
  <c r="AS86" i="34"/>
  <c r="AQ41" i="45" s="1"/>
  <c r="AW86" i="34"/>
  <c r="AU41" i="45" s="1"/>
  <c r="AY86" i="34"/>
  <c r="AW41" i="45" s="1"/>
  <c r="BC86" i="34"/>
  <c r="BA41" i="45" s="1"/>
  <c r="AQ86" i="34"/>
  <c r="AO41" i="45" s="1"/>
  <c r="BN86" i="34"/>
  <c r="BL41" i="45" s="1"/>
  <c r="AR86" i="34"/>
  <c r="AP41" i="45" s="1"/>
  <c r="BB86" i="34"/>
  <c r="AZ41" i="45" s="1"/>
  <c r="AZ86" i="34"/>
  <c r="AX41" i="45" s="1"/>
  <c r="BF86" i="34"/>
  <c r="BD41" i="45" s="1"/>
  <c r="BK86" i="34"/>
  <c r="BI41" i="45" s="1"/>
  <c r="AN86" i="34"/>
  <c r="AL41" i="45" s="1"/>
  <c r="BE86" i="34"/>
  <c r="BC41" i="45" s="1"/>
  <c r="BL86" i="34"/>
  <c r="BJ41" i="45" s="1"/>
  <c r="BM86" i="34"/>
  <c r="BK41" i="45" s="1"/>
  <c r="BP86" i="34"/>
  <c r="BN41" i="45" s="1"/>
  <c r="BG86" i="34"/>
  <c r="BE41" i="45" s="1"/>
  <c r="BI86" i="34"/>
  <c r="BG41" i="45" s="1"/>
  <c r="BA86" i="34"/>
  <c r="AY41" i="45" s="1"/>
  <c r="BJ86" i="34"/>
  <c r="BH41" i="45" s="1"/>
  <c r="AK86" i="34"/>
  <c r="AI41" i="45" s="1"/>
  <c r="AX86" i="34"/>
  <c r="AV41" i="45" s="1"/>
  <c r="BO86" i="34"/>
  <c r="BM41" i="45" s="1"/>
  <c r="BH86" i="34"/>
  <c r="BF41" i="45" s="1"/>
  <c r="AR139" i="34"/>
  <c r="AR48" i="36"/>
  <c r="AR135" i="34"/>
  <c r="AR88" i="34"/>
  <c r="AP44" i="45" s="1"/>
  <c r="AZ139" i="34"/>
  <c r="AZ48" i="36"/>
  <c r="AZ135" i="34"/>
  <c r="AZ88" i="34"/>
  <c r="AX44" i="45" s="1"/>
  <c r="AJ139" i="34"/>
  <c r="AJ135" i="34"/>
  <c r="AJ48" i="36"/>
  <c r="AJ88" i="34"/>
  <c r="AH44" i="45" s="1"/>
  <c r="AP48" i="36"/>
  <c r="AP139" i="34"/>
  <c r="AP135" i="34"/>
  <c r="AP88" i="34"/>
  <c r="AN44" i="45" s="1"/>
  <c r="AW135" i="34"/>
  <c r="AW48" i="36"/>
  <c r="AW88" i="34"/>
  <c r="AU44" i="45" s="1"/>
  <c r="AW139" i="34"/>
  <c r="AK88" i="34"/>
  <c r="AI44" i="45" s="1"/>
  <c r="AK135" i="34"/>
  <c r="AK48" i="36"/>
  <c r="AK139" i="34"/>
  <c r="BI48" i="36"/>
  <c r="BI139" i="34"/>
  <c r="BI88" i="34"/>
  <c r="BG44" i="45" s="1"/>
  <c r="BI135" i="34"/>
  <c r="AP46" i="36"/>
  <c r="AP87" i="34" s="1"/>
  <c r="AN42" i="45" s="1"/>
  <c r="AK46" i="36"/>
  <c r="AK87" i="34" s="1"/>
  <c r="AI42" i="45" s="1"/>
  <c r="AU46" i="36"/>
  <c r="AU87" i="34" s="1"/>
  <c r="AS42" i="45" s="1"/>
  <c r="AT46" i="36"/>
  <c r="AT87" i="34" s="1"/>
  <c r="AR42" i="45" s="1"/>
  <c r="AR46" i="36"/>
  <c r="AR87" i="34" s="1"/>
  <c r="AP42" i="45" s="1"/>
  <c r="AM46" i="36"/>
  <c r="AM87" i="34" s="1"/>
  <c r="AK42" i="45" s="1"/>
  <c r="AJ46" i="36"/>
  <c r="AJ87" i="34" s="1"/>
  <c r="AH42" i="45" s="1"/>
  <c r="AS46" i="36"/>
  <c r="AS87" i="34" s="1"/>
  <c r="AQ42" i="45" s="1"/>
  <c r="AW46" i="36"/>
  <c r="AW87" i="34" s="1"/>
  <c r="AU42" i="45" s="1"/>
  <c r="AY46" i="36"/>
  <c r="AY87" i="34" s="1"/>
  <c r="AW42" i="45" s="1"/>
  <c r="AZ46" i="36"/>
  <c r="AZ87" i="34" s="1"/>
  <c r="AX42" i="45" s="1"/>
  <c r="AO46" i="36"/>
  <c r="AO87" i="34" s="1"/>
  <c r="AM42" i="45" s="1"/>
  <c r="AQ46" i="36"/>
  <c r="AQ87" i="34" s="1"/>
  <c r="AO42" i="45" s="1"/>
  <c r="AN46" i="36"/>
  <c r="AN87" i="34" s="1"/>
  <c r="AL42" i="45" s="1"/>
  <c r="BB46" i="36"/>
  <c r="BB87" i="34" s="1"/>
  <c r="AZ42" i="45" s="1"/>
  <c r="BJ46" i="36"/>
  <c r="BJ87" i="34" s="1"/>
  <c r="BH42" i="45" s="1"/>
  <c r="BC46" i="36"/>
  <c r="BC87" i="34" s="1"/>
  <c r="BA42" i="45" s="1"/>
  <c r="BH46" i="36"/>
  <c r="BH87" i="34" s="1"/>
  <c r="BF42" i="45" s="1"/>
  <c r="BM46" i="36"/>
  <c r="BM87" i="34" s="1"/>
  <c r="BK42" i="45" s="1"/>
  <c r="AL46" i="36"/>
  <c r="AL87" i="34" s="1"/>
  <c r="AJ42" i="45" s="1"/>
  <c r="BE46" i="36"/>
  <c r="BE87" i="34" s="1"/>
  <c r="BC42" i="45" s="1"/>
  <c r="AX46" i="36"/>
  <c r="AX87" i="34" s="1"/>
  <c r="AV42" i="45" s="1"/>
  <c r="BA46" i="36"/>
  <c r="BA87" i="34" s="1"/>
  <c r="AY42" i="45" s="1"/>
  <c r="BK46" i="36"/>
  <c r="BK87" i="34" s="1"/>
  <c r="BI42" i="45" s="1"/>
  <c r="AV46" i="36"/>
  <c r="AV87" i="34" s="1"/>
  <c r="AT42" i="45" s="1"/>
  <c r="BN46" i="36"/>
  <c r="BN87" i="34" s="1"/>
  <c r="BL42" i="45" s="1"/>
  <c r="BI46" i="36"/>
  <c r="BI87" i="34" s="1"/>
  <c r="BG42" i="45" s="1"/>
  <c r="BF46" i="36"/>
  <c r="BF87" i="34" s="1"/>
  <c r="BD42" i="45" s="1"/>
  <c r="BP46" i="36"/>
  <c r="BP87" i="34" s="1"/>
  <c r="BN42" i="45" s="1"/>
  <c r="BD46" i="36"/>
  <c r="BD87" i="34" s="1"/>
  <c r="BB42" i="45" s="1"/>
  <c r="BG46" i="36"/>
  <c r="BG87" i="34" s="1"/>
  <c r="BE42" i="45" s="1"/>
  <c r="BL46" i="36"/>
  <c r="BL87" i="34" s="1"/>
  <c r="BJ42" i="45" s="1"/>
  <c r="BO46" i="36"/>
  <c r="BO87" i="34" s="1"/>
  <c r="BM42" i="45" s="1"/>
  <c r="BO88" i="34"/>
  <c r="BM44" i="45" s="1"/>
  <c r="BO135" i="34"/>
  <c r="BO139" i="34"/>
  <c r="BO48" i="36"/>
  <c r="BD135" i="34"/>
  <c r="BD88" i="34"/>
  <c r="BB44" i="45" s="1"/>
  <c r="BD139" i="34"/>
  <c r="BD48" i="36"/>
  <c r="BE48" i="36"/>
  <c r="BE88" i="34"/>
  <c r="BC44" i="45" s="1"/>
  <c r="BE139" i="34"/>
  <c r="BE135" i="34"/>
  <c r="BC48" i="36"/>
  <c r="BC135" i="34"/>
  <c r="BC139" i="34"/>
  <c r="BC88" i="34"/>
  <c r="BA44" i="45" s="1"/>
  <c r="AV88" i="34"/>
  <c r="AT44" i="45" s="1"/>
  <c r="AV48" i="36"/>
  <c r="AV139" i="34"/>
  <c r="AV135" i="34"/>
  <c r="AM135" i="34"/>
  <c r="AM139" i="34"/>
  <c r="AM48" i="36"/>
  <c r="AM88" i="34"/>
  <c r="AK44" i="45" s="1"/>
  <c r="AN88" i="34"/>
  <c r="AL44" i="45" s="1"/>
  <c r="AN48" i="36"/>
  <c r="AN139" i="34"/>
  <c r="AN135" i="34"/>
  <c r="BJ64" i="45" l="1"/>
  <c r="AL38" i="62"/>
  <c r="BD64" i="45"/>
  <c r="AF38" i="62"/>
  <c r="BI64" i="45"/>
  <c r="AK38" i="62"/>
  <c r="AJ64" i="45"/>
  <c r="L38" i="62"/>
  <c r="BH64" i="45"/>
  <c r="AJ38" i="62"/>
  <c r="AM64" i="45"/>
  <c r="O38" i="62"/>
  <c r="AQ64" i="45"/>
  <c r="S38" i="62"/>
  <c r="AR64" i="45"/>
  <c r="T38" i="62"/>
  <c r="BF63" i="45"/>
  <c r="AH37" i="62"/>
  <c r="BH63" i="45"/>
  <c r="AJ37" i="62"/>
  <c r="BN63" i="45"/>
  <c r="AP37" i="62"/>
  <c r="AL63" i="45"/>
  <c r="N37" i="62"/>
  <c r="AZ63" i="45"/>
  <c r="AB37" i="62"/>
  <c r="BA63" i="45"/>
  <c r="AC37" i="62"/>
  <c r="AJ63" i="45"/>
  <c r="L37" i="62"/>
  <c r="AM63" i="45"/>
  <c r="O37" i="62"/>
  <c r="AH63" i="45"/>
  <c r="J37" i="62"/>
  <c r="AB63" i="45"/>
  <c r="D37" i="62"/>
  <c r="AC64" i="45"/>
  <c r="E38" i="62"/>
  <c r="AF64" i="45"/>
  <c r="H38" i="62"/>
  <c r="BE64" i="45"/>
  <c r="AG38" i="62"/>
  <c r="BG64" i="45"/>
  <c r="AI38" i="62"/>
  <c r="AY64" i="45"/>
  <c r="AA38" i="62"/>
  <c r="BK64" i="45"/>
  <c r="AM38" i="62"/>
  <c r="AZ64" i="45"/>
  <c r="AB38" i="62"/>
  <c r="AX64" i="45"/>
  <c r="Z38" i="62"/>
  <c r="AH64" i="45"/>
  <c r="J38" i="62"/>
  <c r="AS64" i="45"/>
  <c r="U38" i="62"/>
  <c r="BM63" i="45"/>
  <c r="AO37" i="62"/>
  <c r="AY63" i="45"/>
  <c r="AA37" i="62"/>
  <c r="BK63" i="45"/>
  <c r="AM37" i="62"/>
  <c r="BI63" i="45"/>
  <c r="AK37" i="62"/>
  <c r="AP63" i="45"/>
  <c r="R37" i="62"/>
  <c r="AW63" i="45"/>
  <c r="Y37" i="62"/>
  <c r="AT63" i="45"/>
  <c r="V37" i="62"/>
  <c r="BB63" i="45"/>
  <c r="AD37" i="62"/>
  <c r="AE63" i="45"/>
  <c r="G37" i="62"/>
  <c r="AC63" i="45"/>
  <c r="E37" i="62"/>
  <c r="AB64" i="45"/>
  <c r="D38" i="62"/>
  <c r="BB64" i="45"/>
  <c r="AD38" i="62"/>
  <c r="BL64" i="45"/>
  <c r="AN38" i="62"/>
  <c r="AV64" i="45"/>
  <c r="X38" i="62"/>
  <c r="BF64" i="45"/>
  <c r="AH38" i="62"/>
  <c r="AL64" i="45"/>
  <c r="N38" i="62"/>
  <c r="AW64" i="45"/>
  <c r="Y38" i="62"/>
  <c r="AK64" i="45"/>
  <c r="M38" i="62"/>
  <c r="AI64" i="45"/>
  <c r="K38" i="62"/>
  <c r="AV63" i="45"/>
  <c r="X37" i="62"/>
  <c r="BG63" i="45"/>
  <c r="AI37" i="62"/>
  <c r="BJ63" i="45"/>
  <c r="AL37" i="62"/>
  <c r="BD63" i="45"/>
  <c r="AF37" i="62"/>
  <c r="BL63" i="45"/>
  <c r="AN37" i="62"/>
  <c r="AU63" i="45"/>
  <c r="W37" i="62"/>
  <c r="AR63" i="45"/>
  <c r="T37" i="62"/>
  <c r="AS63" i="45"/>
  <c r="U37" i="62"/>
  <c r="AF63" i="45"/>
  <c r="H37" i="62"/>
  <c r="AD63" i="45"/>
  <c r="F37" i="62"/>
  <c r="AG64" i="45"/>
  <c r="I38" i="62"/>
  <c r="BM64" i="45"/>
  <c r="AO38" i="62"/>
  <c r="BN64" i="45"/>
  <c r="AP38" i="62"/>
  <c r="AT64" i="45"/>
  <c r="V38" i="62"/>
  <c r="BC64" i="45"/>
  <c r="AE38" i="62"/>
  <c r="BA64" i="45"/>
  <c r="AC38" i="62"/>
  <c r="AO64" i="45"/>
  <c r="Q38" i="62"/>
  <c r="AU64" i="45"/>
  <c r="W38" i="62"/>
  <c r="AP64" i="45"/>
  <c r="R38" i="62"/>
  <c r="AN64" i="45"/>
  <c r="P38" i="62"/>
  <c r="AI63" i="45"/>
  <c r="K37" i="62"/>
  <c r="BE63" i="45"/>
  <c r="AG37" i="62"/>
  <c r="BC63" i="45"/>
  <c r="AE37" i="62"/>
  <c r="AX63" i="45"/>
  <c r="Z37" i="62"/>
  <c r="AO63" i="45"/>
  <c r="Q37" i="62"/>
  <c r="AQ63" i="45"/>
  <c r="S37" i="62"/>
  <c r="AK63" i="45"/>
  <c r="M37" i="62"/>
  <c r="AN63" i="45"/>
  <c r="P37" i="62"/>
  <c r="AG63" i="45"/>
  <c r="I37" i="62"/>
  <c r="AD64" i="45"/>
  <c r="F38" i="62"/>
  <c r="AE64" i="45"/>
  <c r="G38" i="62"/>
  <c r="BA136" i="34"/>
  <c r="BA140" i="34"/>
  <c r="AG140" i="34"/>
  <c r="AG89" i="34"/>
  <c r="AE45" i="45" s="1"/>
  <c r="AG136" i="34"/>
  <c r="AE50" i="45" s="1"/>
  <c r="AF140" i="34"/>
  <c r="AF89" i="34"/>
  <c r="AD45" i="45" s="1"/>
  <c r="AF136" i="34"/>
  <c r="AD50" i="45" s="1"/>
  <c r="AE136" i="34"/>
  <c r="AC50" i="45" s="1"/>
  <c r="AE89" i="34"/>
  <c r="AC45" i="45" s="1"/>
  <c r="AE140" i="34"/>
  <c r="AD136" i="34"/>
  <c r="AB50" i="45" s="1"/>
  <c r="AD89" i="34"/>
  <c r="AB45" i="45" s="1"/>
  <c r="AD140" i="34"/>
  <c r="AI136" i="34"/>
  <c r="AG50" i="45" s="1"/>
  <c r="AI140" i="34"/>
  <c r="AI89" i="34"/>
  <c r="AG45" i="45" s="1"/>
  <c r="AH89" i="34"/>
  <c r="AF45" i="45" s="1"/>
  <c r="AH136" i="34"/>
  <c r="AF50" i="45" s="1"/>
  <c r="AH140" i="34"/>
  <c r="AT140" i="34"/>
  <c r="AT89" i="34"/>
  <c r="AR45" i="45" s="1"/>
  <c r="AT136" i="34"/>
  <c r="AR50" i="45" s="1"/>
  <c r="BC136" i="34"/>
  <c r="BC140" i="34"/>
  <c r="BC89" i="34"/>
  <c r="BE140" i="34"/>
  <c r="BE136" i="34"/>
  <c r="BE89" i="34"/>
  <c r="BI136" i="34"/>
  <c r="BI140" i="34"/>
  <c r="BI89" i="34"/>
  <c r="AP136" i="34"/>
  <c r="AN50" i="45" s="1"/>
  <c r="AP140" i="34"/>
  <c r="AP89" i="34"/>
  <c r="AN45" i="45" s="1"/>
  <c r="BN140" i="34"/>
  <c r="BN136" i="34"/>
  <c r="BN89" i="34"/>
  <c r="AL136" i="34"/>
  <c r="AJ50" i="45" s="1"/>
  <c r="AL140" i="34"/>
  <c r="AL89" i="34"/>
  <c r="AJ45" i="45" s="1"/>
  <c r="BP136" i="34"/>
  <c r="BP89" i="34"/>
  <c r="BP140" i="34"/>
  <c r="BJ136" i="34"/>
  <c r="BJ89" i="34"/>
  <c r="BJ140" i="34"/>
  <c r="BH136" i="34"/>
  <c r="BH89" i="34"/>
  <c r="BH140" i="34"/>
  <c r="BB140" i="34"/>
  <c r="BB136" i="34"/>
  <c r="BB89" i="34"/>
  <c r="AO136" i="34"/>
  <c r="AM50" i="45" s="1"/>
  <c r="AO140" i="34"/>
  <c r="AO89" i="34"/>
  <c r="AM45" i="45" s="1"/>
  <c r="BL136" i="34"/>
  <c r="BL140" i="34"/>
  <c r="BL89" i="34"/>
  <c r="BO136" i="34"/>
  <c r="BO140" i="34"/>
  <c r="BO89" i="34"/>
  <c r="AY140" i="34"/>
  <c r="AY136" i="34"/>
  <c r="AY89" i="34"/>
  <c r="BK136" i="34"/>
  <c r="BK140" i="34"/>
  <c r="BK89" i="34"/>
  <c r="AM140" i="34"/>
  <c r="AM136" i="34"/>
  <c r="AK50" i="45" s="1"/>
  <c r="AM89" i="34"/>
  <c r="AK45" i="45" s="1"/>
  <c r="AK136" i="34"/>
  <c r="AI50" i="45" s="1"/>
  <c r="AK140" i="34"/>
  <c r="AK89" i="34"/>
  <c r="AI45" i="45" s="1"/>
  <c r="AJ140" i="34"/>
  <c r="AJ136" i="34"/>
  <c r="AH50" i="45" s="1"/>
  <c r="AJ89" i="34"/>
  <c r="AH45" i="45" s="1"/>
  <c r="AS136" i="34"/>
  <c r="AQ50" i="45" s="1"/>
  <c r="AS140" i="34"/>
  <c r="AS89" i="34"/>
  <c r="AQ45" i="45" s="1"/>
  <c r="BF136" i="34"/>
  <c r="BF140" i="34"/>
  <c r="BF89" i="34"/>
  <c r="AU136" i="34"/>
  <c r="AS50" i="45" s="1"/>
  <c r="AU140" i="34"/>
  <c r="AU89" i="34"/>
  <c r="AS45" i="45" s="1"/>
  <c r="BD136" i="34"/>
  <c r="BD140" i="34"/>
  <c r="BD89" i="34"/>
  <c r="AN140" i="34"/>
  <c r="AN136" i="34"/>
  <c r="AL50" i="45" s="1"/>
  <c r="AN89" i="34"/>
  <c r="AL45" i="45" s="1"/>
  <c r="AV136" i="34"/>
  <c r="AT50" i="45" s="1"/>
  <c r="AV140" i="34"/>
  <c r="AV89" i="34"/>
  <c r="AT45" i="45" s="1"/>
  <c r="AW136" i="34"/>
  <c r="AW140" i="34"/>
  <c r="AW89" i="34"/>
  <c r="AZ140" i="34"/>
  <c r="AZ136" i="34"/>
  <c r="AZ89" i="34"/>
  <c r="AR136" i="34"/>
  <c r="AP50" i="45" s="1"/>
  <c r="AR140" i="34"/>
  <c r="AR89" i="34"/>
  <c r="AP45" i="45" s="1"/>
  <c r="AX140" i="34"/>
  <c r="AX136" i="34"/>
  <c r="AX89" i="34"/>
  <c r="BM136" i="34"/>
  <c r="BM140" i="34"/>
  <c r="BM89" i="34"/>
  <c r="BG136" i="34"/>
  <c r="BG140" i="34"/>
  <c r="BG89" i="34"/>
  <c r="AQ140" i="34"/>
  <c r="AQ136" i="34"/>
  <c r="AO50" i="45" s="1"/>
  <c r="AQ89" i="34"/>
  <c r="AO45" i="45" s="1"/>
  <c r="AK45" i="57"/>
  <c r="AJ45" i="57"/>
  <c r="AV90" i="34" l="1"/>
  <c r="AT46" i="45" s="1"/>
  <c r="AT43" i="45" s="1"/>
  <c r="AF90" i="34"/>
  <c r="AD46" i="45" s="1"/>
  <c r="AD43" i="45" s="1"/>
  <c r="AF143" i="34"/>
  <c r="AD51" i="45" s="1"/>
  <c r="AD49" i="45" s="1"/>
  <c r="AI143" i="34"/>
  <c r="AG51" i="45" s="1"/>
  <c r="AG49" i="45" s="1"/>
  <c r="AI90" i="34"/>
  <c r="AG46" i="45" s="1"/>
  <c r="AG43" i="45" s="1"/>
  <c r="AH90" i="34"/>
  <c r="AF46" i="45" s="1"/>
  <c r="AF43" i="45" s="1"/>
  <c r="AH143" i="34"/>
  <c r="AF51" i="45" s="1"/>
  <c r="AF49" i="45" s="1"/>
  <c r="AD143" i="34"/>
  <c r="AD90" i="34"/>
  <c r="AB46" i="45" s="1"/>
  <c r="AE90" i="34"/>
  <c r="AC46" i="45" s="1"/>
  <c r="AC43" i="45" s="1"/>
  <c r="AE143" i="34"/>
  <c r="AC51" i="45" s="1"/>
  <c r="AC49" i="45" s="1"/>
  <c r="AG90" i="34"/>
  <c r="AE46" i="45" s="1"/>
  <c r="AE43" i="45" s="1"/>
  <c r="AG143" i="34"/>
  <c r="AE51" i="45" s="1"/>
  <c r="AE49" i="45" s="1"/>
  <c r="AP143" i="34"/>
  <c r="AN51" i="45" s="1"/>
  <c r="AN49" i="45" s="1"/>
  <c r="AP90" i="34"/>
  <c r="AN46" i="45" s="1"/>
  <c r="AN43" i="45" s="1"/>
  <c r="AR143" i="34"/>
  <c r="AP51" i="45" s="1"/>
  <c r="AP49" i="45" s="1"/>
  <c r="AR90" i="34"/>
  <c r="AP46" i="45" s="1"/>
  <c r="AP43" i="45" s="1"/>
  <c r="AU143" i="34"/>
  <c r="AS51" i="45" s="1"/>
  <c r="AS49" i="45" s="1"/>
  <c r="AU90" i="34"/>
  <c r="AS46" i="45" s="1"/>
  <c r="AS43" i="45" s="1"/>
  <c r="AM143" i="34"/>
  <c r="AK51" i="45" s="1"/>
  <c r="AK49" i="45" s="1"/>
  <c r="AM90" i="34"/>
  <c r="AK46" i="45" s="1"/>
  <c r="AK43" i="45" s="1"/>
  <c r="AQ90" i="34"/>
  <c r="AO46" i="45" s="1"/>
  <c r="AO43" i="45" s="1"/>
  <c r="AQ143" i="34"/>
  <c r="AO51" i="45" s="1"/>
  <c r="AO49" i="45" s="1"/>
  <c r="AN143" i="34"/>
  <c r="AL51" i="45" s="1"/>
  <c r="AL49" i="45" s="1"/>
  <c r="AN90" i="34"/>
  <c r="AL46" i="45" s="1"/>
  <c r="AL43" i="45" s="1"/>
  <c r="AK143" i="34"/>
  <c r="AI51" i="45" s="1"/>
  <c r="AI49" i="45" s="1"/>
  <c r="AK90" i="34"/>
  <c r="AI46" i="45" s="1"/>
  <c r="AI43" i="45" s="1"/>
  <c r="AO90" i="34"/>
  <c r="AM46" i="45" s="1"/>
  <c r="AM43" i="45" s="1"/>
  <c r="AO143" i="34"/>
  <c r="AM51" i="45" s="1"/>
  <c r="AM49" i="45" s="1"/>
  <c r="AT90" i="34"/>
  <c r="AR46" i="45" s="1"/>
  <c r="AR43" i="45" s="1"/>
  <c r="AT143" i="34"/>
  <c r="AR51" i="45" s="1"/>
  <c r="AR49" i="45" s="1"/>
  <c r="AJ143" i="34"/>
  <c r="AH51" i="45" s="1"/>
  <c r="AH49" i="45" s="1"/>
  <c r="AJ90" i="34"/>
  <c r="AH46" i="45" s="1"/>
  <c r="AH43" i="45" s="1"/>
  <c r="AS143" i="34"/>
  <c r="AQ51" i="45" s="1"/>
  <c r="AQ49" i="45" s="1"/>
  <c r="AS90" i="34"/>
  <c r="AQ46" i="45" s="1"/>
  <c r="AQ43" i="45" s="1"/>
  <c r="AL90" i="34"/>
  <c r="AJ46" i="45" s="1"/>
  <c r="AJ43" i="45" s="1"/>
  <c r="AL143" i="34"/>
  <c r="AJ51" i="45" s="1"/>
  <c r="AJ49" i="45" s="1"/>
  <c r="AH66" i="45" l="1"/>
  <c r="J40" i="62"/>
  <c r="AL66" i="45"/>
  <c r="N40" i="62"/>
  <c r="AP66" i="45"/>
  <c r="R40" i="62"/>
  <c r="AE65" i="45"/>
  <c r="G39" i="62"/>
  <c r="AG66" i="45"/>
  <c r="I40" i="62"/>
  <c r="AQ65" i="45"/>
  <c r="S39" i="62"/>
  <c r="AI65" i="45"/>
  <c r="K39" i="62"/>
  <c r="AC66" i="45"/>
  <c r="E40" i="62"/>
  <c r="AD66" i="45"/>
  <c r="F40" i="62"/>
  <c r="AR65" i="45"/>
  <c r="T39" i="62"/>
  <c r="AI66" i="45"/>
  <c r="K40" i="62"/>
  <c r="AO65" i="45"/>
  <c r="Q39" i="62"/>
  <c r="AS66" i="45"/>
  <c r="U40" i="62"/>
  <c r="AN66" i="45"/>
  <c r="P40" i="62"/>
  <c r="AC65" i="45"/>
  <c r="E39" i="62"/>
  <c r="AF65" i="45"/>
  <c r="H39" i="62"/>
  <c r="AD65" i="45"/>
  <c r="F39" i="62"/>
  <c r="AJ65" i="45"/>
  <c r="L39" i="62"/>
  <c r="AM65" i="45"/>
  <c r="O39" i="62"/>
  <c r="AK66" i="45"/>
  <c r="M40" i="62"/>
  <c r="AR66" i="45"/>
  <c r="T40" i="62"/>
  <c r="AO66" i="45"/>
  <c r="Q40" i="62"/>
  <c r="AS65" i="45"/>
  <c r="U39" i="62"/>
  <c r="AN65" i="45"/>
  <c r="P39" i="62"/>
  <c r="AF66" i="45"/>
  <c r="H40" i="62"/>
  <c r="AQ66" i="45"/>
  <c r="S40" i="62"/>
  <c r="AJ66" i="45"/>
  <c r="L40" i="62"/>
  <c r="AH65" i="45"/>
  <c r="J39" i="62"/>
  <c r="AM66" i="45"/>
  <c r="O40" i="62"/>
  <c r="AL65" i="45"/>
  <c r="N39" i="62"/>
  <c r="AK65" i="45"/>
  <c r="M39" i="62"/>
  <c r="AP65" i="45"/>
  <c r="R39" i="62"/>
  <c r="AE66" i="45"/>
  <c r="G40" i="62"/>
  <c r="AG65" i="45"/>
  <c r="I39" i="62"/>
  <c r="AT65" i="45"/>
  <c r="V39" i="62"/>
  <c r="AV143" i="34"/>
  <c r="AT51" i="45" s="1"/>
  <c r="AT49" i="45" s="1"/>
  <c r="BM53" i="36"/>
  <c r="BB7" i="34"/>
  <c r="AZ5" i="45" s="1"/>
  <c r="BE159" i="34"/>
  <c r="BC53" i="45" s="1"/>
  <c r="AY39" i="34"/>
  <c r="AW20" i="45" s="1"/>
  <c r="BH175" i="34"/>
  <c r="BF54" i="45" s="1"/>
  <c r="AW53" i="36"/>
  <c r="AW94" i="34" s="1"/>
  <c r="AU45" i="45" s="1"/>
  <c r="BJ159" i="34"/>
  <c r="BH53" i="45" s="1"/>
  <c r="BG53" i="36"/>
  <c r="BA53" i="36"/>
  <c r="BI53" i="36"/>
  <c r="BL53" i="36"/>
  <c r="BL94" i="34" s="1"/>
  <c r="BJ45" i="45" s="1"/>
  <c r="AZ4" i="45" l="1"/>
  <c r="AZ58" i="45" s="1"/>
  <c r="AB7" i="62"/>
  <c r="AW19" i="45"/>
  <c r="AW60" i="45" s="1"/>
  <c r="Y20" i="62"/>
  <c r="AT66" i="45"/>
  <c r="V40" i="62"/>
  <c r="AW143" i="34"/>
  <c r="AW90" i="34"/>
  <c r="AU46" i="45" s="1"/>
  <c r="BE69" i="36"/>
  <c r="BE138" i="34" s="1"/>
  <c r="BI94" i="34"/>
  <c r="BG45" i="45" s="1"/>
  <c r="BI141" i="34"/>
  <c r="BJ53" i="36"/>
  <c r="BJ94" i="34" s="1"/>
  <c r="BH45" i="45" s="1"/>
  <c r="AY53" i="36"/>
  <c r="AY141" i="34" s="1"/>
  <c r="BA141" i="34"/>
  <c r="BA137" i="34"/>
  <c r="BA94" i="34"/>
  <c r="AY45" i="45" s="1"/>
  <c r="BG141" i="34"/>
  <c r="BG94" i="34"/>
  <c r="BE45" i="45" s="1"/>
  <c r="BG137" i="34"/>
  <c r="BI21" i="34"/>
  <c r="BG12" i="45" s="1"/>
  <c r="BI175" i="34"/>
  <c r="BG54" i="45" s="1"/>
  <c r="BI39" i="34"/>
  <c r="BG20" i="45" s="1"/>
  <c r="BI4" i="36"/>
  <c r="BI7" i="34"/>
  <c r="BG5" i="45" s="1"/>
  <c r="BI159" i="34"/>
  <c r="BG53" i="45" s="1"/>
  <c r="BI69" i="36"/>
  <c r="BC4" i="36"/>
  <c r="BC69" i="36"/>
  <c r="BC21" i="34"/>
  <c r="BA12" i="45" s="1"/>
  <c r="BC175" i="34"/>
  <c r="BA54" i="45" s="1"/>
  <c r="BC39" i="34"/>
  <c r="BA20" i="45" s="1"/>
  <c r="BC7" i="34"/>
  <c r="BA5" i="45" s="1"/>
  <c r="BC53" i="36"/>
  <c r="BP4" i="36"/>
  <c r="BP21" i="34"/>
  <c r="BN12" i="45" s="1"/>
  <c r="BP69" i="36"/>
  <c r="BP7" i="34"/>
  <c r="BN5" i="45" s="1"/>
  <c r="BP159" i="34"/>
  <c r="BN53" i="45" s="1"/>
  <c r="BP175" i="34"/>
  <c r="BN54" i="45" s="1"/>
  <c r="BP39" i="34"/>
  <c r="BN20" i="45" s="1"/>
  <c r="BO39" i="34"/>
  <c r="BM20" i="45" s="1"/>
  <c r="BO4" i="36"/>
  <c r="BO69" i="36"/>
  <c r="BO7" i="34"/>
  <c r="BM5" i="45" s="1"/>
  <c r="BO21" i="34"/>
  <c r="BM12" i="45" s="1"/>
  <c r="BO159" i="34"/>
  <c r="BM53" i="45" s="1"/>
  <c r="BO175" i="34"/>
  <c r="BM54" i="45" s="1"/>
  <c r="BK4" i="36"/>
  <c r="BK175" i="34"/>
  <c r="BI54" i="45" s="1"/>
  <c r="BK7" i="34"/>
  <c r="BI5" i="45" s="1"/>
  <c r="BK159" i="34"/>
  <c r="BI53" i="45" s="1"/>
  <c r="BK21" i="34"/>
  <c r="BI12" i="45" s="1"/>
  <c r="BK39" i="34"/>
  <c r="BI20" i="45" s="1"/>
  <c r="BK69" i="36"/>
  <c r="BN4" i="36"/>
  <c r="BN7" i="34"/>
  <c r="BL5" i="45" s="1"/>
  <c r="BN39" i="34"/>
  <c r="BL20" i="45" s="1"/>
  <c r="BN21" i="34"/>
  <c r="BL12" i="45" s="1"/>
  <c r="BN175" i="34"/>
  <c r="BL54" i="45" s="1"/>
  <c r="BN69" i="36"/>
  <c r="BN159" i="34"/>
  <c r="BL53" i="45" s="1"/>
  <c r="BL141" i="34"/>
  <c r="BL137" i="34"/>
  <c r="BL4" i="36"/>
  <c r="BL7" i="34"/>
  <c r="BJ5" i="45" s="1"/>
  <c r="BL175" i="34"/>
  <c r="BJ54" i="45" s="1"/>
  <c r="BL69" i="36"/>
  <c r="BL21" i="34"/>
  <c r="BJ12" i="45" s="1"/>
  <c r="BL39" i="34"/>
  <c r="BJ20" i="45" s="1"/>
  <c r="BL159" i="34"/>
  <c r="BJ53" i="45" s="1"/>
  <c r="BD7" i="34"/>
  <c r="BB5" i="45" s="1"/>
  <c r="BD4" i="36"/>
  <c r="BD175" i="34"/>
  <c r="BB54" i="45" s="1"/>
  <c r="BD21" i="34"/>
  <c r="BB12" i="45" s="1"/>
  <c r="BD69" i="36"/>
  <c r="BD39" i="34"/>
  <c r="BB20" i="45" s="1"/>
  <c r="BD159" i="34"/>
  <c r="BB53" i="45" s="1"/>
  <c r="BK53" i="36"/>
  <c r="BI137" i="34"/>
  <c r="BN53" i="36"/>
  <c r="AY137" i="34"/>
  <c r="BM137" i="34"/>
  <c r="BM141" i="34"/>
  <c r="BM94" i="34"/>
  <c r="BK45" i="45" s="1"/>
  <c r="BA4" i="36"/>
  <c r="BA69" i="36"/>
  <c r="BA21" i="34"/>
  <c r="AY12" i="45" s="1"/>
  <c r="BA7" i="34"/>
  <c r="AY5" i="45" s="1"/>
  <c r="BA175" i="34"/>
  <c r="AY54" i="45" s="1"/>
  <c r="BA159" i="34"/>
  <c r="AY53" i="45" s="1"/>
  <c r="BA39" i="34"/>
  <c r="AY20" i="45" s="1"/>
  <c r="BG175" i="34"/>
  <c r="BE54" i="45" s="1"/>
  <c r="BG4" i="36"/>
  <c r="BG69" i="36"/>
  <c r="BG7" i="34"/>
  <c r="BE5" i="45" s="1"/>
  <c r="BG21" i="34"/>
  <c r="BE12" i="45" s="1"/>
  <c r="BG159" i="34"/>
  <c r="BE53" i="45" s="1"/>
  <c r="BG39" i="34"/>
  <c r="BE20" i="45" s="1"/>
  <c r="AW137" i="34"/>
  <c r="AW141" i="34"/>
  <c r="AX175" i="34"/>
  <c r="AV54" i="45" s="1"/>
  <c r="AX39" i="34"/>
  <c r="AV20" i="45" s="1"/>
  <c r="AX7" i="34"/>
  <c r="AV5" i="45" s="1"/>
  <c r="AX69" i="36"/>
  <c r="AX21" i="34"/>
  <c r="AV12" i="45" s="1"/>
  <c r="AX53" i="36"/>
  <c r="AZ21" i="34"/>
  <c r="AX12" i="45" s="1"/>
  <c r="AZ175" i="34"/>
  <c r="AX54" i="45" s="1"/>
  <c r="AZ69" i="36"/>
  <c r="AZ159" i="34"/>
  <c r="AX53" i="45" s="1"/>
  <c r="AZ53" i="36"/>
  <c r="AZ7" i="34"/>
  <c r="AX5" i="45" s="1"/>
  <c r="AZ39" i="34"/>
  <c r="AX20" i="45" s="1"/>
  <c r="BJ4" i="36"/>
  <c r="BJ39" i="34"/>
  <c r="BH20" i="45" s="1"/>
  <c r="BJ21" i="34"/>
  <c r="BH12" i="45" s="1"/>
  <c r="BJ7" i="34"/>
  <c r="BH5" i="45" s="1"/>
  <c r="BJ175" i="34"/>
  <c r="BH54" i="45" s="1"/>
  <c r="BH52" i="45" s="1"/>
  <c r="BJ69" i="36"/>
  <c r="BD53" i="36"/>
  <c r="AW21" i="34"/>
  <c r="AU12" i="45" s="1"/>
  <c r="AW175" i="34"/>
  <c r="AU54" i="45" s="1"/>
  <c r="AW7" i="34"/>
  <c r="AU5" i="45" s="1"/>
  <c r="AW159" i="34"/>
  <c r="AU53" i="45" s="1"/>
  <c r="AW39" i="34"/>
  <c r="AU20" i="45" s="1"/>
  <c r="AW69" i="36"/>
  <c r="BP53" i="36"/>
  <c r="BO53" i="36"/>
  <c r="BC159" i="34"/>
  <c r="BA53" i="45" s="1"/>
  <c r="BF4" i="36"/>
  <c r="BF21" i="34"/>
  <c r="BD12" i="45" s="1"/>
  <c r="BF7" i="34"/>
  <c r="BD5" i="45" s="1"/>
  <c r="BF175" i="34"/>
  <c r="BD54" i="45" s="1"/>
  <c r="BF159" i="34"/>
  <c r="BD53" i="45" s="1"/>
  <c r="BF39" i="34"/>
  <c r="BD20" i="45" s="1"/>
  <c r="BF69" i="36"/>
  <c r="BF53" i="36"/>
  <c r="AX159" i="34"/>
  <c r="AV53" i="45" s="1"/>
  <c r="BB53" i="36"/>
  <c r="BM21" i="34"/>
  <c r="BK12" i="45" s="1"/>
  <c r="BM69" i="36"/>
  <c r="BH21" i="34"/>
  <c r="BF12" i="45" s="1"/>
  <c r="BB159" i="34"/>
  <c r="AZ53" i="45" s="1"/>
  <c r="BM159" i="34"/>
  <c r="BK53" i="45" s="1"/>
  <c r="BH159" i="34"/>
  <c r="BF53" i="45" s="1"/>
  <c r="BF52" i="45" s="1"/>
  <c r="BH53" i="36"/>
  <c r="AY69" i="36"/>
  <c r="AY159" i="34"/>
  <c r="AW53" i="45" s="1"/>
  <c r="AY21" i="34"/>
  <c r="AW12" i="45" s="1"/>
  <c r="AY175" i="34"/>
  <c r="AW54" i="45" s="1"/>
  <c r="BE175" i="34"/>
  <c r="BC54" i="45" s="1"/>
  <c r="BC52" i="45" s="1"/>
  <c r="BE21" i="34"/>
  <c r="BC12" i="45" s="1"/>
  <c r="BE39" i="34"/>
  <c r="BC20" i="45" s="1"/>
  <c r="BE4" i="36"/>
  <c r="BH69" i="36"/>
  <c r="BH4" i="36"/>
  <c r="BH7" i="34"/>
  <c r="BF5" i="45" s="1"/>
  <c r="BH39" i="34"/>
  <c r="BF20" i="45" s="1"/>
  <c r="AY7" i="34"/>
  <c r="AW5" i="45" s="1"/>
  <c r="BB4" i="36"/>
  <c r="BB69" i="36"/>
  <c r="BB175" i="34"/>
  <c r="AZ54" i="45" s="1"/>
  <c r="BB21" i="34"/>
  <c r="AZ12" i="45" s="1"/>
  <c r="BB39" i="34"/>
  <c r="AZ20" i="45" s="1"/>
  <c r="BE7" i="34"/>
  <c r="BC5" i="45" s="1"/>
  <c r="BE53" i="36"/>
  <c r="BM7" i="34"/>
  <c r="BK5" i="45" s="1"/>
  <c r="BM39" i="34"/>
  <c r="BK20" i="45" s="1"/>
  <c r="BM175" i="34"/>
  <c r="BK54" i="45" s="1"/>
  <c r="BM4" i="36"/>
  <c r="BC19" i="45" l="1"/>
  <c r="BC60" i="45" s="1"/>
  <c r="AE20" i="62"/>
  <c r="AW11" i="45"/>
  <c r="AW59" i="45" s="1"/>
  <c r="Y13" i="62"/>
  <c r="BK19" i="45"/>
  <c r="BK60" i="45" s="1"/>
  <c r="AM20" i="62"/>
  <c r="AZ19" i="45"/>
  <c r="AZ60" i="45" s="1"/>
  <c r="AB20" i="62"/>
  <c r="BC11" i="45"/>
  <c r="BC59" i="45" s="1"/>
  <c r="AE13" i="62"/>
  <c r="BK11" i="45"/>
  <c r="BK59" i="45" s="1"/>
  <c r="AM13" i="62"/>
  <c r="BD4" i="45"/>
  <c r="BD58" i="45" s="1"/>
  <c r="AF7" i="62"/>
  <c r="BH11" i="45"/>
  <c r="BH59" i="45" s="1"/>
  <c r="AJ13" i="62"/>
  <c r="AX4" i="45"/>
  <c r="AX58" i="45" s="1"/>
  <c r="Z7" i="62"/>
  <c r="BE11" i="45"/>
  <c r="BE59" i="45" s="1"/>
  <c r="AG13" i="62"/>
  <c r="AY4" i="45"/>
  <c r="AY58" i="45" s="1"/>
  <c r="AA7" i="62"/>
  <c r="BB19" i="45"/>
  <c r="BB60" i="45" s="1"/>
  <c r="AD20" i="62"/>
  <c r="BJ11" i="45"/>
  <c r="BJ59" i="45" s="1"/>
  <c r="AL13" i="62"/>
  <c r="BL4" i="45"/>
  <c r="BL58" i="45" s="1"/>
  <c r="AN7" i="62"/>
  <c r="BI11" i="45"/>
  <c r="BI59" i="45" s="1"/>
  <c r="AK13" i="62"/>
  <c r="BM4" i="45"/>
  <c r="BM58" i="45" s="1"/>
  <c r="AO7" i="62"/>
  <c r="BN19" i="45"/>
  <c r="BN60" i="45" s="1"/>
  <c r="AP20" i="62"/>
  <c r="BA4" i="45"/>
  <c r="BA58" i="45" s="1"/>
  <c r="AC7" i="62"/>
  <c r="BG4" i="45"/>
  <c r="BG58" i="45" s="1"/>
  <c r="AI7" i="62"/>
  <c r="BG11" i="45"/>
  <c r="BG59" i="45" s="1"/>
  <c r="AI13" i="62"/>
  <c r="BF4" i="45"/>
  <c r="BF58" i="45" s="1"/>
  <c r="AH7" i="62"/>
  <c r="BK4" i="45"/>
  <c r="BK58" i="45" s="1"/>
  <c r="AM7" i="62"/>
  <c r="AZ11" i="45"/>
  <c r="AZ59" i="45" s="1"/>
  <c r="AB13" i="62"/>
  <c r="AW4" i="45"/>
  <c r="AW58" i="45" s="1"/>
  <c r="Y7" i="62"/>
  <c r="BC67" i="45"/>
  <c r="AE41" i="62"/>
  <c r="BD19" i="45"/>
  <c r="BD60" i="45" s="1"/>
  <c r="AF20" i="62"/>
  <c r="BD11" i="45"/>
  <c r="BD59" i="45" s="1"/>
  <c r="AF13" i="62"/>
  <c r="AU4" i="45"/>
  <c r="AU58" i="45" s="1"/>
  <c r="W7" i="62"/>
  <c r="BH19" i="45"/>
  <c r="BH60" i="45" s="1"/>
  <c r="AJ20" i="62"/>
  <c r="AX11" i="45"/>
  <c r="AX59" i="45" s="1"/>
  <c r="Z13" i="62"/>
  <c r="AV4" i="45"/>
  <c r="AV58" i="45" s="1"/>
  <c r="X7" i="62"/>
  <c r="BE4" i="45"/>
  <c r="BE58" i="45" s="1"/>
  <c r="AG7" i="62"/>
  <c r="AY19" i="45"/>
  <c r="AY60" i="45" s="1"/>
  <c r="AA20" i="62"/>
  <c r="AY11" i="45"/>
  <c r="AY59" i="45" s="1"/>
  <c r="AA13" i="62"/>
  <c r="BB4" i="45"/>
  <c r="BB58" i="45" s="1"/>
  <c r="AD7" i="62"/>
  <c r="BN11" i="45"/>
  <c r="BN59" i="45" s="1"/>
  <c r="AP13" i="62"/>
  <c r="BA19" i="45"/>
  <c r="BA60" i="45" s="1"/>
  <c r="AC20" i="62"/>
  <c r="BF19" i="45"/>
  <c r="BF60" i="45" s="1"/>
  <c r="AH20" i="62"/>
  <c r="BF11" i="45"/>
  <c r="BF59" i="45" s="1"/>
  <c r="AH13" i="62"/>
  <c r="BH67" i="45"/>
  <c r="AJ41" i="62"/>
  <c r="AV19" i="45"/>
  <c r="AV60" i="45" s="1"/>
  <c r="X20" i="62"/>
  <c r="BE19" i="45"/>
  <c r="BE60" i="45" s="1"/>
  <c r="AG20" i="62"/>
  <c r="BB11" i="45"/>
  <c r="BB59" i="45" s="1"/>
  <c r="AD13" i="62"/>
  <c r="BL11" i="45"/>
  <c r="BL59" i="45" s="1"/>
  <c r="AN13" i="62"/>
  <c r="BI4" i="45"/>
  <c r="BI58" i="45" s="1"/>
  <c r="AK7" i="62"/>
  <c r="BG19" i="45"/>
  <c r="BG60" i="45" s="1"/>
  <c r="AI20" i="62"/>
  <c r="BC4" i="45"/>
  <c r="BC58" i="45" s="1"/>
  <c r="AE7" i="62"/>
  <c r="BF67" i="45"/>
  <c r="AH41" i="62"/>
  <c r="AU19" i="45"/>
  <c r="AU60" i="45" s="1"/>
  <c r="W20" i="62"/>
  <c r="AU11" i="45"/>
  <c r="AU59" i="45" s="1"/>
  <c r="W13" i="62"/>
  <c r="BH4" i="45"/>
  <c r="BH58" i="45" s="1"/>
  <c r="AJ7" i="62"/>
  <c r="AX19" i="45"/>
  <c r="AX60" i="45" s="1"/>
  <c r="Z20" i="62"/>
  <c r="AV11" i="45"/>
  <c r="AV59" i="45" s="1"/>
  <c r="X13" i="62"/>
  <c r="BJ19" i="45"/>
  <c r="BJ60" i="45" s="1"/>
  <c r="AL20" i="62"/>
  <c r="BJ4" i="45"/>
  <c r="BJ58" i="45" s="1"/>
  <c r="AL7" i="62"/>
  <c r="BL19" i="45"/>
  <c r="BL60" i="45" s="1"/>
  <c r="AN20" i="62"/>
  <c r="BI19" i="45"/>
  <c r="BI60" i="45" s="1"/>
  <c r="AK20" i="62"/>
  <c r="BM11" i="45"/>
  <c r="BM59" i="45" s="1"/>
  <c r="AO13" i="62"/>
  <c r="BM19" i="45"/>
  <c r="BM60" i="45" s="1"/>
  <c r="AO20" i="62"/>
  <c r="BN4" i="45"/>
  <c r="BN58" i="45" s="1"/>
  <c r="AP7" i="62"/>
  <c r="BA11" i="45"/>
  <c r="BA59" i="45" s="1"/>
  <c r="AC13" i="62"/>
  <c r="BG52" i="45"/>
  <c r="BE110" i="34"/>
  <c r="BC47" i="45" s="1"/>
  <c r="BE142" i="34"/>
  <c r="AY94" i="34"/>
  <c r="AW45" i="45" s="1"/>
  <c r="AX90" i="34"/>
  <c r="AV46" i="45" s="1"/>
  <c r="AX143" i="34"/>
  <c r="BE52" i="45"/>
  <c r="BB52" i="45"/>
  <c r="BJ137" i="34"/>
  <c r="AV52" i="45"/>
  <c r="BJ141" i="34"/>
  <c r="BI52" i="45"/>
  <c r="AU52" i="45"/>
  <c r="AY52" i="45"/>
  <c r="BJ52" i="45"/>
  <c r="BN52" i="45"/>
  <c r="BD52" i="45"/>
  <c r="AW52" i="45"/>
  <c r="BM52" i="45"/>
  <c r="BA52" i="45"/>
  <c r="AX52" i="45"/>
  <c r="BB142" i="34"/>
  <c r="BB138" i="34"/>
  <c r="BB110" i="34"/>
  <c r="AZ47" i="45" s="1"/>
  <c r="BK52" i="45"/>
  <c r="BF137" i="34"/>
  <c r="BF94" i="34"/>
  <c r="BD45" i="45" s="1"/>
  <c r="BF141" i="34"/>
  <c r="AW142" i="34"/>
  <c r="AU51" i="45" s="1"/>
  <c r="AW138" i="34"/>
  <c r="AU50" i="45" s="1"/>
  <c r="AW110" i="34"/>
  <c r="AU47" i="45" s="1"/>
  <c r="AU43" i="45" s="1"/>
  <c r="BJ110" i="34"/>
  <c r="BH47" i="45" s="1"/>
  <c r="BJ138" i="34"/>
  <c r="BJ142" i="34"/>
  <c r="BA138" i="34"/>
  <c r="AY50" i="45" s="1"/>
  <c r="BA142" i="34"/>
  <c r="BA110" i="34"/>
  <c r="AY47" i="45" s="1"/>
  <c r="BD138" i="34"/>
  <c r="BD142" i="34"/>
  <c r="BD110" i="34"/>
  <c r="BB47" i="45" s="1"/>
  <c r="BL52" i="45"/>
  <c r="BK142" i="34"/>
  <c r="BK138" i="34"/>
  <c r="BK110" i="34"/>
  <c r="BI47" i="45" s="1"/>
  <c r="BC141" i="34"/>
  <c r="BC137" i="34"/>
  <c r="BC94" i="34"/>
  <c r="BA45" i="45" s="1"/>
  <c r="BI138" i="34"/>
  <c r="BG50" i="45" s="1"/>
  <c r="BI142" i="34"/>
  <c r="BI110" i="34"/>
  <c r="BG47" i="45" s="1"/>
  <c r="BH138" i="34"/>
  <c r="BH142" i="34"/>
  <c r="BH110" i="34"/>
  <c r="BF47" i="45" s="1"/>
  <c r="BM142" i="34"/>
  <c r="BM138" i="34"/>
  <c r="BK50" i="45" s="1"/>
  <c r="BM110" i="34"/>
  <c r="BK47" i="45" s="1"/>
  <c r="AY142" i="34"/>
  <c r="AY110" i="34"/>
  <c r="AW47" i="45" s="1"/>
  <c r="AY138" i="34"/>
  <c r="AW50" i="45" s="1"/>
  <c r="AZ52" i="45"/>
  <c r="BB137" i="34"/>
  <c r="BB141" i="34"/>
  <c r="BB94" i="34"/>
  <c r="AZ45" i="45" s="1"/>
  <c r="BF142" i="34"/>
  <c r="BF110" i="34"/>
  <c r="BD47" i="45" s="1"/>
  <c r="BF138" i="34"/>
  <c r="AZ94" i="34"/>
  <c r="AX45" i="45" s="1"/>
  <c r="AZ137" i="34"/>
  <c r="AZ141" i="34"/>
  <c r="AX137" i="34"/>
  <c r="AX94" i="34"/>
  <c r="AV45" i="45" s="1"/>
  <c r="AX141" i="34"/>
  <c r="BK141" i="34"/>
  <c r="BK94" i="34"/>
  <c r="BI45" i="45" s="1"/>
  <c r="BK137" i="34"/>
  <c r="BN138" i="34"/>
  <c r="BN142" i="34"/>
  <c r="BN110" i="34"/>
  <c r="BL47" i="45" s="1"/>
  <c r="BO142" i="34"/>
  <c r="BO110" i="34"/>
  <c r="BM47" i="45" s="1"/>
  <c r="BO138" i="34"/>
  <c r="BP142" i="34"/>
  <c r="BP110" i="34"/>
  <c r="BN47" i="45" s="1"/>
  <c r="BP138" i="34"/>
  <c r="BO141" i="34"/>
  <c r="BO94" i="34"/>
  <c r="BM45" i="45" s="1"/>
  <c r="BO137" i="34"/>
  <c r="BL110" i="34"/>
  <c r="BJ47" i="45" s="1"/>
  <c r="BL138" i="34"/>
  <c r="BJ50" i="45" s="1"/>
  <c r="BL142" i="34"/>
  <c r="BC110" i="34"/>
  <c r="BA47" i="45" s="1"/>
  <c r="BC138" i="34"/>
  <c r="BC142" i="34"/>
  <c r="BE137" i="34"/>
  <c r="BC50" i="45" s="1"/>
  <c r="BE94" i="34"/>
  <c r="BC45" i="45" s="1"/>
  <c r="BE141" i="34"/>
  <c r="BH141" i="34"/>
  <c r="BH137" i="34"/>
  <c r="BH94" i="34"/>
  <c r="BF45" i="45" s="1"/>
  <c r="BP141" i="34"/>
  <c r="BP94" i="34"/>
  <c r="BN45" i="45" s="1"/>
  <c r="BP137" i="34"/>
  <c r="BD137" i="34"/>
  <c r="BD141" i="34"/>
  <c r="BD94" i="34"/>
  <c r="BB45" i="45" s="1"/>
  <c r="AZ142" i="34"/>
  <c r="AZ138" i="34"/>
  <c r="AZ110" i="34"/>
  <c r="AX47" i="45" s="1"/>
  <c r="AX142" i="34"/>
  <c r="AX138" i="34"/>
  <c r="AX110" i="34"/>
  <c r="AV47" i="45" s="1"/>
  <c r="BG142" i="34"/>
  <c r="BG110" i="34"/>
  <c r="BE47" i="45" s="1"/>
  <c r="BG138" i="34"/>
  <c r="BE50" i="45" s="1"/>
  <c r="BN141" i="34"/>
  <c r="BN137" i="34"/>
  <c r="BN94" i="34"/>
  <c r="BL45" i="45" s="1"/>
  <c r="BC71" i="45" l="1"/>
  <c r="AW71" i="45"/>
  <c r="BN71" i="45"/>
  <c r="BK71" i="45"/>
  <c r="BH71" i="45"/>
  <c r="BE71" i="45"/>
  <c r="BM71" i="45"/>
  <c r="BL71" i="45"/>
  <c r="BJ71" i="45"/>
  <c r="BI71" i="45"/>
  <c r="AZ71" i="45"/>
  <c r="BF71" i="45"/>
  <c r="BG71" i="45"/>
  <c r="BD71" i="45"/>
  <c r="AU71" i="45"/>
  <c r="BA71" i="45"/>
  <c r="BB71" i="45"/>
  <c r="AV71" i="45"/>
  <c r="AY71" i="45"/>
  <c r="AX71" i="45"/>
  <c r="BL67" i="45"/>
  <c r="AN41" i="62"/>
  <c r="BK67" i="45"/>
  <c r="AM41" i="62"/>
  <c r="AX67" i="45"/>
  <c r="Z41" i="62"/>
  <c r="BD67" i="45"/>
  <c r="AF41" i="62"/>
  <c r="AU67" i="45"/>
  <c r="W41" i="62"/>
  <c r="AZ67" i="45"/>
  <c r="AB41" i="62"/>
  <c r="BA67" i="45"/>
  <c r="AC41" i="62"/>
  <c r="BN67" i="45"/>
  <c r="AP41" i="62"/>
  <c r="BI67" i="45"/>
  <c r="AK41" i="62"/>
  <c r="BB67" i="45"/>
  <c r="AD41" i="62"/>
  <c r="BG67" i="45"/>
  <c r="AI41" i="62"/>
  <c r="BM67" i="45"/>
  <c r="AO41" i="62"/>
  <c r="BJ67" i="45"/>
  <c r="AL41" i="62"/>
  <c r="BE67" i="45"/>
  <c r="AG41" i="62"/>
  <c r="AW67" i="45"/>
  <c r="Y41" i="62"/>
  <c r="AY67" i="45"/>
  <c r="AA41" i="62"/>
  <c r="AV67" i="45"/>
  <c r="X41" i="62"/>
  <c r="AU65" i="45"/>
  <c r="W39" i="62"/>
  <c r="BH50" i="45"/>
  <c r="AY90" i="34"/>
  <c r="AW46" i="45" s="1"/>
  <c r="AW43" i="45" s="1"/>
  <c r="AY143" i="34"/>
  <c r="AW51" i="45" s="1"/>
  <c r="AW49" i="45" s="1"/>
  <c r="BF50" i="45"/>
  <c r="BI50" i="45"/>
  <c r="BL50" i="45"/>
  <c r="BN50" i="45"/>
  <c r="BM50" i="45"/>
  <c r="BB50" i="45"/>
  <c r="AZ50" i="45"/>
  <c r="AU49" i="45"/>
  <c r="AV43" i="45"/>
  <c r="AV50" i="45"/>
  <c r="BA50" i="45"/>
  <c r="AV51" i="45"/>
  <c r="AX50" i="45"/>
  <c r="BD50" i="45"/>
  <c r="AV65" i="45" l="1"/>
  <c r="X39" i="62"/>
  <c r="AW66" i="45"/>
  <c r="Y40" i="62"/>
  <c r="AU66" i="45"/>
  <c r="W40" i="62"/>
  <c r="AW65" i="45"/>
  <c r="Y39" i="62"/>
  <c r="AZ90" i="34"/>
  <c r="AX46" i="45" s="1"/>
  <c r="AX43" i="45" s="1"/>
  <c r="AZ143" i="34"/>
  <c r="AX51" i="45" s="1"/>
  <c r="AX49" i="45" s="1"/>
  <c r="AV49" i="45"/>
  <c r="AV66" i="45" l="1"/>
  <c r="X40" i="62"/>
  <c r="AX66" i="45"/>
  <c r="Z40" i="62"/>
  <c r="AX65" i="45"/>
  <c r="Z39" i="62"/>
  <c r="BA143" i="34"/>
  <c r="AY51" i="45" s="1"/>
  <c r="AY49" i="45" s="1"/>
  <c r="BA90" i="34"/>
  <c r="AY46" i="45" s="1"/>
  <c r="AY43" i="45" s="1"/>
  <c r="AY66" i="45" l="1"/>
  <c r="AA40" i="62"/>
  <c r="AY65" i="45"/>
  <c r="AA39" i="62"/>
  <c r="BB143" i="34"/>
  <c r="AZ51" i="45" s="1"/>
  <c r="AZ49" i="45" s="1"/>
  <c r="BB90" i="34"/>
  <c r="AZ46" i="45" s="1"/>
  <c r="AZ43" i="45" s="1"/>
  <c r="AZ65" i="45" l="1"/>
  <c r="AB39" i="62"/>
  <c r="AZ66" i="45"/>
  <c r="AB40" i="62"/>
  <c r="BC143" i="34"/>
  <c r="BA51" i="45" s="1"/>
  <c r="BA49" i="45" s="1"/>
  <c r="BC90" i="34"/>
  <c r="BA46" i="45" s="1"/>
  <c r="BA43" i="45" s="1"/>
  <c r="BA65" i="45" l="1"/>
  <c r="AC39" i="62"/>
  <c r="BA66" i="45"/>
  <c r="AC40" i="62"/>
  <c r="BD90" i="34"/>
  <c r="BB46" i="45" s="1"/>
  <c r="BB43" i="45" s="1"/>
  <c r="BD143" i="34"/>
  <c r="BB51" i="45" s="1"/>
  <c r="BB49" i="45" s="1"/>
  <c r="BB66" i="45" l="1"/>
  <c r="AD40" i="62"/>
  <c r="BB65" i="45"/>
  <c r="AD39" i="62"/>
  <c r="BE90" i="34"/>
  <c r="BC46" i="45" s="1"/>
  <c r="BC43" i="45" s="1"/>
  <c r="BE143" i="34"/>
  <c r="BC51" i="45" s="1"/>
  <c r="BC49" i="45" s="1"/>
  <c r="BC66" i="45" l="1"/>
  <c r="AE40" i="62"/>
  <c r="BC65" i="45"/>
  <c r="AE39" i="62"/>
  <c r="BF143" i="34"/>
  <c r="BD51" i="45" s="1"/>
  <c r="BD49" i="45" s="1"/>
  <c r="BF90" i="34"/>
  <c r="BD46" i="45" s="1"/>
  <c r="BD43" i="45" s="1"/>
  <c r="BD65" i="45" l="1"/>
  <c r="AF39" i="62"/>
  <c r="BD66" i="45"/>
  <c r="AF40" i="62"/>
  <c r="BG143" i="34"/>
  <c r="BE51" i="45" s="1"/>
  <c r="BE49" i="45" s="1"/>
  <c r="BG90" i="34"/>
  <c r="BE46" i="45" s="1"/>
  <c r="BE43" i="45" s="1"/>
  <c r="BE65" i="45" l="1"/>
  <c r="AG39" i="62"/>
  <c r="BE66" i="45"/>
  <c r="AG40" i="62"/>
  <c r="BH90" i="34"/>
  <c r="BF46" i="45" s="1"/>
  <c r="BF43" i="45" s="1"/>
  <c r="BH143" i="34"/>
  <c r="BF51" i="45" s="1"/>
  <c r="BF49" i="45" s="1"/>
  <c r="BF66" i="45" l="1"/>
  <c r="AH40" i="62"/>
  <c r="BF65" i="45"/>
  <c r="AH39" i="62"/>
  <c r="BI143" i="34"/>
  <c r="BG51" i="45" s="1"/>
  <c r="BG49" i="45" s="1"/>
  <c r="BI90" i="34"/>
  <c r="BG46" i="45" s="1"/>
  <c r="BG43" i="45" s="1"/>
  <c r="BG66" i="45" l="1"/>
  <c r="AI40" i="62"/>
  <c r="BG65" i="45"/>
  <c r="AI39" i="62"/>
  <c r="BJ143" i="34"/>
  <c r="BH51" i="45" s="1"/>
  <c r="BH49" i="45" s="1"/>
  <c r="BJ90" i="34"/>
  <c r="BH46" i="45" s="1"/>
  <c r="BH43" i="45" s="1"/>
  <c r="BH65" i="45" l="1"/>
  <c r="AJ39" i="62"/>
  <c r="BH66" i="45"/>
  <c r="AJ40" i="62"/>
  <c r="BK143" i="34"/>
  <c r="BI51" i="45" s="1"/>
  <c r="BI49" i="45" s="1"/>
  <c r="BK90" i="34"/>
  <c r="BI46" i="45" s="1"/>
  <c r="BI43" i="45" s="1"/>
  <c r="BI66" i="45" l="1"/>
  <c r="AK40" i="62"/>
  <c r="BI65" i="45"/>
  <c r="AK39" i="62"/>
  <c r="BL90" i="34"/>
  <c r="BJ46" i="45" s="1"/>
  <c r="BJ43" i="45" s="1"/>
  <c r="BL143" i="34"/>
  <c r="BJ51" i="45" s="1"/>
  <c r="BJ49" i="45" s="1"/>
  <c r="BJ66" i="45" l="1"/>
  <c r="AL40" i="62"/>
  <c r="BJ65" i="45"/>
  <c r="AL39" i="62"/>
  <c r="BM90" i="34"/>
  <c r="BK46" i="45" s="1"/>
  <c r="BK43" i="45" s="1"/>
  <c r="BM143" i="34"/>
  <c r="BK51" i="45" s="1"/>
  <c r="BK49" i="45" s="1"/>
  <c r="BK66" i="45" l="1"/>
  <c r="AM40" i="62"/>
  <c r="BK65" i="45"/>
  <c r="AM39" i="62"/>
  <c r="BN143" i="34"/>
  <c r="BL51" i="45" s="1"/>
  <c r="BL49" i="45" s="1"/>
  <c r="BN90" i="34"/>
  <c r="BL46" i="45" s="1"/>
  <c r="BL43" i="45" s="1"/>
  <c r="BL65" i="45" l="1"/>
  <c r="AN39" i="62"/>
  <c r="BL66" i="45"/>
  <c r="AN40" i="62"/>
  <c r="BO143" i="34"/>
  <c r="BM51" i="45" s="1"/>
  <c r="BM49" i="45" s="1"/>
  <c r="BO90" i="34"/>
  <c r="BM46" i="45" s="1"/>
  <c r="BM43" i="45" s="1"/>
  <c r="BP90" i="34"/>
  <c r="BN46" i="45" s="1"/>
  <c r="BN43" i="45" s="1"/>
  <c r="BP143" i="34"/>
  <c r="BN51" i="45" s="1"/>
  <c r="BN49" i="45" s="1"/>
  <c r="BN65" i="45" l="1"/>
  <c r="AP39" i="62"/>
  <c r="BM65" i="45"/>
  <c r="AO39" i="62"/>
  <c r="BN66" i="45"/>
  <c r="AP40" i="62"/>
  <c r="BM66" i="45"/>
  <c r="AO40" i="62"/>
  <c r="AD123" i="34" l="1"/>
  <c r="AB48" i="45" s="1"/>
  <c r="AD144" i="34" l="1"/>
  <c r="AB43" i="45" l="1"/>
  <c r="AB51" i="45"/>
  <c r="AB49" i="45" s="1"/>
  <c r="AB66" i="45" l="1"/>
  <c r="D40" i="62"/>
  <c r="D39" i="62"/>
  <c r="AB65" i="45"/>
  <c r="BL82" i="34" l="1"/>
  <c r="BJ38" i="45" s="1"/>
  <c r="AL34" i="62" s="1"/>
  <c r="BL66" i="34"/>
  <c r="BJ31" i="45" s="1"/>
  <c r="AL28" i="62" s="1"/>
  <c r="AI56" i="34"/>
  <c r="AI72" i="34"/>
  <c r="AG60" i="34"/>
  <c r="AG76" i="34"/>
  <c r="AG64" i="34"/>
  <c r="AG80" i="34"/>
  <c r="AI61" i="34"/>
  <c r="AI77" i="34"/>
  <c r="AG55" i="34"/>
  <c r="AG71" i="34"/>
  <c r="AH79" i="34"/>
  <c r="AH63" i="34"/>
  <c r="AI59" i="34"/>
  <c r="AI75" i="34"/>
  <c r="AG85" i="34"/>
  <c r="AE40" i="45" s="1"/>
  <c r="G36" i="62" s="1"/>
  <c r="AG69" i="34"/>
  <c r="AE33" i="45" s="1"/>
  <c r="G30" i="62" s="1"/>
  <c r="AI74" i="34"/>
  <c r="AI58" i="34"/>
  <c r="BM82" i="34"/>
  <c r="BK38" i="45" s="1"/>
  <c r="AM34" i="62" s="1"/>
  <c r="BM66" i="34"/>
  <c r="BK31" i="45" s="1"/>
  <c r="AM28" i="62" s="1"/>
  <c r="AW82" i="34"/>
  <c r="AU38" i="45" s="1"/>
  <c r="W34" i="62" s="1"/>
  <c r="AW66" i="34"/>
  <c r="AU31" i="45" s="1"/>
  <c r="W28" i="62" s="1"/>
  <c r="BN82" i="34"/>
  <c r="BL38" i="45" s="1"/>
  <c r="AN34" i="62" s="1"/>
  <c r="BN66" i="34"/>
  <c r="BL31" i="45" s="1"/>
  <c r="AN28" i="62" s="1"/>
  <c r="AK82" i="34"/>
  <c r="AI38" i="45" s="1"/>
  <c r="K34" i="62" s="1"/>
  <c r="AK66" i="34"/>
  <c r="AI31" i="45" s="1"/>
  <c r="K28" i="62" s="1"/>
  <c r="AD79" i="34"/>
  <c r="AD63" i="34"/>
  <c r="AG56" i="34"/>
  <c r="AG72" i="34"/>
  <c r="AE67" i="34"/>
  <c r="AE83" i="34"/>
  <c r="AH64" i="34"/>
  <c r="AH80" i="34"/>
  <c r="AH61" i="34"/>
  <c r="AH77" i="34"/>
  <c r="AH67" i="34"/>
  <c r="AH83" i="34"/>
  <c r="AD61" i="34"/>
  <c r="AD77" i="34"/>
  <c r="AE58" i="34"/>
  <c r="AE74" i="34"/>
  <c r="AP66" i="34"/>
  <c r="AN31" i="45" s="1"/>
  <c r="P28" i="62" s="1"/>
  <c r="AP82" i="34"/>
  <c r="AN38" i="45" s="1"/>
  <c r="P34" i="62" s="1"/>
  <c r="AZ82" i="34"/>
  <c r="AX38" i="45" s="1"/>
  <c r="Z34" i="62" s="1"/>
  <c r="AZ66" i="34"/>
  <c r="AX31" i="45" s="1"/>
  <c r="Z28" i="62" s="1"/>
  <c r="AR82" i="34"/>
  <c r="AP38" i="45" s="1"/>
  <c r="R34" i="62" s="1"/>
  <c r="AR66" i="34"/>
  <c r="AP31" i="45" s="1"/>
  <c r="R28" i="62" s="1"/>
  <c r="BC82" i="34"/>
  <c r="BA38" i="45" s="1"/>
  <c r="AC34" i="62" s="1"/>
  <c r="BC66" i="34"/>
  <c r="BA31" i="45" s="1"/>
  <c r="AC28" i="62" s="1"/>
  <c r="AI78" i="34"/>
  <c r="AI62" i="34"/>
  <c r="AD56" i="34"/>
  <c r="AD72" i="34"/>
  <c r="AD80" i="34"/>
  <c r="AD64" i="34"/>
  <c r="AD54" i="34"/>
  <c r="AD70" i="34"/>
  <c r="AI79" i="34"/>
  <c r="AI63" i="34"/>
  <c r="AD59" i="34"/>
  <c r="AD75" i="34"/>
  <c r="AD68" i="34"/>
  <c r="AD84" i="34"/>
  <c r="AG75" i="34"/>
  <c r="AG59" i="34"/>
  <c r="AH81" i="34"/>
  <c r="AH65" i="34"/>
  <c r="AE85" i="34"/>
  <c r="AC40" i="45" s="1"/>
  <c r="E36" i="62" s="1"/>
  <c r="AE69" i="34"/>
  <c r="AC33" i="45" s="1"/>
  <c r="E30" i="62" s="1"/>
  <c r="BA66" i="34"/>
  <c r="AY31" i="45" s="1"/>
  <c r="AA28" i="62" s="1"/>
  <c r="BA82" i="34"/>
  <c r="AY38" i="45" s="1"/>
  <c r="AA34" i="62" s="1"/>
  <c r="AU66" i="34"/>
  <c r="AS31" i="45" s="1"/>
  <c r="U28" i="62" s="1"/>
  <c r="AU82" i="34"/>
  <c r="AS38" i="45" s="1"/>
  <c r="U34" i="62" s="1"/>
  <c r="BJ82" i="34"/>
  <c r="BH38" i="45" s="1"/>
  <c r="AJ34" i="62" s="1"/>
  <c r="BJ66" i="34"/>
  <c r="BH31" i="45" s="1"/>
  <c r="AJ28" i="62" s="1"/>
  <c r="AI54" i="34"/>
  <c r="AI70" i="34"/>
  <c r="AD58" i="34"/>
  <c r="AD74" i="34"/>
  <c r="AE76" i="34"/>
  <c r="AE60" i="34"/>
  <c r="AI55" i="34"/>
  <c r="AI71" i="34"/>
  <c r="AI83" i="34"/>
  <c r="AI67" i="34"/>
  <c r="AG57" i="34"/>
  <c r="AG73" i="34"/>
  <c r="AE72" i="34"/>
  <c r="AE56" i="34"/>
  <c r="AI81" i="34"/>
  <c r="AI65" i="34"/>
  <c r="AD78" i="34"/>
  <c r="AD62" i="34"/>
  <c r="AE59" i="34"/>
  <c r="AE75" i="34"/>
  <c r="AE62" i="34"/>
  <c r="AE78" i="34"/>
  <c r="AD69" i="34"/>
  <c r="AB33" i="45" s="1"/>
  <c r="D30" i="62" s="1"/>
  <c r="AD85" i="34"/>
  <c r="AB40" i="45" s="1"/>
  <c r="D36" i="62" s="1"/>
  <c r="AV82" i="34"/>
  <c r="AT38" i="45" s="1"/>
  <c r="V34" i="62" s="1"/>
  <c r="AV66" i="34"/>
  <c r="AT31" i="45" s="1"/>
  <c r="V28" i="62" s="1"/>
  <c r="BG82" i="34"/>
  <c r="BE38" i="45" s="1"/>
  <c r="AG34" i="62" s="1"/>
  <c r="BG66" i="34"/>
  <c r="BE31" i="45" s="1"/>
  <c r="AG28" i="62" s="1"/>
  <c r="AN66" i="34"/>
  <c r="AL31" i="45" s="1"/>
  <c r="N28" i="62" s="1"/>
  <c r="AN82" i="34"/>
  <c r="AL38" i="45" s="1"/>
  <c r="N34" i="62" s="1"/>
  <c r="BB66" i="34"/>
  <c r="AZ31" i="45" s="1"/>
  <c r="AB28" i="62" s="1"/>
  <c r="BB82" i="34"/>
  <c r="AZ38" i="45" s="1"/>
  <c r="AB34" i="62" s="1"/>
  <c r="AI82" i="34"/>
  <c r="AG38" i="45" s="1"/>
  <c r="I34" i="62" s="1"/>
  <c r="AI66" i="34"/>
  <c r="AG31" i="45" s="1"/>
  <c r="I28" i="62" s="1"/>
  <c r="AH60" i="34"/>
  <c r="AH76" i="34"/>
  <c r="AG70" i="34"/>
  <c r="AG54" i="34"/>
  <c r="AI57" i="34"/>
  <c r="AI73" i="34"/>
  <c r="AD60" i="34"/>
  <c r="AD76" i="34"/>
  <c r="AE55" i="34"/>
  <c r="AE71" i="34"/>
  <c r="AH56" i="34"/>
  <c r="AH72" i="34"/>
  <c r="AI69" i="34"/>
  <c r="AG33" i="45" s="1"/>
  <c r="I30" i="62" s="1"/>
  <c r="AI85" i="34"/>
  <c r="AG40" i="45" s="1"/>
  <c r="I36" i="62" s="1"/>
  <c r="AH58" i="34"/>
  <c r="AH74" i="34"/>
  <c r="AI68" i="34"/>
  <c r="AI84" i="34"/>
  <c r="AG65" i="34"/>
  <c r="AG81" i="34"/>
  <c r="BE82" i="34"/>
  <c r="BC38" i="45" s="1"/>
  <c r="AE34" i="62" s="1"/>
  <c r="BE66" i="34"/>
  <c r="BC31" i="45" s="1"/>
  <c r="AE28" i="62" s="1"/>
  <c r="BP82" i="34"/>
  <c r="BN38" i="45" s="1"/>
  <c r="AP34" i="62" s="1"/>
  <c r="BP66" i="34"/>
  <c r="BN31" i="45" s="1"/>
  <c r="AP28" i="62" s="1"/>
  <c r="AG82" i="34"/>
  <c r="AE38" i="45" s="1"/>
  <c r="G34" i="62" s="1"/>
  <c r="AG66" i="34"/>
  <c r="AE31" i="45" s="1"/>
  <c r="G28" i="62" s="1"/>
  <c r="AG58" i="34"/>
  <c r="AG74" i="34"/>
  <c r="AE61" i="34"/>
  <c r="AE77" i="34"/>
  <c r="AI60" i="34"/>
  <c r="AI76" i="34"/>
  <c r="AD83" i="34"/>
  <c r="AD67" i="34"/>
  <c r="AI64" i="34"/>
  <c r="AI80" i="34"/>
  <c r="AG67" i="34"/>
  <c r="AG83" i="34"/>
  <c r="AH55" i="34"/>
  <c r="AH71" i="34"/>
  <c r="AE81" i="34"/>
  <c r="AE65" i="34"/>
  <c r="AE63" i="34"/>
  <c r="AE79" i="34"/>
  <c r="AJ82" i="34"/>
  <c r="AH38" i="45" s="1"/>
  <c r="J34" i="62" s="1"/>
  <c r="AJ66" i="34"/>
  <c r="AH31" i="45" s="1"/>
  <c r="J28" i="62" s="1"/>
  <c r="BD66" i="34"/>
  <c r="BB31" i="45" s="1"/>
  <c r="AD28" i="62" s="1"/>
  <c r="BD82" i="34"/>
  <c r="BB38" i="45" s="1"/>
  <c r="AD34" i="62" s="1"/>
  <c r="BK82" i="34"/>
  <c r="BI38" i="45" s="1"/>
  <c r="AK34" i="62" s="1"/>
  <c r="BK66" i="34"/>
  <c r="BI31" i="45" s="1"/>
  <c r="AK28" i="62" s="1"/>
  <c r="AG78" i="34"/>
  <c r="AG62" i="34"/>
  <c r="AD66" i="34"/>
  <c r="AB31" i="45" s="1"/>
  <c r="D28" i="62" s="1"/>
  <c r="AD82" i="34"/>
  <c r="AB38" i="45" s="1"/>
  <c r="D34" i="62" s="1"/>
  <c r="AE70" i="34"/>
  <c r="AE54" i="34"/>
  <c r="AH73" i="34"/>
  <c r="AH57" i="34"/>
  <c r="AG61" i="34"/>
  <c r="AG77" i="34"/>
  <c r="AG68" i="34"/>
  <c r="AG84" i="34"/>
  <c r="AH78" i="34"/>
  <c r="AH62" i="34"/>
  <c r="AE84" i="34"/>
  <c r="AE68" i="34"/>
  <c r="AD81" i="34"/>
  <c r="AD65" i="34"/>
  <c r="AO82" i="34"/>
  <c r="AM38" i="45" s="1"/>
  <c r="O34" i="62" s="1"/>
  <c r="AO66" i="34"/>
  <c r="AM31" i="45" s="1"/>
  <c r="O28" i="62" s="1"/>
  <c r="BI82" i="34"/>
  <c r="BG38" i="45" s="1"/>
  <c r="AI34" i="62" s="1"/>
  <c r="BI66" i="34"/>
  <c r="BG31" i="45" s="1"/>
  <c r="AI28" i="62" s="1"/>
  <c r="BF82" i="34"/>
  <c r="BD38" i="45" s="1"/>
  <c r="AF34" i="62" s="1"/>
  <c r="BF66" i="34"/>
  <c r="BD31" i="45" s="1"/>
  <c r="AF28" i="62" s="1"/>
  <c r="AM82" i="34"/>
  <c r="AK38" i="45" s="1"/>
  <c r="M34" i="62" s="1"/>
  <c r="AM66" i="34"/>
  <c r="AK31" i="45" s="1"/>
  <c r="M28" i="62" s="1"/>
  <c r="AQ82" i="34"/>
  <c r="AO38" i="45" s="1"/>
  <c r="Q34" i="62" s="1"/>
  <c r="AQ66" i="34"/>
  <c r="AO31" i="45" s="1"/>
  <c r="Q28" i="62" s="1"/>
  <c r="AE66" i="34"/>
  <c r="AC31" i="45" s="1"/>
  <c r="E28" i="62" s="1"/>
  <c r="AE82" i="34"/>
  <c r="AC38" i="45" s="1"/>
  <c r="E34" i="62" s="1"/>
  <c r="AH85" i="34"/>
  <c r="AF40" i="45" s="1"/>
  <c r="H36" i="62" s="1"/>
  <c r="AH69" i="34"/>
  <c r="AF33" i="45" s="1"/>
  <c r="H30" i="62" s="1"/>
  <c r="AD71" i="34"/>
  <c r="AD55" i="34"/>
  <c r="AE57" i="34"/>
  <c r="AE73" i="34"/>
  <c r="AE80" i="34"/>
  <c r="AE64" i="34"/>
  <c r="AH54" i="34"/>
  <c r="AH70" i="34"/>
  <c r="AD73" i="34"/>
  <c r="AD57" i="34"/>
  <c r="AH68" i="34"/>
  <c r="AH84" i="34"/>
  <c r="AH75" i="34"/>
  <c r="AH59" i="34"/>
  <c r="AG79" i="34"/>
  <c r="AG63" i="34"/>
  <c r="AH82" i="34"/>
  <c r="AF38" i="45" s="1"/>
  <c r="H34" i="62" s="1"/>
  <c r="AH66" i="34"/>
  <c r="AF31" i="45" s="1"/>
  <c r="H28" i="62" s="1"/>
  <c r="BH82" i="34"/>
  <c r="BF38" i="45" s="1"/>
  <c r="AH34" i="62" s="1"/>
  <c r="BH66" i="34"/>
  <c r="BF31" i="45" s="1"/>
  <c r="AH28" i="62" s="1"/>
  <c r="BO82" i="34"/>
  <c r="BM38" i="45" s="1"/>
  <c r="AO34" i="62" s="1"/>
  <c r="BO66" i="34"/>
  <c r="BM31" i="45" s="1"/>
  <c r="AO28" i="62" s="1"/>
  <c r="AY66" i="34"/>
  <c r="AW31" i="45" s="1"/>
  <c r="Y28" i="62" s="1"/>
  <c r="AY82" i="34"/>
  <c r="AW38" i="45" s="1"/>
  <c r="Y34" i="62" s="1"/>
  <c r="AT66" i="34"/>
  <c r="AR31" i="45" s="1"/>
  <c r="T28" i="62" s="1"/>
  <c r="AT82" i="34"/>
  <c r="AR38" i="45" s="1"/>
  <c r="T34" i="62" s="1"/>
  <c r="AX66" i="34"/>
  <c r="AV31" i="45" s="1"/>
  <c r="X28" i="62" s="1"/>
  <c r="AX82" i="34"/>
  <c r="AV38" i="45" s="1"/>
  <c r="X34" i="62" s="1"/>
  <c r="AF65" i="34"/>
  <c r="AF81" i="34"/>
  <c r="AF82" i="34"/>
  <c r="AD38" i="45" s="1"/>
  <c r="F34" i="62" s="1"/>
  <c r="AF66" i="34"/>
  <c r="AD31" i="45" s="1"/>
  <c r="F28" i="62" s="1"/>
  <c r="AF69" i="34"/>
  <c r="AD33" i="45" s="1"/>
  <c r="F30" i="62" s="1"/>
  <c r="AF85" i="34"/>
  <c r="AD40" i="45" s="1"/>
  <c r="F36" i="62" s="1"/>
  <c r="AF71" i="34"/>
  <c r="AF55" i="34"/>
  <c r="AF84" i="34"/>
  <c r="AF68" i="34"/>
  <c r="AF57" i="34"/>
  <c r="AF73" i="34"/>
  <c r="AF77" i="34"/>
  <c r="AF61" i="34"/>
  <c r="AF67" i="34"/>
  <c r="AF83" i="34"/>
  <c r="AF63" i="34"/>
  <c r="AF79" i="34"/>
  <c r="AF59" i="34"/>
  <c r="AF75" i="34"/>
  <c r="AF78" i="34"/>
  <c r="AF62" i="34"/>
  <c r="AF74" i="34"/>
  <c r="AF58" i="34"/>
  <c r="AF70" i="34"/>
  <c r="AF54" i="34"/>
  <c r="AF76" i="34"/>
  <c r="AF60" i="34"/>
  <c r="AF64" i="34"/>
  <c r="AF80" i="34"/>
  <c r="AF72" i="34"/>
  <c r="AF56" i="34"/>
  <c r="AB39" i="45" l="1"/>
  <c r="D35" i="62" s="1"/>
  <c r="AE30" i="45"/>
  <c r="G27" i="62" s="1"/>
  <c r="AB32" i="45"/>
  <c r="D29" i="62" s="1"/>
  <c r="AE35" i="45"/>
  <c r="G31" i="62" s="1"/>
  <c r="AE37" i="45"/>
  <c r="G33" i="62" s="1"/>
  <c r="AF28" i="45"/>
  <c r="AE28" i="45"/>
  <c r="AF35" i="45"/>
  <c r="H31" i="62" s="1"/>
  <c r="AC28" i="45"/>
  <c r="AC37" i="45"/>
  <c r="E33" i="62" s="1"/>
  <c r="AE36" i="45"/>
  <c r="G32" i="62" s="1"/>
  <c r="AF36" i="45"/>
  <c r="H32" i="62" s="1"/>
  <c r="BE85" i="34"/>
  <c r="BC40" i="45" s="1"/>
  <c r="AE36" i="62" s="1"/>
  <c r="BE69" i="34"/>
  <c r="BC33" i="45" s="1"/>
  <c r="AE30" i="62" s="1"/>
  <c r="AW73" i="34"/>
  <c r="AW57" i="34"/>
  <c r="AO83" i="34"/>
  <c r="AO67" i="34"/>
  <c r="BH70" i="34"/>
  <c r="BH54" i="34"/>
  <c r="AU78" i="34"/>
  <c r="AU62" i="34"/>
  <c r="BM83" i="34"/>
  <c r="BM67" i="34"/>
  <c r="BP76" i="34"/>
  <c r="BP60" i="34"/>
  <c r="BL76" i="34"/>
  <c r="BL60" i="34"/>
  <c r="AU76" i="34"/>
  <c r="AU60" i="34"/>
  <c r="BP78" i="34"/>
  <c r="BP62" i="34"/>
  <c r="BB73" i="34"/>
  <c r="BB57" i="34"/>
  <c r="BB56" i="34"/>
  <c r="BB72" i="34"/>
  <c r="AZ70" i="34"/>
  <c r="AZ54" i="34"/>
  <c r="AN80" i="34"/>
  <c r="AN64" i="34"/>
  <c r="AW80" i="34"/>
  <c r="AW64" i="34"/>
  <c r="BO83" i="34"/>
  <c r="BO67" i="34"/>
  <c r="AU83" i="34"/>
  <c r="AU67" i="34"/>
  <c r="BH73" i="34"/>
  <c r="BH57" i="34"/>
  <c r="BE80" i="34"/>
  <c r="BE64" i="34"/>
  <c r="AW72" i="34"/>
  <c r="AW56" i="34"/>
  <c r="BP73" i="34"/>
  <c r="BP57" i="34"/>
  <c r="BE81" i="34"/>
  <c r="BE65" i="34"/>
  <c r="AJ85" i="34"/>
  <c r="AH40" i="45" s="1"/>
  <c r="J36" i="62" s="1"/>
  <c r="AJ69" i="34"/>
  <c r="AH33" i="45" s="1"/>
  <c r="J30" i="62" s="1"/>
  <c r="AX79" i="34"/>
  <c r="AX63" i="34"/>
  <c r="BN85" i="34"/>
  <c r="BL40" i="45" s="1"/>
  <c r="AN36" i="62" s="1"/>
  <c r="BN69" i="34"/>
  <c r="BL33" i="45" s="1"/>
  <c r="AN30" i="62" s="1"/>
  <c r="BB79" i="34"/>
  <c r="BB63" i="34"/>
  <c r="AT85" i="34"/>
  <c r="AR40" i="45" s="1"/>
  <c r="T36" i="62" s="1"/>
  <c r="AT69" i="34"/>
  <c r="AR33" i="45" s="1"/>
  <c r="T30" i="62" s="1"/>
  <c r="AY69" i="34"/>
  <c r="AW33" i="45" s="1"/>
  <c r="Y30" i="62" s="1"/>
  <c r="AY85" i="34"/>
  <c r="AW40" i="45" s="1"/>
  <c r="Y36" i="62" s="1"/>
  <c r="AS79" i="34"/>
  <c r="AS63" i="34"/>
  <c r="AL81" i="34"/>
  <c r="AL65" i="34"/>
  <c r="AQ74" i="34"/>
  <c r="AQ58" i="34"/>
  <c r="AT78" i="34"/>
  <c r="AT62" i="34"/>
  <c r="BM73" i="34"/>
  <c r="BM57" i="34"/>
  <c r="AW81" i="34"/>
  <c r="AW65" i="34"/>
  <c r="BL71" i="34"/>
  <c r="BL55" i="34"/>
  <c r="BJ74" i="34"/>
  <c r="BJ58" i="34"/>
  <c r="BM75" i="34"/>
  <c r="BM59" i="34"/>
  <c r="AS78" i="34"/>
  <c r="AS62" i="34"/>
  <c r="BH75" i="34"/>
  <c r="BH59" i="34"/>
  <c r="BI83" i="34"/>
  <c r="BI67" i="34"/>
  <c r="AT80" i="34"/>
  <c r="AT64" i="34"/>
  <c r="BD76" i="34"/>
  <c r="BD60" i="34"/>
  <c r="BM84" i="34"/>
  <c r="BM68" i="34"/>
  <c r="AS80" i="34"/>
  <c r="AS64" i="34"/>
  <c r="AX81" i="34"/>
  <c r="AX65" i="34"/>
  <c r="BE78" i="34"/>
  <c r="BE62" i="34"/>
  <c r="AK78" i="34"/>
  <c r="AK62" i="34"/>
  <c r="AZ75" i="34"/>
  <c r="AZ59" i="34"/>
  <c r="BB76" i="34"/>
  <c r="BB60" i="34"/>
  <c r="AN71" i="34"/>
  <c r="AN55" i="34"/>
  <c r="BA54" i="34"/>
  <c r="BA70" i="34"/>
  <c r="AN74" i="34"/>
  <c r="AN58" i="34"/>
  <c r="AN84" i="34"/>
  <c r="AN68" i="34"/>
  <c r="AO84" i="34"/>
  <c r="AO68" i="34"/>
  <c r="BH71" i="34"/>
  <c r="BH55" i="34"/>
  <c r="BN72" i="34"/>
  <c r="BN56" i="34"/>
  <c r="AS70" i="34"/>
  <c r="AS54" i="34"/>
  <c r="BH69" i="34"/>
  <c r="BF33" i="45" s="1"/>
  <c r="AH30" i="62" s="1"/>
  <c r="BH85" i="34"/>
  <c r="BF40" i="45" s="1"/>
  <c r="AH36" i="62" s="1"/>
  <c r="AL78" i="34"/>
  <c r="AL62" i="34"/>
  <c r="BA76" i="34"/>
  <c r="BA60" i="34"/>
  <c r="AG39" i="45"/>
  <c r="I35" i="62" s="1"/>
  <c r="AG28" i="45"/>
  <c r="AB28" i="45"/>
  <c r="AC29" i="45"/>
  <c r="E26" i="62" s="1"/>
  <c r="AF32" i="45"/>
  <c r="H29" i="62" s="1"/>
  <c r="AG36" i="45"/>
  <c r="I32" i="62" s="1"/>
  <c r="BK85" i="34"/>
  <c r="BI40" i="45" s="1"/>
  <c r="AK36" i="62" s="1"/>
  <c r="BK69" i="34"/>
  <c r="BI33" i="45" s="1"/>
  <c r="AK30" i="62" s="1"/>
  <c r="AZ80" i="34"/>
  <c r="AZ64" i="34"/>
  <c r="AY55" i="34"/>
  <c r="AY71" i="34"/>
  <c r="AO71" i="34"/>
  <c r="AO55" i="34"/>
  <c r="BI57" i="34"/>
  <c r="BI73" i="34"/>
  <c r="BN71" i="34"/>
  <c r="BN55" i="34"/>
  <c r="AN70" i="34"/>
  <c r="AN54" i="34"/>
  <c r="BG60" i="34"/>
  <c r="BG76" i="34"/>
  <c r="BC73" i="34"/>
  <c r="BC57" i="34"/>
  <c r="AS84" i="34"/>
  <c r="AS68" i="34"/>
  <c r="BM70" i="34"/>
  <c r="BM54" i="34"/>
  <c r="AQ72" i="34"/>
  <c r="AQ56" i="34"/>
  <c r="AR72" i="34"/>
  <c r="AR56" i="34"/>
  <c r="AP83" i="34"/>
  <c r="AP67" i="34"/>
  <c r="AX72" i="34"/>
  <c r="AX56" i="34"/>
  <c r="AT70" i="34"/>
  <c r="AT54" i="34"/>
  <c r="BO81" i="34"/>
  <c r="BO65" i="34"/>
  <c r="AY73" i="34"/>
  <c r="AY57" i="34"/>
  <c r="BJ83" i="34"/>
  <c r="BJ67" i="34"/>
  <c r="BF71" i="34"/>
  <c r="BF55" i="34"/>
  <c r="AJ72" i="34"/>
  <c r="AJ56" i="34"/>
  <c r="AT81" i="34"/>
  <c r="AT65" i="34"/>
  <c r="AN85" i="34"/>
  <c r="AL40" i="45" s="1"/>
  <c r="N36" i="62" s="1"/>
  <c r="AN69" i="34"/>
  <c r="AL33" i="45" s="1"/>
  <c r="N30" i="62" s="1"/>
  <c r="AQ81" i="34"/>
  <c r="AQ65" i="34"/>
  <c r="BF85" i="34"/>
  <c r="BD40" i="45" s="1"/>
  <c r="AF36" i="62" s="1"/>
  <c r="BF69" i="34"/>
  <c r="BD33" i="45" s="1"/>
  <c r="AF30" i="62" s="1"/>
  <c r="AP81" i="34"/>
  <c r="AP65" i="34"/>
  <c r="AW69" i="34"/>
  <c r="AU33" i="45" s="1"/>
  <c r="W30" i="62" s="1"/>
  <c r="AW85" i="34"/>
  <c r="AU40" i="45" s="1"/>
  <c r="W36" i="62" s="1"/>
  <c r="AZ85" i="34"/>
  <c r="AX40" i="45" s="1"/>
  <c r="Z36" i="62" s="1"/>
  <c r="AZ69" i="34"/>
  <c r="AX33" i="45" s="1"/>
  <c r="Z30" i="62" s="1"/>
  <c r="AO79" i="34"/>
  <c r="AO63" i="34"/>
  <c r="AQ79" i="34"/>
  <c r="AQ63" i="34"/>
  <c r="BO59" i="34"/>
  <c r="BO75" i="34"/>
  <c r="AP73" i="34"/>
  <c r="AP57" i="34"/>
  <c r="BG74" i="34"/>
  <c r="BG58" i="34"/>
  <c r="BC80" i="34"/>
  <c r="BC64" i="34"/>
  <c r="AO80" i="34"/>
  <c r="AO64" i="34"/>
  <c r="AN75" i="34"/>
  <c r="AN59" i="34"/>
  <c r="AV74" i="34"/>
  <c r="AV58" i="34"/>
  <c r="AX74" i="34"/>
  <c r="AX58" i="34"/>
  <c r="BD73" i="34"/>
  <c r="BD57" i="34"/>
  <c r="AJ54" i="34"/>
  <c r="AJ70" i="34"/>
  <c r="AX76" i="34"/>
  <c r="AX60" i="34"/>
  <c r="AL80" i="34"/>
  <c r="AL64" i="34"/>
  <c r="BC58" i="34"/>
  <c r="BC74" i="34"/>
  <c r="AY79" i="34"/>
  <c r="AY63" i="34"/>
  <c r="BK75" i="34"/>
  <c r="BK59" i="34"/>
  <c r="BP75" i="34"/>
  <c r="BP59" i="34"/>
  <c r="AJ80" i="34"/>
  <c r="AJ64" i="34"/>
  <c r="AK80" i="34"/>
  <c r="AK64" i="34"/>
  <c r="BM71" i="34"/>
  <c r="BM55" i="34"/>
  <c r="AW62" i="34"/>
  <c r="AW78" i="34"/>
  <c r="AY78" i="34"/>
  <c r="AY62" i="34"/>
  <c r="AO62" i="34"/>
  <c r="AO78" i="34"/>
  <c r="BA75" i="34"/>
  <c r="BA59" i="34"/>
  <c r="AW83" i="34"/>
  <c r="AW67" i="34"/>
  <c r="BL85" i="34"/>
  <c r="BJ40" i="45" s="1"/>
  <c r="AL36" i="62" s="1"/>
  <c r="BL69" i="34"/>
  <c r="BJ33" i="45" s="1"/>
  <c r="AL30" i="62" s="1"/>
  <c r="BB80" i="34"/>
  <c r="BB64" i="34"/>
  <c r="AV75" i="34"/>
  <c r="AV59" i="34"/>
  <c r="AV79" i="34"/>
  <c r="AV63" i="34"/>
  <c r="BH56" i="34"/>
  <c r="BH72" i="34"/>
  <c r="BC72" i="34"/>
  <c r="BC56" i="34"/>
  <c r="AK76" i="34"/>
  <c r="AK60" i="34"/>
  <c r="AX78" i="34"/>
  <c r="AX62" i="34"/>
  <c r="BF76" i="34"/>
  <c r="BF60" i="34"/>
  <c r="BN83" i="34"/>
  <c r="BN67" i="34"/>
  <c r="BM60" i="34"/>
  <c r="BM76" i="34"/>
  <c r="AO76" i="34"/>
  <c r="AO60" i="34"/>
  <c r="AY75" i="34"/>
  <c r="AY59" i="34"/>
  <c r="AK71" i="34"/>
  <c r="AK55" i="34"/>
  <c r="BI72" i="34"/>
  <c r="BI56" i="34"/>
  <c r="AW76" i="34"/>
  <c r="AW60" i="34"/>
  <c r="AR83" i="34"/>
  <c r="AR67" i="34"/>
  <c r="AK70" i="34"/>
  <c r="AK54" i="34"/>
  <c r="AT83" i="34"/>
  <c r="AT67" i="34"/>
  <c r="BG80" i="34"/>
  <c r="BG64" i="34"/>
  <c r="BJ73" i="34"/>
  <c r="BJ57" i="34"/>
  <c r="AO73" i="34"/>
  <c r="AO57" i="34"/>
  <c r="BP54" i="34"/>
  <c r="BP70" i="34"/>
  <c r="BG54" i="34"/>
  <c r="BG70" i="34"/>
  <c r="BI81" i="34"/>
  <c r="BI65" i="34"/>
  <c r="BI85" i="34"/>
  <c r="BG40" i="45" s="1"/>
  <c r="AI36" i="62" s="1"/>
  <c r="BI69" i="34"/>
  <c r="BG33" i="45" s="1"/>
  <c r="AI30" i="62" s="1"/>
  <c r="BF81" i="34"/>
  <c r="BF65" i="34"/>
  <c r="AK85" i="34"/>
  <c r="AI40" i="45" s="1"/>
  <c r="K36" i="62" s="1"/>
  <c r="AK69" i="34"/>
  <c r="AI33" i="45" s="1"/>
  <c r="K30" i="62" s="1"/>
  <c r="BH79" i="34"/>
  <c r="BH63" i="34"/>
  <c r="BH81" i="34"/>
  <c r="BH65" i="34"/>
  <c r="AX85" i="34"/>
  <c r="AV40" i="45" s="1"/>
  <c r="X36" i="62" s="1"/>
  <c r="AX69" i="34"/>
  <c r="AV33" i="45" s="1"/>
  <c r="X30" i="62" s="1"/>
  <c r="BE79" i="34"/>
  <c r="BC37" i="45" s="1"/>
  <c r="AE33" i="62" s="1"/>
  <c r="BE63" i="34"/>
  <c r="BK81" i="34"/>
  <c r="BK65" i="34"/>
  <c r="BL74" i="34"/>
  <c r="BL58" i="34"/>
  <c r="AR68" i="34"/>
  <c r="AR84" i="34"/>
  <c r="BI54" i="34"/>
  <c r="BI70" i="34"/>
  <c r="AU55" i="34"/>
  <c r="AU71" i="34"/>
  <c r="BC59" i="34"/>
  <c r="BC75" i="34"/>
  <c r="BJ81" i="34"/>
  <c r="BJ65" i="34"/>
  <c r="AK59" i="34"/>
  <c r="AK75" i="34"/>
  <c r="BO74" i="34"/>
  <c r="BO58" i="34"/>
  <c r="BF59" i="34"/>
  <c r="BF75" i="34"/>
  <c r="AX83" i="34"/>
  <c r="AX67" i="34"/>
  <c r="AN81" i="34"/>
  <c r="AN65" i="34"/>
  <c r="AK84" i="34"/>
  <c r="AK68" i="34"/>
  <c r="AU74" i="34"/>
  <c r="AU58" i="34"/>
  <c r="AU84" i="34"/>
  <c r="AU68" i="34"/>
  <c r="AY74" i="34"/>
  <c r="AY58" i="34"/>
  <c r="AT84" i="34"/>
  <c r="AT68" i="34"/>
  <c r="BM72" i="34"/>
  <c r="BM56" i="34"/>
  <c r="BC70" i="34"/>
  <c r="BC54" i="34"/>
  <c r="AM70" i="34"/>
  <c r="AM54" i="34"/>
  <c r="BK83" i="34"/>
  <c r="BK67" i="34"/>
  <c r="AS75" i="34"/>
  <c r="AS59" i="34"/>
  <c r="BH84" i="34"/>
  <c r="BH68" i="34"/>
  <c r="AN78" i="34"/>
  <c r="AN62" i="34"/>
  <c r="BB55" i="34"/>
  <c r="BB71" i="34"/>
  <c r="BB83" i="34"/>
  <c r="BB67" i="34"/>
  <c r="AN72" i="34"/>
  <c r="AN56" i="34"/>
  <c r="BI68" i="34"/>
  <c r="BI84" i="34"/>
  <c r="BO76" i="34"/>
  <c r="BO60" i="34"/>
  <c r="AD39" i="45"/>
  <c r="F35" i="62" s="1"/>
  <c r="AC35" i="45"/>
  <c r="AC30" i="45"/>
  <c r="E27" i="62" s="1"/>
  <c r="AE29" i="45"/>
  <c r="G26" i="62" s="1"/>
  <c r="AF29" i="45"/>
  <c r="H26" i="62" s="1"/>
  <c r="BI79" i="34"/>
  <c r="BI63" i="34"/>
  <c r="BK73" i="34"/>
  <c r="BK57" i="34"/>
  <c r="BJ72" i="34"/>
  <c r="BJ56" i="34"/>
  <c r="AP72" i="34"/>
  <c r="AP56" i="34"/>
  <c r="AU57" i="34"/>
  <c r="AU73" i="34"/>
  <c r="AM72" i="34"/>
  <c r="AM56" i="34"/>
  <c r="AX71" i="34"/>
  <c r="AX55" i="34"/>
  <c r="AJ76" i="34"/>
  <c r="AJ60" i="34"/>
  <c r="BI74" i="34"/>
  <c r="BI58" i="34"/>
  <c r="BG59" i="34"/>
  <c r="BG75" i="34"/>
  <c r="BC76" i="34"/>
  <c r="BC60" i="34"/>
  <c r="BF70" i="34"/>
  <c r="BF54" i="34"/>
  <c r="AJ77" i="34"/>
  <c r="AJ61" i="34"/>
  <c r="AZ72" i="34"/>
  <c r="AZ56" i="34"/>
  <c r="BI80" i="34"/>
  <c r="BI64" i="34"/>
  <c r="AL83" i="34"/>
  <c r="AL67" i="34"/>
  <c r="AU75" i="34"/>
  <c r="AU59" i="34"/>
  <c r="AP80" i="34"/>
  <c r="AP64" i="34"/>
  <c r="AW55" i="34"/>
  <c r="AW71" i="34"/>
  <c r="BH80" i="34"/>
  <c r="BH64" i="34"/>
  <c r="AP76" i="34"/>
  <c r="AP60" i="34"/>
  <c r="BN81" i="34"/>
  <c r="BN65" i="34"/>
  <c r="AJ81" i="34"/>
  <c r="AJ65" i="34"/>
  <c r="AU79" i="34"/>
  <c r="AU63" i="34"/>
  <c r="BO85" i="34"/>
  <c r="BM40" i="45" s="1"/>
  <c r="AO36" i="62" s="1"/>
  <c r="BO69" i="34"/>
  <c r="BM33" i="45" s="1"/>
  <c r="AO30" i="62" s="1"/>
  <c r="BC79" i="34"/>
  <c r="BC63" i="34"/>
  <c r="AM85" i="34"/>
  <c r="AK40" i="45" s="1"/>
  <c r="M36" i="62" s="1"/>
  <c r="AM69" i="34"/>
  <c r="AK33" i="45" s="1"/>
  <c r="M30" i="62" s="1"/>
  <c r="BJ69" i="34"/>
  <c r="BH33" i="45" s="1"/>
  <c r="AJ30" i="62" s="1"/>
  <c r="BJ85" i="34"/>
  <c r="BH40" i="45" s="1"/>
  <c r="AJ36" i="62" s="1"/>
  <c r="AP79" i="34"/>
  <c r="AP63" i="34"/>
  <c r="AS85" i="34"/>
  <c r="AQ40" i="45" s="1"/>
  <c r="S36" i="62" s="1"/>
  <c r="AS69" i="34"/>
  <c r="AQ33" i="45" s="1"/>
  <c r="S30" i="62" s="1"/>
  <c r="AR75" i="34"/>
  <c r="AR59" i="34"/>
  <c r="AP70" i="34"/>
  <c r="AP54" i="34"/>
  <c r="BG69" i="34"/>
  <c r="BE33" i="45" s="1"/>
  <c r="AG30" i="62" s="1"/>
  <c r="BG85" i="34"/>
  <c r="BE40" i="45" s="1"/>
  <c r="AG36" i="62" s="1"/>
  <c r="BL80" i="34"/>
  <c r="BL64" i="34"/>
  <c r="AQ71" i="34"/>
  <c r="AQ55" i="34"/>
  <c r="BA74" i="34"/>
  <c r="BA58" i="34"/>
  <c r="AZ78" i="34"/>
  <c r="AZ62" i="34"/>
  <c r="BC84" i="34"/>
  <c r="BC68" i="34"/>
  <c r="BD55" i="34"/>
  <c r="BD71" i="34"/>
  <c r="AZ71" i="34"/>
  <c r="AZ55" i="34"/>
  <c r="AS73" i="34"/>
  <c r="AS57" i="34"/>
  <c r="AT74" i="34"/>
  <c r="AT58" i="34"/>
  <c r="BL73" i="34"/>
  <c r="BL57" i="34"/>
  <c r="BA56" i="34"/>
  <c r="BA72" i="34"/>
  <c r="AP68" i="34"/>
  <c r="AP84" i="34"/>
  <c r="AQ78" i="34"/>
  <c r="AQ62" i="34"/>
  <c r="AT59" i="34"/>
  <c r="AT75" i="34"/>
  <c r="AX80" i="34"/>
  <c r="AX64" i="34"/>
  <c r="BG78" i="34"/>
  <c r="BG62" i="34"/>
  <c r="AX70" i="34"/>
  <c r="AX54" i="34"/>
  <c r="AR58" i="34"/>
  <c r="AR74" i="34"/>
  <c r="AR62" i="34"/>
  <c r="AR78" i="34"/>
  <c r="BL84" i="34"/>
  <c r="BL68" i="34"/>
  <c r="BJ70" i="34"/>
  <c r="BJ54" i="34"/>
  <c r="BK54" i="34"/>
  <c r="BK70" i="34"/>
  <c r="AO74" i="34"/>
  <c r="AO58" i="34"/>
  <c r="BN80" i="34"/>
  <c r="BN64" i="34"/>
  <c r="G25" i="62"/>
  <c r="AB36" i="45"/>
  <c r="D32" i="62" s="1"/>
  <c r="AG30" i="45"/>
  <c r="I27" i="62" s="1"/>
  <c r="AC39" i="45"/>
  <c r="E35" i="62" s="1"/>
  <c r="AB30" i="45"/>
  <c r="D27" i="62" s="1"/>
  <c r="AF30" i="45"/>
  <c r="H27" i="62" s="1"/>
  <c r="AD32" i="45"/>
  <c r="F29" i="62" s="1"/>
  <c r="AE39" i="45"/>
  <c r="G35" i="62" s="1"/>
  <c r="AO81" i="34"/>
  <c r="AO65" i="34"/>
  <c r="BN73" i="34"/>
  <c r="BN57" i="34"/>
  <c r="AN73" i="34"/>
  <c r="AN57" i="34"/>
  <c r="AO54" i="34"/>
  <c r="AO70" i="34"/>
  <c r="AJ71" i="34"/>
  <c r="AJ55" i="34"/>
  <c r="AS72" i="34"/>
  <c r="AS56" i="34"/>
  <c r="BA83" i="34"/>
  <c r="BA67" i="34"/>
  <c r="AM71" i="34"/>
  <c r="AM55" i="34"/>
  <c r="BI78" i="34"/>
  <c r="BI62" i="34"/>
  <c r="BE72" i="34"/>
  <c r="BE56" i="34"/>
  <c r="AM80" i="34"/>
  <c r="AM64" i="34"/>
  <c r="BD83" i="34"/>
  <c r="BD67" i="34"/>
  <c r="BE71" i="34"/>
  <c r="BE55" i="34"/>
  <c r="AY76" i="34"/>
  <c r="AY60" i="34"/>
  <c r="BP83" i="34"/>
  <c r="BP67" i="34"/>
  <c r="BK71" i="34"/>
  <c r="BK55" i="34"/>
  <c r="AK72" i="34"/>
  <c r="AK56" i="34"/>
  <c r="AQ70" i="34"/>
  <c r="AQ54" i="34"/>
  <c r="BC83" i="34"/>
  <c r="BC67" i="34"/>
  <c r="BM80" i="34"/>
  <c r="BM64" i="34"/>
  <c r="AS76" i="34"/>
  <c r="AS60" i="34"/>
  <c r="AO85" i="34"/>
  <c r="AM40" i="45" s="1"/>
  <c r="O36" i="62" s="1"/>
  <c r="AO69" i="34"/>
  <c r="AM33" i="45" s="1"/>
  <c r="O30" i="62" s="1"/>
  <c r="BP81" i="34"/>
  <c r="BP65" i="34"/>
  <c r="AM63" i="34"/>
  <c r="AM79" i="34"/>
  <c r="BP79" i="34"/>
  <c r="BP63" i="34"/>
  <c r="BN79" i="34"/>
  <c r="BN63" i="34"/>
  <c r="AL85" i="34"/>
  <c r="AJ40" i="45" s="1"/>
  <c r="L36" i="62" s="1"/>
  <c r="AL69" i="34"/>
  <c r="AJ33" i="45" s="1"/>
  <c r="L30" i="62" s="1"/>
  <c r="AJ79" i="34"/>
  <c r="AJ63" i="34"/>
  <c r="AL79" i="34"/>
  <c r="AL63" i="34"/>
  <c r="BC85" i="34"/>
  <c r="BA40" i="45" s="1"/>
  <c r="AC36" i="62" s="1"/>
  <c r="BC69" i="34"/>
  <c r="BA33" i="45" s="1"/>
  <c r="AC30" i="62" s="1"/>
  <c r="BG84" i="34"/>
  <c r="BG68" i="34"/>
  <c r="AS71" i="34"/>
  <c r="AS55" i="34"/>
  <c r="BN70" i="34"/>
  <c r="BN54" i="34"/>
  <c r="AW59" i="34"/>
  <c r="AW75" i="34"/>
  <c r="BD84" i="34"/>
  <c r="BD68" i="34"/>
  <c r="BB58" i="34"/>
  <c r="BB74" i="34"/>
  <c r="AV78" i="34"/>
  <c r="AV62" i="34"/>
  <c r="BO78" i="34"/>
  <c r="BO62" i="34"/>
  <c r="AL72" i="34"/>
  <c r="AL56" i="34"/>
  <c r="BF83" i="34"/>
  <c r="BF67" i="34"/>
  <c r="BI71" i="34"/>
  <c r="BI55" i="34"/>
  <c r="AU81" i="34"/>
  <c r="AU65" i="34"/>
  <c r="AL68" i="34"/>
  <c r="AL84" i="34"/>
  <c r="AX84" i="34"/>
  <c r="AX68" i="34"/>
  <c r="BE58" i="34"/>
  <c r="BE74" i="34"/>
  <c r="AP75" i="34"/>
  <c r="AP59" i="34"/>
  <c r="BK62" i="34"/>
  <c r="BK78" i="34"/>
  <c r="BH83" i="34"/>
  <c r="BH67" i="34"/>
  <c r="BG55" i="34"/>
  <c r="BG71" i="34"/>
  <c r="BM81" i="34"/>
  <c r="BM65" i="34"/>
  <c r="AY80" i="34"/>
  <c r="AY64" i="34"/>
  <c r="AY84" i="34"/>
  <c r="AY68" i="34"/>
  <c r="BC78" i="34"/>
  <c r="BC62" i="34"/>
  <c r="BA78" i="34"/>
  <c r="BA62" i="34"/>
  <c r="AO72" i="34"/>
  <c r="AO56" i="34"/>
  <c r="AM60" i="34"/>
  <c r="AM76" i="34"/>
  <c r="BE76" i="34"/>
  <c r="BE60" i="34"/>
  <c r="AZ58" i="34"/>
  <c r="AZ74" i="34"/>
  <c r="BM78" i="34"/>
  <c r="BM62" i="34"/>
  <c r="AB29" i="45"/>
  <c r="D26" i="62" s="1"/>
  <c r="AG37" i="45"/>
  <c r="I33" i="62" s="1"/>
  <c r="AC32" i="45"/>
  <c r="E29" i="62" s="1"/>
  <c r="AB37" i="45"/>
  <c r="D33" i="62" s="1"/>
  <c r="AF37" i="45"/>
  <c r="H33" i="62" s="1"/>
  <c r="BK79" i="34"/>
  <c r="BK63" i="34"/>
  <c r="AY72" i="34"/>
  <c r="AY56" i="34"/>
  <c r="AZ76" i="34"/>
  <c r="AZ60" i="34"/>
  <c r="BH74" i="34"/>
  <c r="BH58" i="34"/>
  <c r="AZ83" i="34"/>
  <c r="AZ67" i="34"/>
  <c r="BI76" i="34"/>
  <c r="BI60" i="34"/>
  <c r="BJ60" i="34"/>
  <c r="BJ76" i="34"/>
  <c r="AM83" i="34"/>
  <c r="AM67" i="34"/>
  <c r="BP84" i="34"/>
  <c r="BP68" i="34"/>
  <c r="BF73" i="34"/>
  <c r="BF57" i="34"/>
  <c r="AR80" i="34"/>
  <c r="AR64" i="34"/>
  <c r="AK83" i="34"/>
  <c r="AK67" i="34"/>
  <c r="AL73" i="34"/>
  <c r="AL57" i="34"/>
  <c r="AJ73" i="34"/>
  <c r="AJ57" i="34"/>
  <c r="AN83" i="34"/>
  <c r="AL39" i="45" s="1"/>
  <c r="N35" i="62" s="1"/>
  <c r="AN67" i="34"/>
  <c r="BL83" i="34"/>
  <c r="BL67" i="34"/>
  <c r="AQ57" i="34"/>
  <c r="AQ73" i="34"/>
  <c r="AR70" i="34"/>
  <c r="AR54" i="34"/>
  <c r="BE83" i="34"/>
  <c r="BE67" i="34"/>
  <c r="BK80" i="34"/>
  <c r="BK64" i="34"/>
  <c r="AV76" i="34"/>
  <c r="AV60" i="34"/>
  <c r="BA85" i="34"/>
  <c r="AY40" i="45" s="1"/>
  <c r="AA36" i="62" s="1"/>
  <c r="BA69" i="34"/>
  <c r="AY33" i="45" s="1"/>
  <c r="AA30" i="62" s="1"/>
  <c r="BA79" i="34"/>
  <c r="BA63" i="34"/>
  <c r="BA81" i="34"/>
  <c r="BA65" i="34"/>
  <c r="BL79" i="34"/>
  <c r="BL63" i="34"/>
  <c r="AR81" i="34"/>
  <c r="AR65" i="34"/>
  <c r="AU85" i="34"/>
  <c r="AS40" i="45" s="1"/>
  <c r="U36" i="62" s="1"/>
  <c r="AU69" i="34"/>
  <c r="AS33" i="45" s="1"/>
  <c r="U30" i="62" s="1"/>
  <c r="BM85" i="34"/>
  <c r="BK40" i="45" s="1"/>
  <c r="AM36" i="62" s="1"/>
  <c r="BM69" i="34"/>
  <c r="BK33" i="45" s="1"/>
  <c r="AM30" i="62" s="1"/>
  <c r="AY81" i="34"/>
  <c r="AY65" i="34"/>
  <c r="AS81" i="34"/>
  <c r="AS65" i="34"/>
  <c r="BB78" i="34"/>
  <c r="BB62" i="34"/>
  <c r="AV81" i="34"/>
  <c r="AV65" i="34"/>
  <c r="BG72" i="34"/>
  <c r="BG56" i="34"/>
  <c r="BE75" i="34"/>
  <c r="BE59" i="34"/>
  <c r="BD74" i="34"/>
  <c r="BD58" i="34"/>
  <c r="AK74" i="34"/>
  <c r="AK58" i="34"/>
  <c r="BI75" i="34"/>
  <c r="BI59" i="34"/>
  <c r="BL75" i="34"/>
  <c r="BL59" i="34"/>
  <c r="AP55" i="34"/>
  <c r="AP71" i="34"/>
  <c r="BB70" i="34"/>
  <c r="BB54" i="34"/>
  <c r="AM73" i="34"/>
  <c r="AM57" i="34"/>
  <c r="BG81" i="34"/>
  <c r="BG65" i="34"/>
  <c r="BF74" i="34"/>
  <c r="BF58" i="34"/>
  <c r="BF84" i="34"/>
  <c r="BF68" i="34"/>
  <c r="AM74" i="34"/>
  <c r="AM58" i="34"/>
  <c r="AO75" i="34"/>
  <c r="AO59" i="34"/>
  <c r="AR57" i="34"/>
  <c r="AR73" i="34"/>
  <c r="BL81" i="34"/>
  <c r="BL65" i="34"/>
  <c r="AV71" i="34"/>
  <c r="AV55" i="34"/>
  <c r="BN75" i="34"/>
  <c r="BN59" i="34"/>
  <c r="BB75" i="34"/>
  <c r="BB59" i="34"/>
  <c r="BF78" i="34"/>
  <c r="BF62" i="34"/>
  <c r="BO54" i="34"/>
  <c r="BO70" i="34"/>
  <c r="BG73" i="34"/>
  <c r="BG57" i="34"/>
  <c r="BA84" i="34"/>
  <c r="BA68" i="34"/>
  <c r="BK56" i="34"/>
  <c r="BK72" i="34"/>
  <c r="BN76" i="34"/>
  <c r="BN60" i="34"/>
  <c r="AL82" i="34"/>
  <c r="AJ38" i="45" s="1"/>
  <c r="L34" i="62" s="1"/>
  <c r="AL66" i="34"/>
  <c r="AJ31" i="45" s="1"/>
  <c r="L28" i="62" s="1"/>
  <c r="AM81" i="34"/>
  <c r="AM65" i="34"/>
  <c r="BA80" i="34"/>
  <c r="BA64" i="34"/>
  <c r="AV70" i="34"/>
  <c r="AV54" i="34"/>
  <c r="AL60" i="34"/>
  <c r="AL76" i="34"/>
  <c r="AK73" i="34"/>
  <c r="AK57" i="34"/>
  <c r="BO73" i="34"/>
  <c r="BO57" i="34"/>
  <c r="AS83" i="34"/>
  <c r="AS67" i="34"/>
  <c r="BJ80" i="34"/>
  <c r="BJ64" i="34"/>
  <c r="BM74" i="34"/>
  <c r="BM58" i="34"/>
  <c r="AW84" i="34"/>
  <c r="AW68" i="34"/>
  <c r="BE70" i="34"/>
  <c r="BE54" i="34"/>
  <c r="AV72" i="34"/>
  <c r="AV56" i="34"/>
  <c r="AY70" i="34"/>
  <c r="AY54" i="34"/>
  <c r="AY83" i="34"/>
  <c r="AY67" i="34"/>
  <c r="BK84" i="34"/>
  <c r="BK68" i="34"/>
  <c r="AW54" i="34"/>
  <c r="AW70" i="34"/>
  <c r="AW74" i="34"/>
  <c r="AW58" i="34"/>
  <c r="BD80" i="34"/>
  <c r="BD64" i="34"/>
  <c r="AV80" i="34"/>
  <c r="AV64" i="34"/>
  <c r="AV73" i="34"/>
  <c r="AV57" i="34"/>
  <c r="AQ80" i="34"/>
  <c r="AQ64" i="34"/>
  <c r="BG63" i="34"/>
  <c r="BG79" i="34"/>
  <c r="BM79" i="34"/>
  <c r="BM63" i="34"/>
  <c r="AK81" i="34"/>
  <c r="AK65" i="34"/>
  <c r="AR79" i="34"/>
  <c r="AR63" i="34"/>
  <c r="AK79" i="34"/>
  <c r="AK63" i="34"/>
  <c r="BB85" i="34"/>
  <c r="AZ40" i="45" s="1"/>
  <c r="AB36" i="62" s="1"/>
  <c r="BB69" i="34"/>
  <c r="AZ33" i="45" s="1"/>
  <c r="AB30" i="62" s="1"/>
  <c r="AV85" i="34"/>
  <c r="AT40" i="45" s="1"/>
  <c r="V36" i="62" s="1"/>
  <c r="AV69" i="34"/>
  <c r="AT33" i="45" s="1"/>
  <c r="V30" i="62" s="1"/>
  <c r="AT79" i="34"/>
  <c r="AR37" i="45" s="1"/>
  <c r="T33" i="62" s="1"/>
  <c r="AT63" i="34"/>
  <c r="BP85" i="34"/>
  <c r="BN40" i="45" s="1"/>
  <c r="AP36" i="62" s="1"/>
  <c r="BP69" i="34"/>
  <c r="BN33" i="45" s="1"/>
  <c r="AP30" i="62" s="1"/>
  <c r="BJ84" i="34"/>
  <c r="BJ68" i="34"/>
  <c r="BD72" i="34"/>
  <c r="BD56" i="34"/>
  <c r="AL71" i="34"/>
  <c r="AL55" i="34"/>
  <c r="BB81" i="34"/>
  <c r="BB65" i="34"/>
  <c r="BF72" i="34"/>
  <c r="BF56" i="34"/>
  <c r="BN74" i="34"/>
  <c r="BN58" i="34"/>
  <c r="BN78" i="34"/>
  <c r="BN62" i="34"/>
  <c r="BJ75" i="34"/>
  <c r="BJ59" i="34"/>
  <c r="BN68" i="34"/>
  <c r="BN84" i="34"/>
  <c r="BK76" i="34"/>
  <c r="BK60" i="34"/>
  <c r="BP74" i="34"/>
  <c r="BP58" i="34"/>
  <c r="BO72" i="34"/>
  <c r="BO56" i="34"/>
  <c r="AN60" i="34"/>
  <c r="AN76" i="34"/>
  <c r="AL58" i="34"/>
  <c r="AL74" i="34"/>
  <c r="AQ59" i="34"/>
  <c r="AQ75" i="34"/>
  <c r="BB84" i="34"/>
  <c r="BB68" i="34"/>
  <c r="AZ32" i="45" s="1"/>
  <c r="AB29" i="62" s="1"/>
  <c r="AL70" i="34"/>
  <c r="AL54" i="34"/>
  <c r="BP71" i="34"/>
  <c r="BP55" i="34"/>
  <c r="AJ59" i="34"/>
  <c r="AJ75" i="34"/>
  <c r="AM78" i="34"/>
  <c r="AM62" i="34"/>
  <c r="AS74" i="34"/>
  <c r="AS58" i="34"/>
  <c r="AQ84" i="34"/>
  <c r="AQ68" i="34"/>
  <c r="BP72" i="34"/>
  <c r="BP56" i="34"/>
  <c r="AX73" i="34"/>
  <c r="AX57" i="34"/>
  <c r="AZ73" i="34"/>
  <c r="AZ57" i="34"/>
  <c r="AZ81" i="34"/>
  <c r="AZ65" i="34"/>
  <c r="AQ85" i="34"/>
  <c r="AO40" i="45" s="1"/>
  <c r="Q36" i="62" s="1"/>
  <c r="AQ69" i="34"/>
  <c r="AO33" i="45" s="1"/>
  <c r="Q30" i="62" s="1"/>
  <c r="AU70" i="34"/>
  <c r="AU54" i="34"/>
  <c r="AF27" i="45"/>
  <c r="AF61" i="45" s="1"/>
  <c r="H25" i="62"/>
  <c r="AE32" i="45"/>
  <c r="G29" i="62" s="1"/>
  <c r="AS82" i="34"/>
  <c r="AQ38" i="45" s="1"/>
  <c r="S34" i="62" s="1"/>
  <c r="AS66" i="34"/>
  <c r="AQ31" i="45" s="1"/>
  <c r="S28" i="62" s="1"/>
  <c r="AJ68" i="34"/>
  <c r="AJ84" i="34"/>
  <c r="BL72" i="34"/>
  <c r="BL56" i="34"/>
  <c r="AU72" i="34"/>
  <c r="AU56" i="34"/>
  <c r="BH78" i="34"/>
  <c r="BH62" i="34"/>
  <c r="BH76" i="34"/>
  <c r="BH60" i="34"/>
  <c r="BG67" i="34"/>
  <c r="BG83" i="34"/>
  <c r="AT57" i="34"/>
  <c r="AT73" i="34"/>
  <c r="AR76" i="34"/>
  <c r="AR60" i="34"/>
  <c r="AJ78" i="34"/>
  <c r="AJ62" i="34"/>
  <c r="AT71" i="34"/>
  <c r="AT55" i="34"/>
  <c r="BA73" i="34"/>
  <c r="BA57" i="34"/>
  <c r="BA71" i="34"/>
  <c r="BA55" i="34"/>
  <c r="BF80" i="34"/>
  <c r="BF64" i="34"/>
  <c r="AQ67" i="34"/>
  <c r="AQ83" i="34"/>
  <c r="BE57" i="34"/>
  <c r="BE73" i="34"/>
  <c r="AU80" i="34"/>
  <c r="AU64" i="34"/>
  <c r="BC71" i="34"/>
  <c r="BC55" i="34"/>
  <c r="AT72" i="34"/>
  <c r="AT56" i="34"/>
  <c r="BO71" i="34"/>
  <c r="BO55" i="34"/>
  <c r="AQ76" i="34"/>
  <c r="AQ60" i="34"/>
  <c r="BJ79" i="34"/>
  <c r="BJ63" i="34"/>
  <c r="AZ79" i="34"/>
  <c r="AZ63" i="34"/>
  <c r="BF79" i="34"/>
  <c r="BF63" i="34"/>
  <c r="BD85" i="34"/>
  <c r="BB40" i="45" s="1"/>
  <c r="AD36" i="62" s="1"/>
  <c r="BD69" i="34"/>
  <c r="BB33" i="45" s="1"/>
  <c r="AD30" i="62" s="1"/>
  <c r="AN79" i="34"/>
  <c r="AN63" i="34"/>
  <c r="BO79" i="34"/>
  <c r="BO63" i="34"/>
  <c r="AR85" i="34"/>
  <c r="AP40" i="45" s="1"/>
  <c r="R36" i="62" s="1"/>
  <c r="AR69" i="34"/>
  <c r="AP33" i="45" s="1"/>
  <c r="R30" i="62" s="1"/>
  <c r="AW79" i="34"/>
  <c r="AW63" i="34"/>
  <c r="BD79" i="34"/>
  <c r="BD63" i="34"/>
  <c r="BK74" i="34"/>
  <c r="BK58" i="34"/>
  <c r="AV84" i="34"/>
  <c r="AV68" i="34"/>
  <c r="BD54" i="34"/>
  <c r="BD70" i="34"/>
  <c r="AJ74" i="34"/>
  <c r="AJ58" i="34"/>
  <c r="BO84" i="34"/>
  <c r="BM39" i="45" s="1"/>
  <c r="AO35" i="62" s="1"/>
  <c r="BO68" i="34"/>
  <c r="AV83" i="34"/>
  <c r="AV67" i="34"/>
  <c r="AT32" i="45" s="1"/>
  <c r="V29" i="62" s="1"/>
  <c r="AM59" i="34"/>
  <c r="AM75" i="34"/>
  <c r="AX75" i="34"/>
  <c r="AX59" i="34"/>
  <c r="AM68" i="34"/>
  <c r="AM84" i="34"/>
  <c r="AR71" i="34"/>
  <c r="AR55" i="34"/>
  <c r="BJ71" i="34"/>
  <c r="BJ55" i="34"/>
  <c r="BD81" i="34"/>
  <c r="BD65" i="34"/>
  <c r="BD62" i="34"/>
  <c r="BD78" i="34"/>
  <c r="AZ84" i="34"/>
  <c r="AZ68" i="34"/>
  <c r="AP74" i="34"/>
  <c r="AP58" i="34"/>
  <c r="BJ78" i="34"/>
  <c r="BJ62" i="34"/>
  <c r="AP62" i="34"/>
  <c r="AP78" i="34"/>
  <c r="AJ83" i="34"/>
  <c r="AJ67" i="34"/>
  <c r="AP85" i="34"/>
  <c r="AN40" i="45" s="1"/>
  <c r="P36" i="62" s="1"/>
  <c r="AP69" i="34"/>
  <c r="AN33" i="45" s="1"/>
  <c r="P30" i="62" s="1"/>
  <c r="BP80" i="34"/>
  <c r="BP64" i="34"/>
  <c r="BO80" i="34"/>
  <c r="BO64" i="34"/>
  <c r="BE84" i="34"/>
  <c r="BE68" i="34"/>
  <c r="BD75" i="34"/>
  <c r="BD59" i="34"/>
  <c r="BL78" i="34"/>
  <c r="BL62" i="34"/>
  <c r="BL54" i="34"/>
  <c r="BL70" i="34"/>
  <c r="AT76" i="34"/>
  <c r="AT60" i="34"/>
  <c r="AL75" i="34"/>
  <c r="AL59" i="34"/>
  <c r="BC81" i="34"/>
  <c r="BC65" i="34"/>
  <c r="AG32" i="45"/>
  <c r="I29" i="62" s="1"/>
  <c r="AG35" i="45"/>
  <c r="AB35" i="45"/>
  <c r="AC36" i="45"/>
  <c r="E32" i="62" s="1"/>
  <c r="AF39" i="45"/>
  <c r="H35" i="62" s="1"/>
  <c r="AG29" i="45"/>
  <c r="I26" i="62" s="1"/>
  <c r="AD28" i="45"/>
  <c r="F25" i="62" s="1"/>
  <c r="AD35" i="45"/>
  <c r="F31" i="62" s="1"/>
  <c r="AD29" i="45"/>
  <c r="F26" i="62" s="1"/>
  <c r="AD36" i="45"/>
  <c r="F32" i="62" s="1"/>
  <c r="AD37" i="45"/>
  <c r="F33" i="62" s="1"/>
  <c r="AD30" i="45"/>
  <c r="F27" i="62" s="1"/>
  <c r="AO32" i="45" l="1"/>
  <c r="Q29" i="62" s="1"/>
  <c r="BK39" i="45"/>
  <c r="AM35" i="62" s="1"/>
  <c r="AY39" i="45"/>
  <c r="AA35" i="62" s="1"/>
  <c r="BN39" i="45"/>
  <c r="AP35" i="62" s="1"/>
  <c r="AI32" i="45"/>
  <c r="K29" i="62" s="1"/>
  <c r="BE39" i="45"/>
  <c r="AG35" i="62" s="1"/>
  <c r="BC32" i="45"/>
  <c r="AE29" i="62" s="1"/>
  <c r="AX32" i="45"/>
  <c r="Z29" i="62" s="1"/>
  <c r="AL30" i="45"/>
  <c r="N27" i="62" s="1"/>
  <c r="BD30" i="45"/>
  <c r="AF27" i="62" s="1"/>
  <c r="AU28" i="45"/>
  <c r="W25" i="62" s="1"/>
  <c r="AJ30" i="45"/>
  <c r="L27" i="62" s="1"/>
  <c r="AU30" i="45"/>
  <c r="W27" i="62" s="1"/>
  <c r="BF32" i="45"/>
  <c r="AH29" i="62" s="1"/>
  <c r="AV32" i="45"/>
  <c r="X29" i="62" s="1"/>
  <c r="BH30" i="45"/>
  <c r="AJ27" i="62" s="1"/>
  <c r="AW35" i="45"/>
  <c r="AH30" i="45"/>
  <c r="J27" i="62" s="1"/>
  <c r="BL30" i="45"/>
  <c r="AN27" i="62" s="1"/>
  <c r="AU35" i="45"/>
  <c r="W31" i="62" s="1"/>
  <c r="BJ32" i="45"/>
  <c r="AL29" i="62" s="1"/>
  <c r="BD37" i="45"/>
  <c r="AF33" i="62" s="1"/>
  <c r="AP30" i="45"/>
  <c r="R27" i="62" s="1"/>
  <c r="AU37" i="45"/>
  <c r="W33" i="62" s="1"/>
  <c r="AI37" i="45"/>
  <c r="K33" i="62" s="1"/>
  <c r="AZ35" i="45"/>
  <c r="AB31" i="62" s="1"/>
  <c r="AS39" i="45"/>
  <c r="U35" i="62" s="1"/>
  <c r="AM39" i="45"/>
  <c r="O35" i="62" s="1"/>
  <c r="AJ37" i="45"/>
  <c r="L33" i="62" s="1"/>
  <c r="AM32" i="45"/>
  <c r="O29" i="62" s="1"/>
  <c r="AH36" i="45"/>
  <c r="J32" i="62" s="1"/>
  <c r="AL37" i="45"/>
  <c r="N33" i="62" s="1"/>
  <c r="AR30" i="45"/>
  <c r="T27" i="62" s="1"/>
  <c r="AW28" i="45"/>
  <c r="Y25" i="62" s="1"/>
  <c r="AI30" i="45"/>
  <c r="K27" i="62" s="1"/>
  <c r="AU32" i="45"/>
  <c r="W29" i="62" s="1"/>
  <c r="AL32" i="45"/>
  <c r="N29" i="62" s="1"/>
  <c r="AS32" i="45"/>
  <c r="U29" i="62" s="1"/>
  <c r="AN30" i="45"/>
  <c r="P27" i="62" s="1"/>
  <c r="AJ35" i="45"/>
  <c r="L31" i="62" s="1"/>
  <c r="BB28" i="45"/>
  <c r="AD25" i="62" s="1"/>
  <c r="BC39" i="45"/>
  <c r="AE35" i="62" s="1"/>
  <c r="AH39" i="45"/>
  <c r="J35" i="62" s="1"/>
  <c r="AX39" i="45"/>
  <c r="Z35" i="62" s="1"/>
  <c r="BH37" i="45"/>
  <c r="AJ33" i="62" s="1"/>
  <c r="BK30" i="45"/>
  <c r="AM27" i="62" s="1"/>
  <c r="AZ28" i="45"/>
  <c r="AB25" i="62" s="1"/>
  <c r="AH37" i="45"/>
  <c r="J33" i="62" s="1"/>
  <c r="BL37" i="45"/>
  <c r="AN33" i="62" s="1"/>
  <c r="BJ35" i="45"/>
  <c r="AL31" i="62" s="1"/>
  <c r="AX30" i="45"/>
  <c r="Z27" i="62" s="1"/>
  <c r="BE37" i="45"/>
  <c r="AG33" i="62" s="1"/>
  <c r="AJ28" i="45"/>
  <c r="L25" i="62" s="1"/>
  <c r="BN32" i="45"/>
  <c r="AP29" i="62" s="1"/>
  <c r="BJ28" i="45"/>
  <c r="AL25" i="62" s="1"/>
  <c r="AH29" i="45"/>
  <c r="J26" i="62" s="1"/>
  <c r="AE34" i="45"/>
  <c r="AE62" i="45" s="1"/>
  <c r="AT39" i="45"/>
  <c r="V35" i="62" s="1"/>
  <c r="BB35" i="45"/>
  <c r="AD31" i="62" s="1"/>
  <c r="AO39" i="45"/>
  <c r="Q35" i="62" s="1"/>
  <c r="AP37" i="45"/>
  <c r="R33" i="62" s="1"/>
  <c r="BK37" i="45"/>
  <c r="AM33" i="62" s="1"/>
  <c r="BB32" i="45"/>
  <c r="AD29" i="62" s="1"/>
  <c r="BL28" i="45"/>
  <c r="AN25" i="62" s="1"/>
  <c r="BC30" i="45"/>
  <c r="AE27" i="62" s="1"/>
  <c r="AX37" i="45"/>
  <c r="Z33" i="62" s="1"/>
  <c r="AW32" i="45"/>
  <c r="Y29" i="62" s="1"/>
  <c r="AW39" i="45"/>
  <c r="Y35" i="62" s="1"/>
  <c r="AT28" i="45"/>
  <c r="V25" i="62" s="1"/>
  <c r="BB37" i="45"/>
  <c r="AD33" i="62" s="1"/>
  <c r="BC28" i="45"/>
  <c r="AP28" i="45"/>
  <c r="AK32" i="45"/>
  <c r="M29" i="62" s="1"/>
  <c r="BD39" i="45"/>
  <c r="AF35" i="62" s="1"/>
  <c r="AK30" i="45"/>
  <c r="M27" i="62" s="1"/>
  <c r="AO35" i="45"/>
  <c r="AM28" i="45"/>
  <c r="AE27" i="45"/>
  <c r="AE61" i="45" s="1"/>
  <c r="BH35" i="45"/>
  <c r="AV35" i="45"/>
  <c r="BA39" i="45"/>
  <c r="AC35" i="62" s="1"/>
  <c r="AN35" i="45"/>
  <c r="BA37" i="45"/>
  <c r="AC33" i="62" s="1"/>
  <c r="AS37" i="45"/>
  <c r="U33" i="62" s="1"/>
  <c r="AJ39" i="45"/>
  <c r="L35" i="62" s="1"/>
  <c r="BD35" i="45"/>
  <c r="AZ39" i="45"/>
  <c r="AB35" i="62" s="1"/>
  <c r="AK35" i="45"/>
  <c r="BG28" i="45"/>
  <c r="BE28" i="45"/>
  <c r="AI35" i="45"/>
  <c r="BL39" i="45"/>
  <c r="AN35" i="62" s="1"/>
  <c r="AT37" i="45"/>
  <c r="V33" i="62" s="1"/>
  <c r="AW30" i="45"/>
  <c r="Y27" i="62" s="1"/>
  <c r="AH35" i="45"/>
  <c r="AO30" i="45"/>
  <c r="Q27" i="62" s="1"/>
  <c r="AR28" i="45"/>
  <c r="AN32" i="45"/>
  <c r="P29" i="62" s="1"/>
  <c r="AQ32" i="45"/>
  <c r="S29" i="62" s="1"/>
  <c r="D25" i="62"/>
  <c r="AB27" i="45"/>
  <c r="AB61" i="45" s="1"/>
  <c r="BG39" i="45"/>
  <c r="AI35" i="62" s="1"/>
  <c r="AZ37" i="45"/>
  <c r="AB33" i="62" s="1"/>
  <c r="AV37" i="45"/>
  <c r="X33" i="62" s="1"/>
  <c r="BF35" i="45"/>
  <c r="D31" i="62"/>
  <c r="AB34" i="45"/>
  <c r="AB62" i="45" s="1"/>
  <c r="BM30" i="45"/>
  <c r="AO27" i="62" s="1"/>
  <c r="Y31" i="62"/>
  <c r="BC35" i="45"/>
  <c r="AT35" i="45"/>
  <c r="AP35" i="45"/>
  <c r="AK39" i="45"/>
  <c r="M35" i="62" s="1"/>
  <c r="BE32" i="45"/>
  <c r="AG29" i="62" s="1"/>
  <c r="BN30" i="45"/>
  <c r="AP27" i="62" s="1"/>
  <c r="AY32" i="45"/>
  <c r="AA29" i="62" s="1"/>
  <c r="BI35" i="45"/>
  <c r="BG30" i="45"/>
  <c r="AI27" i="62" s="1"/>
  <c r="BI32" i="45"/>
  <c r="AK29" i="62" s="1"/>
  <c r="BA28" i="45"/>
  <c r="BF30" i="45"/>
  <c r="AH27" i="62" s="1"/>
  <c r="BN35" i="45"/>
  <c r="AR32" i="45"/>
  <c r="T29" i="62" s="1"/>
  <c r="AP32" i="45"/>
  <c r="R29" i="62" s="1"/>
  <c r="AU39" i="45"/>
  <c r="W35" i="62" s="1"/>
  <c r="AW37" i="45"/>
  <c r="Y33" i="62" s="1"/>
  <c r="AH28" i="45"/>
  <c r="AO37" i="45"/>
  <c r="Q33" i="62" s="1"/>
  <c r="AR35" i="45"/>
  <c r="AN39" i="45"/>
  <c r="P35" i="62" s="1"/>
  <c r="AQ39" i="45"/>
  <c r="S35" i="62" s="1"/>
  <c r="I25" i="62"/>
  <c r="AG27" i="45"/>
  <c r="AG61" i="45" s="1"/>
  <c r="AQ28" i="45"/>
  <c r="AY35" i="45"/>
  <c r="AQ30" i="45"/>
  <c r="S27" i="62" s="1"/>
  <c r="AX28" i="45"/>
  <c r="I31" i="62"/>
  <c r="AG34" i="45"/>
  <c r="AG62" i="45" s="1"/>
  <c r="BM37" i="45"/>
  <c r="AO33" i="62" s="1"/>
  <c r="AS28" i="45"/>
  <c r="BM35" i="45"/>
  <c r="BJ30" i="45"/>
  <c r="AL27" i="62" s="1"/>
  <c r="AY30" i="45"/>
  <c r="AA27" i="62" s="1"/>
  <c r="BI30" i="45"/>
  <c r="AK27" i="62" s="1"/>
  <c r="BB39" i="45"/>
  <c r="AD35" i="62" s="1"/>
  <c r="BL35" i="45"/>
  <c r="BN37" i="45"/>
  <c r="AP33" i="62" s="1"/>
  <c r="BI28" i="45"/>
  <c r="BJ39" i="45"/>
  <c r="AL35" i="62" s="1"/>
  <c r="AN37" i="45"/>
  <c r="P33" i="62" s="1"/>
  <c r="E31" i="62"/>
  <c r="AC34" i="45"/>
  <c r="AC62" i="45" s="1"/>
  <c r="BF39" i="45"/>
  <c r="AH35" i="62" s="1"/>
  <c r="BI39" i="45"/>
  <c r="AK35" i="62" s="1"/>
  <c r="BA35" i="45"/>
  <c r="AI39" i="45"/>
  <c r="K35" i="62" s="1"/>
  <c r="AV39" i="45"/>
  <c r="X35" i="62" s="1"/>
  <c r="BF37" i="45"/>
  <c r="AH33" i="62" s="1"/>
  <c r="BG37" i="45"/>
  <c r="AI33" i="62" s="1"/>
  <c r="BN28" i="45"/>
  <c r="AR39" i="45"/>
  <c r="T35" i="62" s="1"/>
  <c r="AP39" i="45"/>
  <c r="R35" i="62" s="1"/>
  <c r="AM30" i="45"/>
  <c r="O27" i="62" s="1"/>
  <c r="BH32" i="45"/>
  <c r="AJ29" i="62" s="1"/>
  <c r="BK28" i="45"/>
  <c r="AL28" i="45"/>
  <c r="AQ35" i="45"/>
  <c r="AY28" i="45"/>
  <c r="AQ37" i="45"/>
  <c r="S33" i="62" s="1"/>
  <c r="AX35" i="45"/>
  <c r="AH32" i="45"/>
  <c r="J29" i="62" s="1"/>
  <c r="BB30" i="45"/>
  <c r="AD27" i="62" s="1"/>
  <c r="AS35" i="45"/>
  <c r="BE30" i="45"/>
  <c r="AG27" i="62" s="1"/>
  <c r="BM28" i="45"/>
  <c r="BJ37" i="45"/>
  <c r="AL33" i="62" s="1"/>
  <c r="AY37" i="45"/>
  <c r="AA33" i="62" s="1"/>
  <c r="BI37" i="45"/>
  <c r="AK33" i="62" s="1"/>
  <c r="BD32" i="45"/>
  <c r="AF29" i="62" s="1"/>
  <c r="AK37" i="45"/>
  <c r="M33" i="62" s="1"/>
  <c r="AO28" i="45"/>
  <c r="AM35" i="45"/>
  <c r="AF34" i="45"/>
  <c r="AF62" i="45" s="1"/>
  <c r="AF72" i="45" s="1"/>
  <c r="AF73" i="45" s="1"/>
  <c r="AF80" i="45" s="1"/>
  <c r="BH28" i="45"/>
  <c r="AV28" i="45"/>
  <c r="BA32" i="45"/>
  <c r="AC29" i="62" s="1"/>
  <c r="AN28" i="45"/>
  <c r="BA30" i="45"/>
  <c r="AC27" i="62" s="1"/>
  <c r="AS30" i="45"/>
  <c r="U27" i="62" s="1"/>
  <c r="AJ32" i="45"/>
  <c r="L29" i="62" s="1"/>
  <c r="BD28" i="45"/>
  <c r="AK28" i="45"/>
  <c r="BG35" i="45"/>
  <c r="BE35" i="45"/>
  <c r="AI28" i="45"/>
  <c r="BL32" i="45"/>
  <c r="AN29" i="62" s="1"/>
  <c r="AT30" i="45"/>
  <c r="V27" i="62" s="1"/>
  <c r="AM37" i="45"/>
  <c r="O33" i="62" s="1"/>
  <c r="BH39" i="45"/>
  <c r="AJ35" i="62" s="1"/>
  <c r="BK35" i="45"/>
  <c r="AL35" i="45"/>
  <c r="BG32" i="45"/>
  <c r="AI29" i="62" s="1"/>
  <c r="AZ30" i="45"/>
  <c r="AB27" i="62" s="1"/>
  <c r="AV30" i="45"/>
  <c r="X27" i="62" s="1"/>
  <c r="BM32" i="45"/>
  <c r="AO29" i="62" s="1"/>
  <c r="BK32" i="45"/>
  <c r="AM29" i="62" s="1"/>
  <c r="BF28" i="45"/>
  <c r="E25" i="62"/>
  <c r="AC27" i="45"/>
  <c r="AC61" i="45" s="1"/>
  <c r="AD34" i="45"/>
  <c r="AD62" i="45" s="1"/>
  <c r="AD27" i="45"/>
  <c r="AD61" i="45" s="1"/>
  <c r="AE72" i="45" l="1"/>
  <c r="AE73" i="45" s="1"/>
  <c r="AE80" i="45" s="1"/>
  <c r="AC72" i="45"/>
  <c r="AC73" i="45" s="1"/>
  <c r="AC80" i="45" s="1"/>
  <c r="AH25" i="62"/>
  <c r="N31" i="62"/>
  <c r="AI31" i="62"/>
  <c r="AF25" i="62"/>
  <c r="P25" i="62"/>
  <c r="X25" i="62"/>
  <c r="O31" i="62"/>
  <c r="AO25" i="62"/>
  <c r="N25" i="62"/>
  <c r="AK25" i="62"/>
  <c r="AO31" i="62"/>
  <c r="AG72" i="45"/>
  <c r="AG73" i="45" s="1"/>
  <c r="AG80" i="45" s="1"/>
  <c r="T31" i="62"/>
  <c r="AP31" i="62"/>
  <c r="AK31" i="62"/>
  <c r="AH31" i="62"/>
  <c r="AI25" i="62"/>
  <c r="AM31" i="62"/>
  <c r="K25" i="62"/>
  <c r="AJ25" i="62"/>
  <c r="Q25" i="62"/>
  <c r="AM25" i="62"/>
  <c r="AP25" i="62"/>
  <c r="U25" i="62"/>
  <c r="R31" i="62"/>
  <c r="V31" i="62"/>
  <c r="J31" i="62"/>
  <c r="AH34" i="45"/>
  <c r="AH62" i="45" s="1"/>
  <c r="K31" i="62"/>
  <c r="AF31" i="62"/>
  <c r="P31" i="62"/>
  <c r="X31" i="62"/>
  <c r="O25" i="62"/>
  <c r="R25" i="62"/>
  <c r="AE25" i="62"/>
  <c r="AG31" i="62"/>
  <c r="AA25" i="62"/>
  <c r="AA31" i="62"/>
  <c r="AB72" i="45"/>
  <c r="AB73" i="45" s="1"/>
  <c r="AB80" i="45" s="1"/>
  <c r="T25" i="62"/>
  <c r="AG25" i="62"/>
  <c r="AJ31" i="62"/>
  <c r="Q31" i="62"/>
  <c r="M25" i="62"/>
  <c r="U31" i="62"/>
  <c r="Z31" i="62"/>
  <c r="S31" i="62"/>
  <c r="AC31" i="62"/>
  <c r="AN31" i="62"/>
  <c r="Z25" i="62"/>
  <c r="S25" i="62"/>
  <c r="J25" i="62"/>
  <c r="AH27" i="45"/>
  <c r="AH61" i="45" s="1"/>
  <c r="AC25" i="62"/>
  <c r="AE31" i="62"/>
  <c r="M31" i="62"/>
  <c r="AD72" i="45"/>
  <c r="AD73" i="45" s="1"/>
  <c r="AD80" i="45" s="1"/>
  <c r="AH72" i="45" l="1"/>
  <c r="AH73" i="45" s="1"/>
  <c r="AL77" i="34"/>
  <c r="AJ36" i="45" s="1"/>
  <c r="AL61" i="34"/>
  <c r="AJ29" i="45" s="1"/>
  <c r="AK77" i="34"/>
  <c r="AI36" i="45" s="1"/>
  <c r="AK61" i="34"/>
  <c r="AI29" i="45" s="1"/>
  <c r="K32" i="62" l="1"/>
  <c r="AI34" i="45"/>
  <c r="AI62" i="45" s="1"/>
  <c r="L32" i="62"/>
  <c r="AJ34" i="45"/>
  <c r="AJ62" i="45" s="1"/>
  <c r="AM61" i="34"/>
  <c r="AK29" i="45" s="1"/>
  <c r="AM77" i="34"/>
  <c r="AK36" i="45" s="1"/>
  <c r="K26" i="62"/>
  <c r="AI27" i="45"/>
  <c r="AI61" i="45" s="1"/>
  <c r="L26" i="62"/>
  <c r="AJ27" i="45"/>
  <c r="AJ61" i="45" s="1"/>
  <c r="AJ72" i="45" s="1"/>
  <c r="AJ73" i="45" s="1"/>
  <c r="AI72" i="45" l="1"/>
  <c r="AI73" i="45" s="1"/>
  <c r="M32" i="62"/>
  <c r="AK34" i="45"/>
  <c r="AK62" i="45" s="1"/>
  <c r="AN77" i="34"/>
  <c r="AL36" i="45" s="1"/>
  <c r="AN61" i="34"/>
  <c r="AL29" i="45" s="1"/>
  <c r="M26" i="62"/>
  <c r="AK27" i="45"/>
  <c r="AK61" i="45" s="1"/>
  <c r="AK72" i="45" l="1"/>
  <c r="AK73" i="45" s="1"/>
  <c r="AO77" i="34"/>
  <c r="AM36" i="45" s="1"/>
  <c r="AO61" i="34"/>
  <c r="AM29" i="45" s="1"/>
  <c r="N26" i="62"/>
  <c r="AL27" i="45"/>
  <c r="AL61" i="45" s="1"/>
  <c r="N32" i="62"/>
  <c r="AL34" i="45"/>
  <c r="AL62" i="45" s="1"/>
  <c r="AL72" i="45" l="1"/>
  <c r="AL73" i="45" s="1"/>
  <c r="O26" i="62"/>
  <c r="AM27" i="45"/>
  <c r="AM61" i="45" s="1"/>
  <c r="O32" i="62"/>
  <c r="AM34" i="45"/>
  <c r="AM62" i="45" s="1"/>
  <c r="AP77" i="34"/>
  <c r="AN36" i="45" s="1"/>
  <c r="AP61" i="34"/>
  <c r="AN29" i="45" s="1"/>
  <c r="AM72" i="45" l="1"/>
  <c r="AM73" i="45" s="1"/>
  <c r="P26" i="62"/>
  <c r="AN27" i="45"/>
  <c r="AN61" i="45" s="1"/>
  <c r="P32" i="62"/>
  <c r="AN34" i="45"/>
  <c r="AN62" i="45" s="1"/>
  <c r="AQ77" i="34"/>
  <c r="AO36" i="45" s="1"/>
  <c r="AQ61" i="34"/>
  <c r="AO29" i="45" s="1"/>
  <c r="AN72" i="45" l="1"/>
  <c r="AN73" i="45" s="1"/>
  <c r="Q26" i="62"/>
  <c r="AO27" i="45"/>
  <c r="AO61" i="45" s="1"/>
  <c r="Q32" i="62"/>
  <c r="AO34" i="45"/>
  <c r="AO62" i="45" s="1"/>
  <c r="AR77" i="34"/>
  <c r="AP36" i="45" s="1"/>
  <c r="AR61" i="34"/>
  <c r="AP29" i="45" s="1"/>
  <c r="AO72" i="45" l="1"/>
  <c r="AO73" i="45" s="1"/>
  <c r="R32" i="62"/>
  <c r="AP34" i="45"/>
  <c r="AP62" i="45" s="1"/>
  <c r="AS77" i="34"/>
  <c r="AQ36" i="45" s="1"/>
  <c r="AS61" i="34"/>
  <c r="AQ29" i="45" s="1"/>
  <c r="R26" i="62"/>
  <c r="AP27" i="45"/>
  <c r="AP61" i="45" s="1"/>
  <c r="AP72" i="45" s="1"/>
  <c r="AP73" i="45" s="1"/>
  <c r="AT77" i="34" l="1"/>
  <c r="AR36" i="45" s="1"/>
  <c r="AT61" i="34"/>
  <c r="AR29" i="45" s="1"/>
  <c r="S26" i="62"/>
  <c r="AQ27" i="45"/>
  <c r="AQ61" i="45" s="1"/>
  <c r="S32" i="62"/>
  <c r="AQ34" i="45"/>
  <c r="AQ62" i="45" s="1"/>
  <c r="AQ72" i="45" l="1"/>
  <c r="AQ73" i="45" s="1"/>
  <c r="T26" i="62"/>
  <c r="AR27" i="45"/>
  <c r="AR61" i="45" s="1"/>
  <c r="AU61" i="34"/>
  <c r="AS29" i="45" s="1"/>
  <c r="AU77" i="34"/>
  <c r="AS36" i="45" s="1"/>
  <c r="T32" i="62"/>
  <c r="AR34" i="45"/>
  <c r="AR62" i="45" s="1"/>
  <c r="AR72" i="45" l="1"/>
  <c r="AR73" i="45" s="1"/>
  <c r="AV77" i="34"/>
  <c r="AT36" i="45" s="1"/>
  <c r="AV61" i="34"/>
  <c r="AT29" i="45" s="1"/>
  <c r="U32" i="62"/>
  <c r="AS34" i="45"/>
  <c r="AS62" i="45" s="1"/>
  <c r="U26" i="62"/>
  <c r="AS27" i="45"/>
  <c r="AS61" i="45" s="1"/>
  <c r="AS72" i="45" s="1"/>
  <c r="AS73" i="45" s="1"/>
  <c r="AW61" i="34" l="1"/>
  <c r="AU29" i="45" s="1"/>
  <c r="AW77" i="34"/>
  <c r="AU36" i="45" s="1"/>
  <c r="V26" i="62"/>
  <c r="AT27" i="45"/>
  <c r="AT61" i="45" s="1"/>
  <c r="V32" i="62"/>
  <c r="AT34" i="45"/>
  <c r="AT62" i="45" s="1"/>
  <c r="AT72" i="45" l="1"/>
  <c r="AT73" i="45" s="1"/>
  <c r="W32" i="62"/>
  <c r="AU34" i="45"/>
  <c r="AU62" i="45" s="1"/>
  <c r="AX77" i="34"/>
  <c r="AV36" i="45" s="1"/>
  <c r="AX61" i="34"/>
  <c r="AV29" i="45" s="1"/>
  <c r="W26" i="62"/>
  <c r="AU27" i="45"/>
  <c r="AU61" i="45" s="1"/>
  <c r="AU72" i="45" s="1"/>
  <c r="AU73" i="45" s="1"/>
  <c r="X26" i="62" l="1"/>
  <c r="AV27" i="45"/>
  <c r="AV61" i="45" s="1"/>
  <c r="X32" i="62"/>
  <c r="AV34" i="45"/>
  <c r="AV62" i="45" s="1"/>
  <c r="AY77" i="34"/>
  <c r="AW36" i="45" s="1"/>
  <c r="AY61" i="34"/>
  <c r="AW29" i="45" s="1"/>
  <c r="AV72" i="45" l="1"/>
  <c r="AV73" i="45" s="1"/>
  <c r="Y26" i="62"/>
  <c r="AW27" i="45"/>
  <c r="AW61" i="45" s="1"/>
  <c r="Y32" i="62"/>
  <c r="AW34" i="45"/>
  <c r="AW62" i="45" s="1"/>
  <c r="AZ61" i="34"/>
  <c r="AX29" i="45" s="1"/>
  <c r="AZ77" i="34"/>
  <c r="AX36" i="45" s="1"/>
  <c r="AW72" i="45" l="1"/>
  <c r="AW73" i="45" s="1"/>
  <c r="Z32" i="62"/>
  <c r="AX34" i="45"/>
  <c r="AX62" i="45" s="1"/>
  <c r="Z26" i="62"/>
  <c r="AX27" i="45"/>
  <c r="AX61" i="45" s="1"/>
  <c r="BA77" i="34"/>
  <c r="AY36" i="45" s="1"/>
  <c r="BA61" i="34"/>
  <c r="AY29" i="45" s="1"/>
  <c r="AX72" i="45" l="1"/>
  <c r="AX73" i="45" s="1"/>
  <c r="AA26" i="62"/>
  <c r="AY27" i="45"/>
  <c r="AY61" i="45" s="1"/>
  <c r="AA32" i="62"/>
  <c r="AY34" i="45"/>
  <c r="AY62" i="45" s="1"/>
  <c r="BB77" i="34"/>
  <c r="AZ36" i="45" s="1"/>
  <c r="BB61" i="34"/>
  <c r="AZ29" i="45" s="1"/>
  <c r="AY72" i="45" l="1"/>
  <c r="AY73" i="45" s="1"/>
  <c r="AB26" i="62"/>
  <c r="AZ27" i="45"/>
  <c r="AZ61" i="45" s="1"/>
  <c r="AB32" i="62"/>
  <c r="AZ34" i="45"/>
  <c r="AZ62" i="45" s="1"/>
  <c r="BC77" i="34"/>
  <c r="BA36" i="45" s="1"/>
  <c r="BC61" i="34"/>
  <c r="BA29" i="45" s="1"/>
  <c r="AZ72" i="45" l="1"/>
  <c r="AZ73" i="45" s="1"/>
  <c r="AC26" i="62"/>
  <c r="BA27" i="45"/>
  <c r="BA61" i="45" s="1"/>
  <c r="AC32" i="62"/>
  <c r="BA34" i="45"/>
  <c r="BA62" i="45" s="1"/>
  <c r="BD61" i="34"/>
  <c r="BB29" i="45" s="1"/>
  <c r="BD77" i="34"/>
  <c r="BB36" i="45" s="1"/>
  <c r="BA72" i="45" l="1"/>
  <c r="BA73" i="45" s="1"/>
  <c r="AD32" i="62"/>
  <c r="BB34" i="45"/>
  <c r="BB62" i="45" s="1"/>
  <c r="AD26" i="62"/>
  <c r="BB27" i="45"/>
  <c r="BB61" i="45" s="1"/>
  <c r="BE77" i="34"/>
  <c r="BC36" i="45" s="1"/>
  <c r="BE61" i="34"/>
  <c r="BC29" i="45" s="1"/>
  <c r="BB72" i="45" l="1"/>
  <c r="BB73" i="45" s="1"/>
  <c r="AE26" i="62"/>
  <c r="BC27" i="45"/>
  <c r="BC61" i="45" s="1"/>
  <c r="AE32" i="62"/>
  <c r="BC34" i="45"/>
  <c r="BC62" i="45" s="1"/>
  <c r="BF77" i="34"/>
  <c r="BD36" i="45" s="1"/>
  <c r="BF61" i="34"/>
  <c r="BD29" i="45" s="1"/>
  <c r="BC72" i="45" l="1"/>
  <c r="BC73" i="45" s="1"/>
  <c r="AF32" i="62"/>
  <c r="BD34" i="45"/>
  <c r="BD62" i="45" s="1"/>
  <c r="AF26" i="62"/>
  <c r="BD27" i="45"/>
  <c r="BD61" i="45" s="1"/>
  <c r="BG77" i="34"/>
  <c r="BE36" i="45" s="1"/>
  <c r="BG61" i="34"/>
  <c r="BE29" i="45" s="1"/>
  <c r="BD72" i="45" l="1"/>
  <c r="BD73" i="45" s="1"/>
  <c r="BH77" i="34"/>
  <c r="BF36" i="45" s="1"/>
  <c r="BH61" i="34"/>
  <c r="BF29" i="45" s="1"/>
  <c r="AG26" i="62"/>
  <c r="BE27" i="45"/>
  <c r="BE61" i="45" s="1"/>
  <c r="AG32" i="62"/>
  <c r="BE34" i="45"/>
  <c r="BE62" i="45" s="1"/>
  <c r="BE72" i="45" l="1"/>
  <c r="BE73" i="45" s="1"/>
  <c r="BI77" i="34"/>
  <c r="BG36" i="45" s="1"/>
  <c r="BI61" i="34"/>
  <c r="BG29" i="45" s="1"/>
  <c r="AH26" i="62"/>
  <c r="BF27" i="45"/>
  <c r="BF61" i="45" s="1"/>
  <c r="AH32" i="62"/>
  <c r="BF34" i="45"/>
  <c r="BF62" i="45" s="1"/>
  <c r="BF72" i="45" l="1"/>
  <c r="BF73" i="45" s="1"/>
  <c r="AI26" i="62"/>
  <c r="BG27" i="45"/>
  <c r="BG61" i="45" s="1"/>
  <c r="AI32" i="62"/>
  <c r="BG34" i="45"/>
  <c r="BG62" i="45" s="1"/>
  <c r="BJ77" i="34"/>
  <c r="BH36" i="45" s="1"/>
  <c r="BJ61" i="34"/>
  <c r="BH29" i="45" s="1"/>
  <c r="BG72" i="45" l="1"/>
  <c r="BG73" i="45" s="1"/>
  <c r="AJ26" i="62"/>
  <c r="BH27" i="45"/>
  <c r="BH61" i="45" s="1"/>
  <c r="AJ32" i="62"/>
  <c r="BH34" i="45"/>
  <c r="BH62" i="45" s="1"/>
  <c r="BK61" i="34"/>
  <c r="BI29" i="45" s="1"/>
  <c r="BK77" i="34"/>
  <c r="BI36" i="45" s="1"/>
  <c r="BH72" i="45" l="1"/>
  <c r="BH73" i="45" s="1"/>
  <c r="AK32" i="62"/>
  <c r="BI34" i="45"/>
  <c r="BI62" i="45" s="1"/>
  <c r="AK26" i="62"/>
  <c r="BI27" i="45"/>
  <c r="BI61" i="45" s="1"/>
  <c r="BL77" i="34"/>
  <c r="BJ36" i="45" s="1"/>
  <c r="BL61" i="34"/>
  <c r="BJ29" i="45" s="1"/>
  <c r="BI72" i="45" l="1"/>
  <c r="BI73" i="45" s="1"/>
  <c r="AL26" i="62"/>
  <c r="BJ27" i="45"/>
  <c r="BJ61" i="45" s="1"/>
  <c r="AL32" i="62"/>
  <c r="BJ34" i="45"/>
  <c r="BJ62" i="45" s="1"/>
  <c r="BM77" i="34"/>
  <c r="BK36" i="45" s="1"/>
  <c r="BM61" i="34"/>
  <c r="BK29" i="45" s="1"/>
  <c r="BJ72" i="45" l="1"/>
  <c r="BJ73" i="45" s="1"/>
  <c r="AM26" i="62"/>
  <c r="BK27" i="45"/>
  <c r="BK61" i="45" s="1"/>
  <c r="AM32" i="62"/>
  <c r="BK34" i="45"/>
  <c r="BK62" i="45" s="1"/>
  <c r="BN77" i="34"/>
  <c r="BL36" i="45" s="1"/>
  <c r="BN61" i="34"/>
  <c r="BL29" i="45" s="1"/>
  <c r="BK72" i="45" l="1"/>
  <c r="BK73" i="45" s="1"/>
  <c r="AN26" i="62"/>
  <c r="BL27" i="45"/>
  <c r="BL61" i="45" s="1"/>
  <c r="AN32" i="62"/>
  <c r="BL34" i="45"/>
  <c r="BL62" i="45" s="1"/>
  <c r="BO77" i="34"/>
  <c r="BM36" i="45" s="1"/>
  <c r="BO61" i="34"/>
  <c r="BM29" i="45" s="1"/>
  <c r="BL72" i="45" l="1"/>
  <c r="BL73" i="45" s="1"/>
  <c r="AO26" i="62"/>
  <c r="BM27" i="45"/>
  <c r="BM61" i="45" s="1"/>
  <c r="AO32" i="62"/>
  <c r="BM34" i="45"/>
  <c r="BM62" i="45" s="1"/>
  <c r="BP77" i="34"/>
  <c r="BN36" i="45" s="1"/>
  <c r="BP61" i="34"/>
  <c r="BN29" i="45" s="1"/>
  <c r="BM72" i="45" l="1"/>
  <c r="BM73" i="45" s="1"/>
  <c r="AP26" i="62"/>
  <c r="BN27" i="45"/>
  <c r="BN61" i="45" s="1"/>
  <c r="AP32" i="62"/>
  <c r="BN34" i="45"/>
  <c r="BN62" i="45" s="1"/>
  <c r="BN72" i="45" l="1"/>
  <c r="BN73" i="45"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tc={6704E445-3F8B-48DB-A842-B7D498DA546D}</author>
  </authors>
  <commentList>
    <comment ref="Z6" authorId="0" shapeId="0" xr:uid="{00000000-0006-0000-0600-000001000000}">
      <text>
        <t>[Threaded comment]
Your version of Excel allows you to read this threaded comment; however, any edits to it will get removed if the file is opened in a newer version of Excel. Learn more: https://go.microsoft.com/fwlink/?linkid=870924
Comment:
    perhaps remove this?</t>
      </text>
    </comment>
  </commentList>
</comments>
</file>

<file path=xl/sharedStrings.xml><?xml version="1.0" encoding="utf-8"?>
<sst xmlns="http://schemas.openxmlformats.org/spreadsheetml/2006/main" count="2529" uniqueCount="981">
  <si>
    <t>Units</t>
  </si>
  <si>
    <t>Population</t>
  </si>
  <si>
    <t>Dairy cattle</t>
  </si>
  <si>
    <t>Horses</t>
  </si>
  <si>
    <t>IPCC category</t>
  </si>
  <si>
    <t>Gas</t>
  </si>
  <si>
    <t>3A1ai Dairy cattle</t>
  </si>
  <si>
    <t>IPCC Categories</t>
  </si>
  <si>
    <t>Constants</t>
  </si>
  <si>
    <t>CH4 GWP</t>
  </si>
  <si>
    <t>N2O GWP</t>
  </si>
  <si>
    <t>AFOLU inventory categories</t>
  </si>
  <si>
    <t>Level 1</t>
  </si>
  <si>
    <t>Level 2</t>
  </si>
  <si>
    <t>Level 3</t>
  </si>
  <si>
    <t>3A Livestock</t>
  </si>
  <si>
    <t>3A1 Enteric fermentation (CH4)</t>
  </si>
  <si>
    <t>3A1a Cattle</t>
  </si>
  <si>
    <t>3A1c Sheep</t>
  </si>
  <si>
    <t>3A1d Goats</t>
  </si>
  <si>
    <t>3A1f Horses</t>
  </si>
  <si>
    <t>3A1h Swine</t>
  </si>
  <si>
    <t>3A2 Manure management (CH4)</t>
  </si>
  <si>
    <t>3A2a Cattle</t>
  </si>
  <si>
    <t>3A2c Sheep</t>
  </si>
  <si>
    <t>3A2d Goats</t>
  </si>
  <si>
    <t>3A2f Horses</t>
  </si>
  <si>
    <t>3A2h Swine</t>
  </si>
  <si>
    <t>3A2i Poultry</t>
  </si>
  <si>
    <t>3B Land</t>
  </si>
  <si>
    <t>3B1 Forest land (net CO2)</t>
  </si>
  <si>
    <t>3B1a Forest land remaining forest land</t>
  </si>
  <si>
    <t>3B1b Land converted to forest land</t>
  </si>
  <si>
    <t>3B2 Cropland (net CO2)</t>
  </si>
  <si>
    <t>3B2a Cropland remaining cropland</t>
  </si>
  <si>
    <t>3B2b Land converted to cropland</t>
  </si>
  <si>
    <t>3B3 Grassland (net CO2)</t>
  </si>
  <si>
    <t>3B3a Grassland remaining grassland</t>
  </si>
  <si>
    <t>3B3b Land converted to grassland</t>
  </si>
  <si>
    <t>3B4 Wetland (CH4)</t>
  </si>
  <si>
    <t>3B5 Settlements (net CO2)</t>
  </si>
  <si>
    <t>3B5a Setllements remaining settlements</t>
  </si>
  <si>
    <t>3B5b Land converted to settlements</t>
  </si>
  <si>
    <t>3B6 Other lands (net CO2)</t>
  </si>
  <si>
    <t>3B6b Land converted to other land</t>
  </si>
  <si>
    <t>3C1 Biomass burning (CH4)</t>
  </si>
  <si>
    <t>3C1a Biomass burning in forest land</t>
  </si>
  <si>
    <t>3C1b Biomass burning in Croplands</t>
  </si>
  <si>
    <t>3C1c Biomass burning in Grasslands</t>
  </si>
  <si>
    <t>3C1d Biomass burning in Wetlands</t>
  </si>
  <si>
    <t>3C1e Biomass burning in Settlements</t>
  </si>
  <si>
    <t>3C1f Biomass burning in Other lands</t>
  </si>
  <si>
    <t>3C1 Biomass burning (N2O)</t>
  </si>
  <si>
    <t>3C2 Liming (CO2)</t>
  </si>
  <si>
    <t>3C3 Urea application (CO2)</t>
  </si>
  <si>
    <t>3C4 Direct N2O from managed soils (N2O)</t>
  </si>
  <si>
    <t>Inorganic inputs</t>
  </si>
  <si>
    <t>Organic inputs</t>
  </si>
  <si>
    <t>Crop residues</t>
  </si>
  <si>
    <t>Urine and dung</t>
  </si>
  <si>
    <t>FSOM</t>
  </si>
  <si>
    <t>3C5 Indirect N2O from managed soils (N2O)</t>
  </si>
  <si>
    <t>Volatilisation</t>
  </si>
  <si>
    <t>Leaching/runoff</t>
  </si>
  <si>
    <t>3C6 Indirect N2O from manure management (N2O)</t>
  </si>
  <si>
    <t>3D Other</t>
  </si>
  <si>
    <t>3D1 HWP (CO2)</t>
  </si>
  <si>
    <t>3A1aii Other cattle</t>
  </si>
  <si>
    <t>3A2ai Dairy cattle</t>
  </si>
  <si>
    <t>3A2aii Other cattle</t>
  </si>
  <si>
    <t>Level 4</t>
  </si>
  <si>
    <t>3B1bi Cropland converted to forest land</t>
  </si>
  <si>
    <t>3B1bii Grassland converted to forest land</t>
  </si>
  <si>
    <t>3B1biii Wetlands converted to forest land</t>
  </si>
  <si>
    <t>3B1biv Settlements converted to forest land</t>
  </si>
  <si>
    <t>3B1bv Other land converted to forest land</t>
  </si>
  <si>
    <t>3B2bi Forest land converted to cropland</t>
  </si>
  <si>
    <t>3B2bii Grassland converted to cropland</t>
  </si>
  <si>
    <t>3B2biii Wetlands converted to cropland</t>
  </si>
  <si>
    <t>3B2biv Settlements converted to cropland</t>
  </si>
  <si>
    <t>3B2bv Other land converted to cropland</t>
  </si>
  <si>
    <t>3B3bi Forest land converted to grassland</t>
  </si>
  <si>
    <t>3B3bii Cropland converted to grassland</t>
  </si>
  <si>
    <t>3B3biii Wetlands converted to grassland</t>
  </si>
  <si>
    <t>3B3iv Settlements converted to grassland</t>
  </si>
  <si>
    <t>3B3v Other land converted to grassland</t>
  </si>
  <si>
    <t>3B5bi Forest land converted to settlements</t>
  </si>
  <si>
    <t>3B5bii Cropland converted to settlements</t>
  </si>
  <si>
    <t>3B5biii Grassland converted to settlements</t>
  </si>
  <si>
    <t>3B5biv Wetlands converted to settlements</t>
  </si>
  <si>
    <t>3B5bv Other land converted to settlements</t>
  </si>
  <si>
    <t>3B6bi Forest land converted to other land</t>
  </si>
  <si>
    <t>3B6bii Cropland converted to other land</t>
  </si>
  <si>
    <t>3B6biii Grassland converted to other land</t>
  </si>
  <si>
    <t>3B6biv Wetlands converted to other land</t>
  </si>
  <si>
    <t>3B6bv Settlements converted to other land</t>
  </si>
  <si>
    <t>Activities</t>
  </si>
  <si>
    <t>Enteric fermentation</t>
  </si>
  <si>
    <t>Manure management</t>
  </si>
  <si>
    <t>Forest land</t>
  </si>
  <si>
    <t>Forest land remaining forest land</t>
  </si>
  <si>
    <t>Land converted to forest land</t>
  </si>
  <si>
    <t>Cropland remaining cropland</t>
  </si>
  <si>
    <t>Land converted to cropland</t>
  </si>
  <si>
    <t>Grassland remaining grassland</t>
  </si>
  <si>
    <t>Land converted to grassland</t>
  </si>
  <si>
    <t>Wetlands</t>
  </si>
  <si>
    <t>Settlements remaining settlements</t>
  </si>
  <si>
    <t>Land converted to settlements</t>
  </si>
  <si>
    <t>3B6a Other land remaining other land</t>
  </si>
  <si>
    <t>Other land remaining other land</t>
  </si>
  <si>
    <t>Land converted to other land</t>
  </si>
  <si>
    <t>Biomass burning</t>
  </si>
  <si>
    <t>Liming</t>
  </si>
  <si>
    <t>Urea application</t>
  </si>
  <si>
    <t>Inorganic N inputs</t>
  </si>
  <si>
    <t>Organic N inputs</t>
  </si>
  <si>
    <t>Crop N residues</t>
  </si>
  <si>
    <t>Urine and dung N inputs</t>
  </si>
  <si>
    <t>FSOM inputs</t>
  </si>
  <si>
    <t>HWP</t>
  </si>
  <si>
    <t>CH4</t>
  </si>
  <si>
    <t>Commercial</t>
  </si>
  <si>
    <t>Subsistence</t>
  </si>
  <si>
    <t>Mules &amp; Asses</t>
  </si>
  <si>
    <t>Commercial breeding</t>
  </si>
  <si>
    <t>Commercial baconers</t>
  </si>
  <si>
    <t>Commercial porkers</t>
  </si>
  <si>
    <t>Subsistence breeding</t>
  </si>
  <si>
    <t>Subsistence baconers</t>
  </si>
  <si>
    <t>Subsistence porkers</t>
  </si>
  <si>
    <t>Commercial layers</t>
  </si>
  <si>
    <t>Commercial broilers</t>
  </si>
  <si>
    <t>Subsistence broilers</t>
  </si>
  <si>
    <t>Subsistence layers</t>
  </si>
  <si>
    <t>Feedlot</t>
  </si>
  <si>
    <t>TMR</t>
  </si>
  <si>
    <t>Pasture</t>
  </si>
  <si>
    <t>Head</t>
  </si>
  <si>
    <t>N2O</t>
  </si>
  <si>
    <t>3A1g Mules &amp; asses</t>
  </si>
  <si>
    <t>3A2g Mules &amp; asses</t>
  </si>
  <si>
    <t>Activity data</t>
  </si>
  <si>
    <t>Emission factors</t>
  </si>
  <si>
    <t>kg CH4/head/yr</t>
  </si>
  <si>
    <t>kg N2O-N/kg Nex</t>
  </si>
  <si>
    <t>N2O-N to N2O</t>
  </si>
  <si>
    <t>kg to Gg</t>
  </si>
  <si>
    <t>TOTAL</t>
  </si>
  <si>
    <t>Sub category</t>
  </si>
  <si>
    <t>Metric</t>
  </si>
  <si>
    <t>Other cattle</t>
  </si>
  <si>
    <t>Sheep</t>
  </si>
  <si>
    <t>Goats</t>
  </si>
  <si>
    <t>Mules and asses</t>
  </si>
  <si>
    <t>Swine</t>
  </si>
  <si>
    <t>Dairy (pasture) - Lactating cows</t>
  </si>
  <si>
    <t>Dairy (pasture) - Dry cows</t>
  </si>
  <si>
    <t>Dairy (pasture) - Lactating heifers</t>
  </si>
  <si>
    <t>Dairy (TMR) - Lactating cows</t>
  </si>
  <si>
    <t>Dairy (TMR) - Dry cows</t>
  </si>
  <si>
    <t>Dairy (TMR) - Lactating heifers</t>
  </si>
  <si>
    <t>Dairy (non-lactating - pasture) - Calves</t>
  </si>
  <si>
    <t>Dairy (non-lactating - pasture) - Heifers 2-6mths</t>
  </si>
  <si>
    <t>Dairy (non-lactating - pasture) - Heifers 6-12mths</t>
  </si>
  <si>
    <t>Dairy (non-lactating - pasture) - Heifers &gt;1yr</t>
  </si>
  <si>
    <t>Dairy (non-lactating - pasture) - Pregnant heifers</t>
  </si>
  <si>
    <t>Dairy (non-lactating - TMR) - Calves</t>
  </si>
  <si>
    <t>Dairy (non-lactating - TMR) - Heifers 2-6mths</t>
  </si>
  <si>
    <t>Dairy (non-lactating - TMR) - Heifers 6-12mths</t>
  </si>
  <si>
    <t>Dairy (non-lactating - TMR) - Heifers &gt;1yr</t>
  </si>
  <si>
    <t>Dairy (non-lactating - TMR) - Pregnant heifers</t>
  </si>
  <si>
    <t>Commercial beef - Bulls</t>
  </si>
  <si>
    <t>Commercial beef - Calves</t>
  </si>
  <si>
    <t>Commercial beef - Cows</t>
  </si>
  <si>
    <t>Commercial beef - Feedlot</t>
  </si>
  <si>
    <t>Commercial beef - Heifers</t>
  </si>
  <si>
    <t>Commercial beef - Oxen</t>
  </si>
  <si>
    <t>Commercial beef - Young oxen</t>
  </si>
  <si>
    <t>Subsistence cattle - Bulls</t>
  </si>
  <si>
    <t>Subsistence cattle - Calves</t>
  </si>
  <si>
    <t>Subsistence cattle - Cows</t>
  </si>
  <si>
    <t>Subsistence cattle - Heifers</t>
  </si>
  <si>
    <t>Subsistence cattle - Oxen</t>
  </si>
  <si>
    <t>Subsistence cattle - Young oxen</t>
  </si>
  <si>
    <t>Commercial - Karakul - Breeding ewes</t>
  </si>
  <si>
    <t>Commercial - Karakul - Breeding rams</t>
  </si>
  <si>
    <t>Commercial - Karakul - Lambs</t>
  </si>
  <si>
    <t>Commercial - Karakul - Weaners</t>
  </si>
  <si>
    <t>Commercial - Karakul - Young ewes</t>
  </si>
  <si>
    <t>Commercial - Karakul - Young rams</t>
  </si>
  <si>
    <t>Commercial - Merino - Breeding ewes</t>
  </si>
  <si>
    <t>Commercial - Merino - Breeding rams</t>
  </si>
  <si>
    <t>Commercial - Merino - Lambs</t>
  </si>
  <si>
    <t>Commercial - Merino - Weaners</t>
  </si>
  <si>
    <t>Commercial - Merino - Young ewes</t>
  </si>
  <si>
    <t>Commercial - Merino - Young rams</t>
  </si>
  <si>
    <t>Commercial - Non-wool - Breeding ewes</t>
  </si>
  <si>
    <t>Commercial - Non-wool - Breeding rams</t>
  </si>
  <si>
    <t>Commercial - Non-wool - Lambs</t>
  </si>
  <si>
    <t>Commercial - Non-wool - Weaners</t>
  </si>
  <si>
    <t>Commercial - Non-wool - Young ewes</t>
  </si>
  <si>
    <t>Commercial - Non-wool - Young rams</t>
  </si>
  <si>
    <t>Commercial - Other wool - Breeding ewes</t>
  </si>
  <si>
    <t>Commercial - Other wool - Breeding rams</t>
  </si>
  <si>
    <t>Commercial - Other wool - Lambs</t>
  </si>
  <si>
    <t>Commercial - Other wool - Weaners</t>
  </si>
  <si>
    <t>Commercial - Other wool - Young ewes</t>
  </si>
  <si>
    <t>Commercial - Other wool - Young rams</t>
  </si>
  <si>
    <t>Subsistence - Karakul - Breeding ewes</t>
  </si>
  <si>
    <t>Subsistence - Karakul - Breeding rams</t>
  </si>
  <si>
    <t>Subsistence - Karakul - Lambs</t>
  </si>
  <si>
    <t>Subsistence - Karakul - Weaners</t>
  </si>
  <si>
    <t>Subsistence - Karakul - Young ewes</t>
  </si>
  <si>
    <t>Subsistence - Karakul - Young rams</t>
  </si>
  <si>
    <t>Subsistence - Merino - Breeding ewes</t>
  </si>
  <si>
    <t>Subsistence - Merino - Breeding rams</t>
  </si>
  <si>
    <t>Subsistence - Merino - Lambs</t>
  </si>
  <si>
    <t>Subsistence - Merino - Weaners</t>
  </si>
  <si>
    <t>Subsistence - Merino - Young ewes</t>
  </si>
  <si>
    <t>Subsistence - Merino - Young rams</t>
  </si>
  <si>
    <t>Subsistence - Non-wool - Breeding ewes</t>
  </si>
  <si>
    <t>Subsistence - Non-wool - Breeding rams</t>
  </si>
  <si>
    <t>Subsistence - Non-wool - Lambs</t>
  </si>
  <si>
    <t>Subsistence - Non-wool - Weaners</t>
  </si>
  <si>
    <t>Subsistence - Non-wool - Young ewes</t>
  </si>
  <si>
    <t>Subsistence - Non-wool - Young rams</t>
  </si>
  <si>
    <t>Subsistence - Other wool - Breeding ewes</t>
  </si>
  <si>
    <t>Subsistence - Other wool - Breeding rams</t>
  </si>
  <si>
    <t>Subsistence - Other wool - Lambs</t>
  </si>
  <si>
    <t>Subsistence - Other wool - Weaners</t>
  </si>
  <si>
    <t>Subsistence - Other wool - Young ewes</t>
  </si>
  <si>
    <t>Subsistence - Other wool - Young rams</t>
  </si>
  <si>
    <t>Commercial - Angora - Breeding buck</t>
  </si>
  <si>
    <t>Commercial - Angora - Breeding does</t>
  </si>
  <si>
    <t>Commercial - Angora - Kids</t>
  </si>
  <si>
    <t>Commercial - Angora - Weaners</t>
  </si>
  <si>
    <t>Commercial - Angora - Young buck</t>
  </si>
  <si>
    <t>Commercial - Angora - Young does</t>
  </si>
  <si>
    <t>Commercial goats - Breeding buck</t>
  </si>
  <si>
    <t>Commercial goats - Breeding does</t>
  </si>
  <si>
    <t>Commercial goats - Kids</t>
  </si>
  <si>
    <t>Commercial goats - Weaners</t>
  </si>
  <si>
    <t>Commercial goats - Young buck</t>
  </si>
  <si>
    <t>Commercial goats - Young does</t>
  </si>
  <si>
    <t>Commercial - Milk - Breeding buck</t>
  </si>
  <si>
    <t>Commercial - Milk - Breeding does</t>
  </si>
  <si>
    <t>Commercial - Milk - Kids</t>
  </si>
  <si>
    <t>Commercial - Milk - Weaners</t>
  </si>
  <si>
    <t>Commercial - Milk - Young buck</t>
  </si>
  <si>
    <t>Commercial - Milk - Young does</t>
  </si>
  <si>
    <t>Subsistence goats - Breeding buck</t>
  </si>
  <si>
    <t>Subsistence goats - Breeding does</t>
  </si>
  <si>
    <t>Subsistence goats - Kids</t>
  </si>
  <si>
    <t>Subsistence goats - Weaners</t>
  </si>
  <si>
    <t>Subsistence goats - Young buck</t>
  </si>
  <si>
    <t>Subsistence goats - Young does</t>
  </si>
  <si>
    <t>Commercial swine - Baconers</t>
  </si>
  <si>
    <t>Commercial swine - Boars</t>
  </si>
  <si>
    <t>Commercial swine - Cull boars</t>
  </si>
  <si>
    <t>Commercial swine - Cull sows</t>
  </si>
  <si>
    <t>Commercial swine - Dry gestating sows</t>
  </si>
  <si>
    <t>Commercial swine - Lactating sows</t>
  </si>
  <si>
    <t>Commercial swine - Porkers</t>
  </si>
  <si>
    <t>Commercial swine - Pre-wean piglets</t>
  </si>
  <si>
    <t>Commercial swine - Replacement boars</t>
  </si>
  <si>
    <t>Commercial swine - Replacement sows</t>
  </si>
  <si>
    <t>Subsistence swine - Baconers</t>
  </si>
  <si>
    <t>Subsistence swine - Boars</t>
  </si>
  <si>
    <t>Subsistence swine - Cull boars</t>
  </si>
  <si>
    <t>Subsistence swine - Cull sows</t>
  </si>
  <si>
    <t>Subsistence swine - Dry gestating sows</t>
  </si>
  <si>
    <t>Subsistence swine - Lactating sows</t>
  </si>
  <si>
    <t>Subsistence swine - Porkers</t>
  </si>
  <si>
    <t>Subsistence swine - Pre-wean piglets</t>
  </si>
  <si>
    <t>Subsistence swine - Replacement boars</t>
  </si>
  <si>
    <t>Subsistence swine - Replacement sows</t>
  </si>
  <si>
    <t>Aggregated emission factors</t>
  </si>
  <si>
    <t>Livestock category</t>
  </si>
  <si>
    <t>EF</t>
  </si>
  <si>
    <t>Activity</t>
  </si>
  <si>
    <t>2010 Population</t>
  </si>
  <si>
    <t>Assumptions</t>
  </si>
  <si>
    <t>Notes</t>
  </si>
  <si>
    <t>Ratio</t>
  </si>
  <si>
    <t>EF x ratio</t>
  </si>
  <si>
    <t>Gg CH4</t>
  </si>
  <si>
    <t>Gg N2O</t>
  </si>
  <si>
    <t>Poultry</t>
  </si>
  <si>
    <t>Commercial poultry - Broilers</t>
  </si>
  <si>
    <t>Commercial poultry - Layers</t>
  </si>
  <si>
    <t>Subsistence poultry - Broilers</t>
  </si>
  <si>
    <t>Subsistence poultry - Layers</t>
  </si>
  <si>
    <t>Manure EF</t>
  </si>
  <si>
    <t>Lagoon</t>
  </si>
  <si>
    <t>Liquid/slurry</t>
  </si>
  <si>
    <t>Drylot</t>
  </si>
  <si>
    <t>Solid storage</t>
  </si>
  <si>
    <t>Daily spread</t>
  </si>
  <si>
    <t>Compost</t>
  </si>
  <si>
    <t>Manure with bedding</t>
  </si>
  <si>
    <t>Poultry manure without litter</t>
  </si>
  <si>
    <t>Poultry manure with litter</t>
  </si>
  <si>
    <t>Dailyspread</t>
  </si>
  <si>
    <t>Pasture, range and paddock</t>
  </si>
  <si>
    <t>Percentage</t>
  </si>
  <si>
    <t>MM</t>
  </si>
  <si>
    <t>Non-lactating</t>
  </si>
  <si>
    <t>Reference for projections</t>
  </si>
  <si>
    <t>Population data</t>
  </si>
  <si>
    <t>Excretion rate</t>
  </si>
  <si>
    <t>kg N/head/yr</t>
  </si>
  <si>
    <t>Summary</t>
  </si>
  <si>
    <t>Level 2 category</t>
  </si>
  <si>
    <t>Level 3 category</t>
  </si>
  <si>
    <t>Level 3/4 category</t>
  </si>
  <si>
    <t>Drivers</t>
  </si>
  <si>
    <t>Driver</t>
  </si>
  <si>
    <t>Beef consumption</t>
  </si>
  <si>
    <t>kg to tonne</t>
  </si>
  <si>
    <t>Beef production</t>
  </si>
  <si>
    <t>t</t>
  </si>
  <si>
    <t>t/capita</t>
  </si>
  <si>
    <t>Capita</t>
  </si>
  <si>
    <t>Input data</t>
  </si>
  <si>
    <t>Output data</t>
  </si>
  <si>
    <t>Livestock outputs</t>
  </si>
  <si>
    <t>Fraction</t>
  </si>
  <si>
    <t>Milk consumption</t>
  </si>
  <si>
    <t>Milk production</t>
  </si>
  <si>
    <t>TMR dairy cattle fraction</t>
  </si>
  <si>
    <t>Fraction of dairy cattle that is TMR</t>
  </si>
  <si>
    <t>Lamb consumption</t>
  </si>
  <si>
    <t>Lamb production</t>
  </si>
  <si>
    <t>Pork consumption</t>
  </si>
  <si>
    <t>Pork production</t>
  </si>
  <si>
    <t>Egg consumption</t>
  </si>
  <si>
    <t>Egg production</t>
  </si>
  <si>
    <t>Chicken consumption</t>
  </si>
  <si>
    <t>Chicken production</t>
  </si>
  <si>
    <t>Chevon consumption</t>
  </si>
  <si>
    <t>Lamb and chevon consumption</t>
  </si>
  <si>
    <t>Fraction of goat meat</t>
  </si>
  <si>
    <t>Fraction of sheep and goat meat that is goat meat</t>
  </si>
  <si>
    <t>Maize production</t>
  </si>
  <si>
    <t>Maize consumption (total)</t>
  </si>
  <si>
    <t>Indigenous forests</t>
  </si>
  <si>
    <t>Thickets</t>
  </si>
  <si>
    <t>Woodlands</t>
  </si>
  <si>
    <t>Plantations</t>
  </si>
  <si>
    <t>Annual non-pivot</t>
  </si>
  <si>
    <t>Annual pivot</t>
  </si>
  <si>
    <t>Perennial orchards</t>
  </si>
  <si>
    <t>Perennial vineyards</t>
  </si>
  <si>
    <t>Cropland subsistence</t>
  </si>
  <si>
    <t>Grasslands</t>
  </si>
  <si>
    <t>Low shrublands</t>
  </si>
  <si>
    <t>Settlements</t>
  </si>
  <si>
    <t>Mines</t>
  </si>
  <si>
    <t>Bare ground</t>
  </si>
  <si>
    <t>Degraded land</t>
  </si>
  <si>
    <t>ha</t>
  </si>
  <si>
    <t>Biomass burning EF</t>
  </si>
  <si>
    <t>Biomass burning Cf</t>
  </si>
  <si>
    <t>Biomass burning Mb</t>
  </si>
  <si>
    <t>t/ha</t>
  </si>
  <si>
    <t>g gas/kg dm</t>
  </si>
  <si>
    <t>Maize area</t>
  </si>
  <si>
    <t>Crop production</t>
  </si>
  <si>
    <t>3C Aggregated and non-CO2 emissions on land</t>
  </si>
  <si>
    <t>Wheat area</t>
  </si>
  <si>
    <t>Sorghum consumption (total)</t>
  </si>
  <si>
    <t>Sorghum area</t>
  </si>
  <si>
    <t>Fertilisers and lime</t>
  </si>
  <si>
    <t xml:space="preserve"> - wheat</t>
  </si>
  <si>
    <t xml:space="preserve"> - sorghum</t>
  </si>
  <si>
    <t xml:space="preserve"> - total</t>
  </si>
  <si>
    <t>fraction</t>
  </si>
  <si>
    <t>Lime application EF</t>
  </si>
  <si>
    <t>t C/t lime</t>
  </si>
  <si>
    <t>CO2</t>
  </si>
  <si>
    <t>Lime emissions</t>
  </si>
  <si>
    <t>Gg CO2</t>
  </si>
  <si>
    <t>Lime consumption</t>
  </si>
  <si>
    <t>Inorganic N application</t>
  </si>
  <si>
    <t>Urea EF</t>
  </si>
  <si>
    <t>t C/t urea</t>
  </si>
  <si>
    <t>Urea emissions</t>
  </si>
  <si>
    <t>CtoCO2</t>
  </si>
  <si>
    <t>tonne to Gg</t>
  </si>
  <si>
    <t>Compost N</t>
  </si>
  <si>
    <t>FracMM</t>
  </si>
  <si>
    <t xml:space="preserve"> - Diary cattle</t>
  </si>
  <si>
    <t xml:space="preserve"> - commercial other cattle</t>
  </si>
  <si>
    <t xml:space="preserve"> - feedlot other cattle</t>
  </si>
  <si>
    <t xml:space="preserve"> - subsistence other cattle</t>
  </si>
  <si>
    <t xml:space="preserve"> - commercial sheep</t>
  </si>
  <si>
    <t xml:space="preserve"> - subsistence sheep</t>
  </si>
  <si>
    <t xml:space="preserve"> - commercial goats</t>
  </si>
  <si>
    <t xml:space="preserve"> - subsistence goats</t>
  </si>
  <si>
    <t xml:space="preserve"> - commercial swine</t>
  </si>
  <si>
    <t xml:space="preserve"> - subsistence swine</t>
  </si>
  <si>
    <t xml:space="preserve"> - broilers</t>
  </si>
  <si>
    <t xml:space="preserve"> - layers</t>
  </si>
  <si>
    <t>FracLoss</t>
  </si>
  <si>
    <t>N for bedding</t>
  </si>
  <si>
    <t>Manure N</t>
  </si>
  <si>
    <t>kg N</t>
  </si>
  <si>
    <t>N bedding</t>
  </si>
  <si>
    <t>MM N available</t>
  </si>
  <si>
    <t>Urine &amp; dung</t>
  </si>
  <si>
    <t>Synthetic N</t>
  </si>
  <si>
    <t>Organic N</t>
  </si>
  <si>
    <t>SOM N</t>
  </si>
  <si>
    <t>Urine and dung N (CPP)</t>
  </si>
  <si>
    <t>Urine and dung N (SO)</t>
  </si>
  <si>
    <t>kg N2O-N/kg N input</t>
  </si>
  <si>
    <t xml:space="preserve"> - EF</t>
  </si>
  <si>
    <t>tonne to kg</t>
  </si>
  <si>
    <t>Synthetic fertlisers</t>
  </si>
  <si>
    <t>Organic fertilisers</t>
  </si>
  <si>
    <t>MM emissions</t>
  </si>
  <si>
    <t>U&amp;D emissions</t>
  </si>
  <si>
    <t>FracGASF</t>
  </si>
  <si>
    <t>FracGASM</t>
  </si>
  <si>
    <t>FracLEACH</t>
  </si>
  <si>
    <t xml:space="preserve"> - synthetic N</t>
  </si>
  <si>
    <t xml:space="preserve"> - Organic N</t>
  </si>
  <si>
    <t xml:space="preserve"> - N application</t>
  </si>
  <si>
    <t xml:space="preserve"> - U&amp;D</t>
  </si>
  <si>
    <t xml:space="preserve"> - volatilisation EF</t>
  </si>
  <si>
    <t xml:space="preserve"> - leaching EF</t>
  </si>
  <si>
    <t>Indirect MS</t>
  </si>
  <si>
    <t>kg N2O-N/kg N volatilized</t>
  </si>
  <si>
    <t>kg N2O-N/kg N leached</t>
  </si>
  <si>
    <t xml:space="preserve"> - Synthetic fertlisers</t>
  </si>
  <si>
    <t xml:space="preserve"> - Organic fertilisers</t>
  </si>
  <si>
    <t xml:space="preserve"> - Managed manure</t>
  </si>
  <si>
    <t xml:space="preserve"> - Urine &amp; dung</t>
  </si>
  <si>
    <t xml:space="preserve"> - crop residues</t>
  </si>
  <si>
    <t>FracLEACHMM</t>
  </si>
  <si>
    <t xml:space="preserve"> - manure management</t>
  </si>
  <si>
    <t>Indirect MM</t>
  </si>
  <si>
    <t>FracGasMS</t>
  </si>
  <si>
    <t xml:space="preserve"> - maize</t>
  </si>
  <si>
    <t>Fraction of total N residue</t>
  </si>
  <si>
    <t>Crop residue</t>
  </si>
  <si>
    <t>Slope</t>
  </si>
  <si>
    <t>Intercept</t>
  </si>
  <si>
    <t>TMR - Manure management - Lagoon</t>
  </si>
  <si>
    <t>TMR - Manure management - Liquid/slurry</t>
  </si>
  <si>
    <t>TMR - Manure management - Drylot</t>
  </si>
  <si>
    <t>TMR - Manure management - Solid storage</t>
  </si>
  <si>
    <t>TMR - Manure management - Dailyspread</t>
  </si>
  <si>
    <t>TMR - Manure management - Compost</t>
  </si>
  <si>
    <t>TMR - Manure management - Manure with bedding</t>
  </si>
  <si>
    <t>TMR - Manure management - Poultry manure without litter</t>
  </si>
  <si>
    <t>TMR - Manure management - Poultry manure with litter</t>
  </si>
  <si>
    <t>TMR - Manure management - Pasture, range and paddock</t>
  </si>
  <si>
    <t>Pasture - Manure management - Lagoon</t>
  </si>
  <si>
    <t>Pasture - Manure management - Liquid/slurry</t>
  </si>
  <si>
    <t>Pasture - Manure management - Drylot</t>
  </si>
  <si>
    <t>Pasture - Manure management - Solid storage</t>
  </si>
  <si>
    <t>Pasture - Manure management - Dailyspread</t>
  </si>
  <si>
    <t>Pasture - Manure management - Compost</t>
  </si>
  <si>
    <t>Pasture - Manure management - Manure with bedding</t>
  </si>
  <si>
    <t>Pasture - Manure management - Poultry manure without litter</t>
  </si>
  <si>
    <t>Pasture - Manure management - Poultry manure with litter</t>
  </si>
  <si>
    <t>Pasture - Manure management - Pasture, range and paddock</t>
  </si>
  <si>
    <t>Non-lactating - Manure management - Lagoon</t>
  </si>
  <si>
    <t>Non-lactating - Manure management - Liquid/slurry</t>
  </si>
  <si>
    <t>Non-lactating - Manure management - Drylot</t>
  </si>
  <si>
    <t>Non-lactating - Manure management - Solid storage</t>
  </si>
  <si>
    <t>Non-lactating - Manure management - Dailyspread</t>
  </si>
  <si>
    <t>Non-lactating - Manure management - Compost</t>
  </si>
  <si>
    <t>Non-lactating - Manure management - Manure with bedding</t>
  </si>
  <si>
    <t>Non-lactating - Manure management - Poultry manure without litter</t>
  </si>
  <si>
    <t>Non-lactating - Manure management - Poultry manure with litter</t>
  </si>
  <si>
    <t>Non-lactating - Manure management - Pasture, range and paddock</t>
  </si>
  <si>
    <t>Commercial cattle - Manure management - Lagoon</t>
  </si>
  <si>
    <t>Commercial cattle - Manure management - Liquid/slurry</t>
  </si>
  <si>
    <t>Commercial cattle - Manure management - Drylot</t>
  </si>
  <si>
    <t>Commercial cattle - Manure management - Solid storage</t>
  </si>
  <si>
    <t>Commercial cattle - Manure management - Dailyspread</t>
  </si>
  <si>
    <t>Commercial cattle - Manure management - Compost</t>
  </si>
  <si>
    <t>Commercial cattle - Manure management - Manure with bedding</t>
  </si>
  <si>
    <t>Commercial cattle - Manure management - Poultry manure without litter</t>
  </si>
  <si>
    <t>Commercial cattle - Manure management - Poultry manure with litter</t>
  </si>
  <si>
    <t>Commercial cattle - Manure management - Pasture, range and paddock</t>
  </si>
  <si>
    <t>Subsistence cattle - Manure management - Lagoon</t>
  </si>
  <si>
    <t>Subsistence cattle - Manure management - Liquid/slurry</t>
  </si>
  <si>
    <t>Subsistence cattle - Manure management - Drylot</t>
  </si>
  <si>
    <t>Subsistence cattle - Manure management - Solid storage</t>
  </si>
  <si>
    <t>Subsistence cattle - Manure management - Dailyspread</t>
  </si>
  <si>
    <t>Subsistence cattle - Manure management - Compost</t>
  </si>
  <si>
    <t>Subsistence cattle - Manure management - Manure with bedding</t>
  </si>
  <si>
    <t>Subsistence cattle - Manure management - Poultry manure without litter</t>
  </si>
  <si>
    <t>Subsistence cattle - Manure management - Poultry manure with litter</t>
  </si>
  <si>
    <t>Subsistence cattle - Manure management - Pasture, range and paddock</t>
  </si>
  <si>
    <t>Feedlot - Manure management - Lagoon</t>
  </si>
  <si>
    <t>Feedlot - Manure management - Liquid/slurry</t>
  </si>
  <si>
    <t>Feedlot - Manure management - Drylot</t>
  </si>
  <si>
    <t>Feedlot - Manure management - Solid storage</t>
  </si>
  <si>
    <t>Feedlot - Manure management - Dailyspread</t>
  </si>
  <si>
    <t>Feedlot - Manure management - Compost</t>
  </si>
  <si>
    <t>Feedlot - Manure management - Manure with bedding</t>
  </si>
  <si>
    <t>Feedlot - Manure management - Poultry manure without litter</t>
  </si>
  <si>
    <t>Feedlot - Manure management - Poultry manure with litter</t>
  </si>
  <si>
    <t>Feedlot - Manure management - Pasture, range and paddock</t>
  </si>
  <si>
    <t>Commercial sheep - Manure management - Lagoon</t>
  </si>
  <si>
    <t>Commercial sheep - Manure management - Liquid/slurry</t>
  </si>
  <si>
    <t>Commercial sheep - Manure management - Drylot</t>
  </si>
  <si>
    <t>Commercial sheep - Manure management - Solid storage</t>
  </si>
  <si>
    <t>Commercial sheep - Manure management - Dailyspread</t>
  </si>
  <si>
    <t>Commercial sheep - Manure management - Compost</t>
  </si>
  <si>
    <t>Commercial sheep - Manure management - Manure with bedding</t>
  </si>
  <si>
    <t>Commercial sheep - Manure management - Poultry manure without litter</t>
  </si>
  <si>
    <t>Commercial sheep - Manure management - Poultry manure with litter</t>
  </si>
  <si>
    <t>Commercial sheep - Manure management - Pasture, range and paddock</t>
  </si>
  <si>
    <t>Subsistence sheep - Manure management - Lagoon</t>
  </si>
  <si>
    <t>Subsistence sheep - Manure management - Liquid/slurry</t>
  </si>
  <si>
    <t>Subsistence sheep - Manure management - Drylot</t>
  </si>
  <si>
    <t>Subsistence sheep - Manure management - Solid storage</t>
  </si>
  <si>
    <t>Subsistence sheep - Manure management - Dailyspread</t>
  </si>
  <si>
    <t>Subsistence sheep - Manure management - Compost</t>
  </si>
  <si>
    <t>Subsistence sheep - Manure management - Manure with bedding</t>
  </si>
  <si>
    <t>Subsistence sheep - Manure management - Poultry manure without litter</t>
  </si>
  <si>
    <t>Subsistence sheep - Manure management - Poultry manure with litter</t>
  </si>
  <si>
    <t>Subsistence sheep - Manure management - Pasture, range and paddock</t>
  </si>
  <si>
    <t>Commercial goats - Manure management - Lagoon</t>
  </si>
  <si>
    <t>Commercial goats - Manure management - Liquid/slurry</t>
  </si>
  <si>
    <t>Commercial goats - Manure management - Drylot</t>
  </si>
  <si>
    <t>Commercial goats - Manure management - Solid storage</t>
  </si>
  <si>
    <t>Commercial goats - Manure management - Dailyspread</t>
  </si>
  <si>
    <t>Commercial goats - Manure management - Compost</t>
  </si>
  <si>
    <t>Commercial goats - Manure management - Manure with bedding</t>
  </si>
  <si>
    <t>Commercial goats - Manure management - Poultry manure without litter</t>
  </si>
  <si>
    <t>Commercial goats - Manure management - Poultry manure with litter</t>
  </si>
  <si>
    <t>Commercial goats - Manure management - Pasture, range and paddock</t>
  </si>
  <si>
    <t>Subsistence goats - Manure management - Lagoon</t>
  </si>
  <si>
    <t>Subsistence goats - Manure management - Liquid/slurry</t>
  </si>
  <si>
    <t>Subsistence goats - Manure management - Drylot</t>
  </si>
  <si>
    <t>Subsistence goats - Manure management - Solid storage</t>
  </si>
  <si>
    <t>Subsistence goats - Manure management - Dailyspread</t>
  </si>
  <si>
    <t>Subsistence goats - Manure management - Compost</t>
  </si>
  <si>
    <t>Subsistence goats - Manure management - Manure with bedding</t>
  </si>
  <si>
    <t>Subsistence goats - Manure management - Poultry manure without litter</t>
  </si>
  <si>
    <t>Subsistence goats - Manure management - Poultry manure with litter</t>
  </si>
  <si>
    <t>Subsistence goats - Manure management - Pasture, range and paddock</t>
  </si>
  <si>
    <t>Horses - Manure management - Lagoon</t>
  </si>
  <si>
    <t>Horses - Manure management - Liquid/slurry</t>
  </si>
  <si>
    <t>Horses - Manure management - Drylot</t>
  </si>
  <si>
    <t>Horses - Manure management - Solid storage</t>
  </si>
  <si>
    <t>Horses - Manure management - Dailyspread</t>
  </si>
  <si>
    <t>Horses - Manure management - Compost</t>
  </si>
  <si>
    <t>Horses - Manure management - Manure with bedding</t>
  </si>
  <si>
    <t>Horses - Manure management - Poultry manure without litter</t>
  </si>
  <si>
    <t>Horses - Manure management - Poultry manure with litter</t>
  </si>
  <si>
    <t>Horses - Manure management - Pasture, range and paddock</t>
  </si>
  <si>
    <t>Mules &amp; Asses - Manure management - Lagoon</t>
  </si>
  <si>
    <t>Mules &amp; Asses - Manure management - Liquid/slurry</t>
  </si>
  <si>
    <t>Mules &amp; Asses - Manure management - Drylot</t>
  </si>
  <si>
    <t>Mules &amp; Asses - Manure management - Solid storage</t>
  </si>
  <si>
    <t>Mules &amp; Asses - Manure management - Dailyspread</t>
  </si>
  <si>
    <t>Mules &amp; Asses - Manure management - Compost</t>
  </si>
  <si>
    <t>Mules &amp; Asses - Manure management - Manure with bedding</t>
  </si>
  <si>
    <t>Mules &amp; Asses - Manure management - Poultry manure without litter</t>
  </si>
  <si>
    <t>Mules &amp; Asses - Manure management - Poultry manure with litter</t>
  </si>
  <si>
    <t>Mules &amp; Asses - Manure management - Pasture, range and paddock</t>
  </si>
  <si>
    <t>Commercial swine - Manure management - Lagoon</t>
  </si>
  <si>
    <t>Commercial swine - Manure management - Liquid/slurry</t>
  </si>
  <si>
    <t>Commercial swine - Manure management - Drylot</t>
  </si>
  <si>
    <t>Commercial swine - Manure management - Solid storage</t>
  </si>
  <si>
    <t>Commercial swine - Manure management - Dailyspread</t>
  </si>
  <si>
    <t>Commercial swine - Manure management - Compost</t>
  </si>
  <si>
    <t>Commercial swine - Manure management - Manure with bedding</t>
  </si>
  <si>
    <t>Commercial swine - Manure management - Poultry manure without litter</t>
  </si>
  <si>
    <t>Commercial swine - Manure management - Poultry manure with litter</t>
  </si>
  <si>
    <t>Commercial swine - Manure management - Pasture, range and paddock</t>
  </si>
  <si>
    <t>Subsistence swine - Manure management - Lagoon</t>
  </si>
  <si>
    <t>Subsistence swine - Manure management - Liquid/slurry</t>
  </si>
  <si>
    <t>Subsistence swine - Manure management - Drylot</t>
  </si>
  <si>
    <t>Subsistence swine - Manure management - Solid storage</t>
  </si>
  <si>
    <t>Subsistence swine - Manure management - Dailyspread</t>
  </si>
  <si>
    <t>Subsistence swine - Manure management - Compost</t>
  </si>
  <si>
    <t>Subsistence swine - Manure management - Manure with bedding</t>
  </si>
  <si>
    <t>Subsistence swine - Manure management - Poultry manure without litter</t>
  </si>
  <si>
    <t>Subsistence swine - Manure management - Poultry manure with litter</t>
  </si>
  <si>
    <t>Subsistence swine - Manure management - Pasture, range and paddock</t>
  </si>
  <si>
    <t>Commercial layers - Manure management - Lagoon</t>
  </si>
  <si>
    <t>Commercial layers - Manure management - Liquid/slurry</t>
  </si>
  <si>
    <t>Commercial layers - Manure management - Drylot</t>
  </si>
  <si>
    <t>Commercial layers - Manure management - Solid storage</t>
  </si>
  <si>
    <t>Commercial layers - Manure management - Dailyspread</t>
  </si>
  <si>
    <t>Commercial layers - Manure management - Compost</t>
  </si>
  <si>
    <t>Commercial layers - Manure management - Manure with bedding</t>
  </si>
  <si>
    <t>Commercial layers - Manure management - Poultry manure without litter</t>
  </si>
  <si>
    <t>Commercial layers - Manure management - Poultry manure with litter</t>
  </si>
  <si>
    <t>Commercial layers - Manure management - Pasture, range and paddock</t>
  </si>
  <si>
    <t>Commercial broilers - Manure management - Lagoon</t>
  </si>
  <si>
    <t>Commercial broilers - Manure management - Liquid/slurry</t>
  </si>
  <si>
    <t>Commercial broilers - Manure management - Drylot</t>
  </si>
  <si>
    <t>Commercial broilers - Manure management - Solid storage</t>
  </si>
  <si>
    <t>Commercial broilers - Manure management - Dailyspread</t>
  </si>
  <si>
    <t>Commercial broilers - Manure management - Compost</t>
  </si>
  <si>
    <t>Commercial broilers - Manure management - Manure with bedding</t>
  </si>
  <si>
    <t>Commercial broilers - Manure management - Poultry manure without litter</t>
  </si>
  <si>
    <t>Commercial broilers - Manure management - Poultry manure with litter</t>
  </si>
  <si>
    <t>Commercial broilers - Manure management - Pasture, range and paddock</t>
  </si>
  <si>
    <t>Subsistence layers - Manure management - Lagoon</t>
  </si>
  <si>
    <t>Subsistence layers - Manure management - Liquid/slurry</t>
  </si>
  <si>
    <t>Subsistence layers - Manure management - Drylot</t>
  </si>
  <si>
    <t>Subsistence layers - Manure management - Solid storage</t>
  </si>
  <si>
    <t>Subsistence layers - Manure management - Dailyspread</t>
  </si>
  <si>
    <t>Subsistence layers - Manure management - Compost</t>
  </si>
  <si>
    <t>Subsistence layers - Manure management - Manure with bedding</t>
  </si>
  <si>
    <t>Subsistence layers - Manure management - Poultry manure without litter</t>
  </si>
  <si>
    <t>Subsistence layers - Manure management - Poultry manure with litter</t>
  </si>
  <si>
    <t>Subsistence layers - Manure management - Pasture, range and paddock</t>
  </si>
  <si>
    <t>Subsistence broilers - Manure management - Lagoon</t>
  </si>
  <si>
    <t>Subsistence broilers - Manure management - Liquid/slurry</t>
  </si>
  <si>
    <t>Subsistence broilers - Manure management - Drylot</t>
  </si>
  <si>
    <t>Subsistence broilers - Manure management - Solid storage</t>
  </si>
  <si>
    <t>Subsistence broilers - Manure management - Dailyspread</t>
  </si>
  <si>
    <t>Subsistence broilers - Manure management - Compost</t>
  </si>
  <si>
    <t>Subsistence broilers - Manure management - Manure with bedding</t>
  </si>
  <si>
    <t>Subsistence broilers - Manure management - Poultry manure without litter</t>
  </si>
  <si>
    <t>Subsistence broilers - Manure management - Poultry manure with litter</t>
  </si>
  <si>
    <t>Subsistence broilers - Manure management - Pasture, range and paddock</t>
  </si>
  <si>
    <t>Manure N and organic inputs</t>
  </si>
  <si>
    <t>Gg CO2e</t>
  </si>
  <si>
    <t>Enteric</t>
  </si>
  <si>
    <t>Manure CH4</t>
  </si>
  <si>
    <t>Manure N2O</t>
  </si>
  <si>
    <t>Biomass burning CH4</t>
  </si>
  <si>
    <t>Biomass burning N2O</t>
  </si>
  <si>
    <t>Urea</t>
  </si>
  <si>
    <t>Direct N2O</t>
  </si>
  <si>
    <t>Indirect N2O from MM</t>
  </si>
  <si>
    <t>Indirect N2O from MS</t>
  </si>
  <si>
    <t>FF</t>
  </si>
  <si>
    <t>OO</t>
  </si>
  <si>
    <t>Ft</t>
  </si>
  <si>
    <t>Fw</t>
  </si>
  <si>
    <t>Fp</t>
  </si>
  <si>
    <t>Cnp</t>
  </si>
  <si>
    <t>Cp</t>
  </si>
  <si>
    <t>Co</t>
  </si>
  <si>
    <t>Cv</t>
  </si>
  <si>
    <t>Cs</t>
  </si>
  <si>
    <t>GG</t>
  </si>
  <si>
    <t>Gs</t>
  </si>
  <si>
    <t>WW</t>
  </si>
  <si>
    <t>SS</t>
  </si>
  <si>
    <t>Sm</t>
  </si>
  <si>
    <t>Ob</t>
  </si>
  <si>
    <t>Mitigation levers</t>
  </si>
  <si>
    <t>3A2 Manure management (N2O)</t>
  </si>
  <si>
    <t>Agricultural emission projections - Baseline</t>
  </si>
  <si>
    <t>Compost N application</t>
  </si>
  <si>
    <t>Crop residue N application</t>
  </si>
  <si>
    <t>Crop residue N</t>
  </si>
  <si>
    <t>Conservation agriculture area</t>
  </si>
  <si>
    <t>kg/capita</t>
  </si>
  <si>
    <t>Lamb and chevon</t>
  </si>
  <si>
    <t>BFAP projections data</t>
  </si>
  <si>
    <t>Chicken production (BFAP)</t>
  </si>
  <si>
    <t>Chicken consumption (BFAP)</t>
  </si>
  <si>
    <t>Chicken production (model)</t>
  </si>
  <si>
    <t>Chicken consumption (model)</t>
  </si>
  <si>
    <t>Egg production (BFAP)</t>
  </si>
  <si>
    <t>Egg consumption (BFAP)</t>
  </si>
  <si>
    <t>Egg production (model)</t>
  </si>
  <si>
    <t>Egg consumption (model)</t>
  </si>
  <si>
    <t>Beef production (BFAP)</t>
  </si>
  <si>
    <t>Beef consumption (BFAP)</t>
  </si>
  <si>
    <t>Beef production (model)</t>
  </si>
  <si>
    <t>Beef consumption (model)</t>
  </si>
  <si>
    <t>Pork production (BFAP)</t>
  </si>
  <si>
    <t>Pork Domestic Use (BFAP)</t>
  </si>
  <si>
    <t>Pork production (model)</t>
  </si>
  <si>
    <t>Pork Domestic Use (model)</t>
  </si>
  <si>
    <t>Fluid milk production (BFAP)</t>
  </si>
  <si>
    <t>Fluid milk fresh utilization (BFAP)</t>
  </si>
  <si>
    <t>Fluid Milk factory utilization (BFAP)</t>
  </si>
  <si>
    <t>Milk production (model)</t>
  </si>
  <si>
    <t>Milk consumption (model)</t>
  </si>
  <si>
    <t>Sheep meat production (BFAP)</t>
  </si>
  <si>
    <t>Sheep meat domestic Use (BFAP)</t>
  </si>
  <si>
    <t>Sheep meat production (model)</t>
  </si>
  <si>
    <t>Sheep meat domestic Use (model)</t>
  </si>
  <si>
    <t>Name</t>
  </si>
  <si>
    <t>Agriculture model_v1.5</t>
  </si>
  <si>
    <t>File details</t>
  </si>
  <si>
    <t>Last modified by</t>
  </si>
  <si>
    <t>Date</t>
  </si>
  <si>
    <t>LS</t>
  </si>
  <si>
    <t>Worksheet details</t>
  </si>
  <si>
    <t>20-06-2020</t>
  </si>
  <si>
    <t>Aggregtaed EF</t>
  </si>
  <si>
    <t>Function</t>
  </si>
  <si>
    <t>This contains a list of the IPCC categrioes and the levels. These are referred to throughout the worksheet.</t>
  </si>
  <si>
    <t>Colour coding</t>
  </si>
  <si>
    <t>Calculation</t>
  </si>
  <si>
    <t>Linked</t>
  </si>
  <si>
    <t>Coefficient</t>
  </si>
  <si>
    <t>Linked to another spreadsheet</t>
  </si>
  <si>
    <t>Data that is input into the model. In this case it is the drivers and then the activity data for the inventory for 1990-2017.</t>
  </si>
  <si>
    <t>Assumption</t>
  </si>
  <si>
    <t>Agriculture model_v1.6</t>
  </si>
  <si>
    <t>Cleaned up the model and took out any unnecessary information</t>
  </si>
  <si>
    <t>Conservation agriculture involves mulching which is the incorporation of crop residues into the soil. If more crop residues are used there would be an increase in crop residue emissions, and a reduction in inorgonic fertiliser and other compost use.</t>
  </si>
  <si>
    <t>Mitigation action: Conservation agriculture</t>
  </si>
  <si>
    <t>Mitigation action: Biodigesters</t>
  </si>
  <si>
    <t>IPCC default</t>
  </si>
  <si>
    <t>Constants from inventory</t>
  </si>
  <si>
    <t>Comparison with 2017 inventory</t>
  </si>
  <si>
    <t>Value</t>
  </si>
  <si>
    <t>Forest remaining forest land</t>
  </si>
  <si>
    <t>ton C</t>
  </si>
  <si>
    <t>NO</t>
  </si>
  <si>
    <t>Wetland remaining wetland</t>
  </si>
  <si>
    <t>C:N ratio for forest land converted to cropland</t>
  </si>
  <si>
    <t>C:N ratio for grassland converted to cropland</t>
  </si>
  <si>
    <t>C:N ratio of cropland remaining cropland</t>
  </si>
  <si>
    <t>C:N ratio for other land use types and conversions</t>
  </si>
  <si>
    <t>Total agriculture (model)</t>
  </si>
  <si>
    <t>Percentage difference</t>
  </si>
  <si>
    <t>These are all the constant factors in the equations.</t>
  </si>
  <si>
    <t>Currently there are no mitigation actions included for the agriculture sector as there are no policy targets for this component (see further discussion in the Mitigation scenario worksheet).</t>
  </si>
  <si>
    <t>Emission factors required in the calculations.</t>
  </si>
  <si>
    <t>Factors are taken from inventory, but in many cases the inventory EF were aggregated (see Aggregated EF for calculations) to reduce complexity.</t>
  </si>
  <si>
    <t>This is where the inventory emission factors are along with data for calculating the weighted EF.</t>
  </si>
  <si>
    <t>Worksheet where emisions are calculated.</t>
  </si>
  <si>
    <t>Summary of emissions.</t>
  </si>
  <si>
    <t>21-06-2020</t>
  </si>
  <si>
    <t>Livestock emissions (modelled)</t>
  </si>
  <si>
    <t>Livestock emissions (2017 inventory)</t>
  </si>
  <si>
    <t>Aggregated non-CO2 emissions (modelled)</t>
  </si>
  <si>
    <t>Aggregated non-CO2 emissions (2017 inventory)</t>
  </si>
  <si>
    <t>Biomass burning CH4 (inventory)</t>
  </si>
  <si>
    <t>Biomass burning N2O (inventory)</t>
  </si>
  <si>
    <t>Liming (inventory)</t>
  </si>
  <si>
    <t>Urea (inventory)</t>
  </si>
  <si>
    <t>Direct N2O (inventory)</t>
  </si>
  <si>
    <t>Indirect N2O from MS (inventory)</t>
  </si>
  <si>
    <t>Indirect N2O from MM (inventory)</t>
  </si>
  <si>
    <t>Billion</t>
  </si>
  <si>
    <t>Population number from Faaiqa</t>
  </si>
  <si>
    <t>Maize consumption (human)</t>
  </si>
  <si>
    <t>Sorghum consumption (human)</t>
  </si>
  <si>
    <t>1990-2017</t>
  </si>
  <si>
    <t>TMR - Manure management - Anaerobic digester</t>
  </si>
  <si>
    <t>Pasture - Manure management - Anaerobic biodigester</t>
  </si>
  <si>
    <t>Non-lactating - Manure management - Anaerobic biodigesters</t>
  </si>
  <si>
    <t>Subsistence cattle - Manure management - Anaerobic biodigesters</t>
  </si>
  <si>
    <t>Feedlot - Manure management - Anaerobic biodigesters</t>
  </si>
  <si>
    <t>Commercial sheep - Manure management - Anaerobic biodigesters</t>
  </si>
  <si>
    <t>Subsistence sheep - Manure management - Anaerobic biodigesters</t>
  </si>
  <si>
    <t>Commercial goats - Manure management - Anaerobic biodigesters</t>
  </si>
  <si>
    <t>Subsistence goats - Manure management - Anaerobic biodigesters</t>
  </si>
  <si>
    <t>Horses - Manure management - Anaerobic biodigesters</t>
  </si>
  <si>
    <t>Mules &amp; Asses - Manure management - Anaerobic biodigesters</t>
  </si>
  <si>
    <t>Commercial swine - Manure management - Anaerobic biodigesters</t>
  </si>
  <si>
    <t>Subsistence swine - Manure management - Anaerobic biodigesters</t>
  </si>
  <si>
    <t>Commercial layers - Manure management - Anaerobic biodigesters</t>
  </si>
  <si>
    <t>Commercial broilers - Manure management - Anaerobic biodigesters</t>
  </si>
  <si>
    <t>Subsistence layers - Manure management - Anaerobic biodigesters</t>
  </si>
  <si>
    <t>Subsistence broilers - Manure management - Anaerobic biodigesters</t>
  </si>
  <si>
    <t>Anaerobic biodigesters</t>
  </si>
  <si>
    <t>Commercial cattle - Manure management - Anaerobic digesters</t>
  </si>
  <si>
    <t>Dairy cattle manure management</t>
  </si>
  <si>
    <t>Other cattle manure management</t>
  </si>
  <si>
    <t>Sheep manure management</t>
  </si>
  <si>
    <t>Goat manure management</t>
  </si>
  <si>
    <t>Horse and mule manure management</t>
  </si>
  <si>
    <t>Swine manure management</t>
  </si>
  <si>
    <t>Poultry manure management</t>
  </si>
  <si>
    <t>Biodigester will driver manure away from other manure management practices and thereby reduce manure management emissions. Assumed that only manure from feedlots, commercial swine farms and poultry farms are likeley to be used for biodigesters due to the type of manure and the quantity.</t>
  </si>
  <si>
    <t>Most likely livestock for anaerobic biodigesters are highlighted in pink</t>
  </si>
  <si>
    <t>Check total adds to 100</t>
  </si>
  <si>
    <t xml:space="preserve">These are just intermediate calculation outputs where some output checks and verification can be done. </t>
  </si>
  <si>
    <t>These are the factors related to mitigation actions that would need to be inut into the model to obtain reducton estimates.</t>
  </si>
  <si>
    <t>Mitigation drivers</t>
  </si>
  <si>
    <t>Emissions</t>
  </si>
  <si>
    <t>Emission summary</t>
  </si>
  <si>
    <t>Land converted to forest</t>
  </si>
  <si>
    <t>Land converted to croplands</t>
  </si>
  <si>
    <t>Land converted to grasslands</t>
  </si>
  <si>
    <t>Land converted to wetlands</t>
  </si>
  <si>
    <t>Lands convertde to settlements</t>
  </si>
  <si>
    <t>Lands converted to other lands</t>
  </si>
  <si>
    <t>Land converted to wetland</t>
  </si>
  <si>
    <t>Land converted to other lands</t>
  </si>
  <si>
    <t>CO2toC</t>
  </si>
  <si>
    <t>Gg to tonne</t>
  </si>
  <si>
    <t>NOTE: There are currently no mitigation activities included for agriculture as there are no policies or targets. Have incorportaed digesters incase there is a need for a link with waste - perhaps there is a waste/energy target related to this? There is also very little data on the percentage of manure that is managed that is diverted to digesters.</t>
  </si>
  <si>
    <t>Agriculture model_v1.7</t>
  </si>
  <si>
    <t>27-06-2020</t>
  </si>
  <si>
    <t>Added in manure management under mitigation drivers; added all links to driver data to make it more active; combined calculated drivers with intermediate calculations.</t>
  </si>
  <si>
    <t>NOTES</t>
  </si>
  <si>
    <r>
      <t xml:space="preserve">Currently 1990-2027 data from inventory, then projections take over and are driven by the various drivers. </t>
    </r>
    <r>
      <rPr>
        <b/>
        <i/>
        <sz val="11"/>
        <color theme="1"/>
        <rFont val="Calibri"/>
        <family val="2"/>
        <scheme val="minor"/>
      </rPr>
      <t>NOTE: there are some links in this sheet to the Land model so need to check they are linked.</t>
    </r>
  </si>
  <si>
    <t>Agriculture model_v1.8</t>
  </si>
  <si>
    <t>29-06-2020</t>
  </si>
  <si>
    <t>Fixed problem with FSOM values.</t>
  </si>
  <si>
    <t>Growth from StatsSA</t>
  </si>
  <si>
    <t>Equations for calculations</t>
  </si>
  <si>
    <t>Wealth (GDP)</t>
  </si>
  <si>
    <t>GDP/capita</t>
  </si>
  <si>
    <t>GDP</t>
  </si>
  <si>
    <t>Corrected based on StatSA data</t>
  </si>
  <si>
    <t>Population (head)</t>
  </si>
  <si>
    <t xml:space="preserve">Sorghum area </t>
  </si>
  <si>
    <t>Inorganic N</t>
  </si>
  <si>
    <t>Meat production</t>
  </si>
  <si>
    <t>Head/t</t>
  </si>
  <si>
    <t>Lamb production efficiency</t>
  </si>
  <si>
    <t>Goat production efficiency</t>
  </si>
  <si>
    <t>Pork production efficiency</t>
  </si>
  <si>
    <t>Agriculture model_v1.9</t>
  </si>
  <si>
    <t>09-07-2020</t>
  </si>
  <si>
    <t>Fixed problem with GDP jump between 2011 and 2012.</t>
  </si>
  <si>
    <t>Agriculture model_v1.10</t>
  </si>
  <si>
    <t>11-07-2020</t>
  </si>
  <si>
    <t>Agriculture model_v1.11</t>
  </si>
  <si>
    <t>Made adjustments to allow model to run from 2012 on the drivers, and added some levers in the Constants worksheet.</t>
  </si>
  <si>
    <t>Intermediate calculations</t>
  </si>
  <si>
    <t>These are the main drivers - GDP and population.</t>
  </si>
  <si>
    <t>Currently it has the population sent to LS by Faaiqa, and the GDP data was Faaiqu and prior to 2012 GDP data was adjusted and extrapolated using growth raes from StatsSA data.</t>
  </si>
  <si>
    <t>Relationships</t>
  </si>
  <si>
    <t>This is where the relationship for the calculations are determined. It also allows input data and activity data from te inventory to be incorporated, then the intermediate calculation file allows for the model to run on drivers from 2012.</t>
  </si>
  <si>
    <t>Activity data required for calculations. This is where livestock population data can be found.</t>
  </si>
  <si>
    <t>Tidied worksheets up and updated notes.</t>
  </si>
  <si>
    <t>Fraction commercial sheep</t>
  </si>
  <si>
    <t>Fraction commercial goats</t>
  </si>
  <si>
    <t>Fraction commercial swine</t>
  </si>
  <si>
    <t>Egg production efficiency</t>
  </si>
  <si>
    <t>Fraction commercial layers</t>
  </si>
  <si>
    <t>Chicken production efficiency</t>
  </si>
  <si>
    <t>Fraction commercial broilers</t>
  </si>
  <si>
    <t>Milk production efficiency</t>
  </si>
  <si>
    <t>Pasture fraction</t>
  </si>
  <si>
    <t>Reference</t>
  </si>
  <si>
    <t>Chevon consumption efficiency</t>
  </si>
  <si>
    <t>Commercial cattle fraction</t>
  </si>
  <si>
    <t>Feedlot production</t>
  </si>
  <si>
    <t>Other cattle production</t>
  </si>
  <si>
    <t>Other cattle production efficiency</t>
  </si>
  <si>
    <t>Feedlot fraction of production</t>
  </si>
  <si>
    <t>Feedlot production efficiency</t>
  </si>
  <si>
    <t>Number of days in a feedlot</t>
  </si>
  <si>
    <t>Days</t>
  </si>
  <si>
    <t>Feed conversion factors - Dairy</t>
  </si>
  <si>
    <t>Feed conversion factors - Cattle</t>
  </si>
  <si>
    <t>Feed conversion factors - Sheep</t>
  </si>
  <si>
    <t>Feed conversion factors - Pigs</t>
  </si>
  <si>
    <t>Feed conversion factors - Layers</t>
  </si>
  <si>
    <t>Feed conversion factors - Broilers</t>
  </si>
  <si>
    <t>Maize for Dairy</t>
  </si>
  <si>
    <t>Maize for Cattle</t>
  </si>
  <si>
    <t>Maize for Sheep</t>
  </si>
  <si>
    <t>Maize for Pigs</t>
  </si>
  <si>
    <t>Maize for Layers</t>
  </si>
  <si>
    <t>Maize for Broilers</t>
  </si>
  <si>
    <t>Maize feed fraction - Dairy</t>
  </si>
  <si>
    <t>Maize feed fraction - Cattle</t>
  </si>
  <si>
    <t>Maize feed fraction - Sheep</t>
  </si>
  <si>
    <t>Maize feed fraction - Pigs</t>
  </si>
  <si>
    <t>Maize feed fraction - Layers</t>
  </si>
  <si>
    <t>Maize feed fraction - Broilers</t>
  </si>
  <si>
    <t>Lamb and chevon production</t>
  </si>
  <si>
    <t>Maize consumption (feed)</t>
  </si>
  <si>
    <t>Maize consumption (humans)</t>
  </si>
  <si>
    <t>Total maize consumption (feed)</t>
  </si>
  <si>
    <t xml:space="preserve">Maize production </t>
  </si>
  <si>
    <t>Levers</t>
  </si>
  <si>
    <t>Levers and variables</t>
  </si>
  <si>
    <t>Sorghum consumption (feed)</t>
  </si>
  <si>
    <t>This sheet has some variables that can be changed.</t>
  </si>
  <si>
    <t>Agriculture model_v1.12</t>
  </si>
  <si>
    <t>16-07-2020</t>
  </si>
  <si>
    <t>Adjusted sme of the relationships and added more detail to feedlots.</t>
  </si>
  <si>
    <t>Fraction of total lime</t>
  </si>
  <si>
    <t>Lime application rate - maize</t>
  </si>
  <si>
    <t>Lime application rate - sorghum</t>
  </si>
  <si>
    <t>Lime application rate - wheat</t>
  </si>
  <si>
    <t>rdim</t>
  </si>
  <si>
    <t>cdim</t>
  </si>
  <si>
    <t>dim</t>
  </si>
  <si>
    <t>par</t>
  </si>
  <si>
    <t>coal</t>
  </si>
  <si>
    <t>COM</t>
  </si>
  <si>
    <t>cp</t>
  </si>
  <si>
    <t>elec</t>
  </si>
  <si>
    <t>fb</t>
  </si>
  <si>
    <t>hydr</t>
  </si>
  <si>
    <t>is</t>
  </si>
  <si>
    <t>mi</t>
  </si>
  <si>
    <t>nf</t>
  </si>
  <si>
    <t>nm</t>
  </si>
  <si>
    <t>ot</t>
  </si>
  <si>
    <t>petr</t>
  </si>
  <si>
    <t>pp</t>
  </si>
  <si>
    <t>trana</t>
  </si>
  <si>
    <t>tranlf</t>
  </si>
  <si>
    <t>tranlp</t>
  </si>
  <si>
    <t>trano</t>
  </si>
  <si>
    <t>POP</t>
  </si>
  <si>
    <t>AgriEmissions</t>
  </si>
  <si>
    <t>Feedlot weight</t>
  </si>
  <si>
    <t>kg</t>
  </si>
  <si>
    <t>Fraction maize residue left in field</t>
  </si>
  <si>
    <t>Fraction sorghum residue left in field</t>
  </si>
  <si>
    <t>Fraction wheat residue left in field</t>
  </si>
  <si>
    <t>Maize yield</t>
  </si>
  <si>
    <t>Sorghum yield</t>
  </si>
  <si>
    <t>Wheat yield</t>
  </si>
  <si>
    <t>Maize residue to yield ratio</t>
  </si>
  <si>
    <t>Sorghum residue to yield ratio</t>
  </si>
  <si>
    <t>Wheat residue to yield ratio</t>
  </si>
  <si>
    <t>Maize below ground residue to yield ratio</t>
  </si>
  <si>
    <t>Sorghum below ground residue to yield ratio</t>
  </si>
  <si>
    <t>Wheat below ground residue to yield ratio</t>
  </si>
  <si>
    <t>Maize dry matter fraction</t>
  </si>
  <si>
    <t>Sorghum dry mater fraction</t>
  </si>
  <si>
    <t>Wheat dry matter fraction</t>
  </si>
  <si>
    <t>Crop carbon fraction</t>
  </si>
  <si>
    <t>Crop N:C ratio</t>
  </si>
  <si>
    <t>Dressing fraction</t>
  </si>
  <si>
    <t>Dairy cattle total</t>
  </si>
  <si>
    <t>Corrected inventory</t>
  </si>
  <si>
    <t>Original inventory</t>
  </si>
  <si>
    <t>Livestock emissions (corrected 2017 inventory)</t>
  </si>
  <si>
    <t>Aggregated non-CO2 emissions (corrected 2017 inventory)</t>
  </si>
  <si>
    <t>Total agricuture (corrected 2017 inventory)</t>
  </si>
  <si>
    <t>White meat consumption</t>
  </si>
  <si>
    <t>White meat production</t>
  </si>
  <si>
    <t>Total agricuture (original inventory)</t>
  </si>
  <si>
    <t>GVA_FS</t>
  </si>
  <si>
    <t>agr</t>
  </si>
  <si>
    <t>2012</t>
  </si>
  <si>
    <t>2013</t>
  </si>
  <si>
    <t>2014</t>
  </si>
  <si>
    <t>2015</t>
  </si>
  <si>
    <t>2016</t>
  </si>
  <si>
    <t>2017</t>
  </si>
  <si>
    <t>2018</t>
  </si>
  <si>
    <t>2019</t>
  </si>
  <si>
    <t>2020</t>
  </si>
  <si>
    <t>2021</t>
  </si>
  <si>
    <t>2022</t>
  </si>
  <si>
    <t>2023</t>
  </si>
  <si>
    <t>2024</t>
  </si>
  <si>
    <t>2025</t>
  </si>
  <si>
    <t>2026</t>
  </si>
  <si>
    <t>2027</t>
  </si>
  <si>
    <t>2028</t>
  </si>
  <si>
    <t>2029</t>
  </si>
  <si>
    <t>2030</t>
  </si>
  <si>
    <t>2031</t>
  </si>
  <si>
    <t>2032</t>
  </si>
  <si>
    <t>2033</t>
  </si>
  <si>
    <t>2034</t>
  </si>
  <si>
    <t>2035</t>
  </si>
  <si>
    <t>2036</t>
  </si>
  <si>
    <t>2037</t>
  </si>
  <si>
    <t>2038</t>
  </si>
  <si>
    <t>2039</t>
  </si>
  <si>
    <t>2040</t>
  </si>
  <si>
    <t>2041</t>
  </si>
  <si>
    <t>2042</t>
  </si>
  <si>
    <t>2043</t>
  </si>
  <si>
    <t>2044</t>
  </si>
  <si>
    <t>2045</t>
  </si>
  <si>
    <t>2046</t>
  </si>
  <si>
    <t>2047</t>
  </si>
  <si>
    <t>2048</t>
  </si>
  <si>
    <t>2049</t>
  </si>
  <si>
    <t>2050</t>
  </si>
  <si>
    <t>fa</t>
  </si>
  <si>
    <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</si>
</sst>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 #,##0.00_-;_-* &quot;-&quot;??_-;_-@_-"/>
    <numFmt numFmtId="164" formatCode="0.000"/>
    <numFmt numFmtId="165" formatCode="0_ ;\-0\ "/>
    <numFmt numFmtId="166" formatCode="0.0"/>
    <numFmt numFmtId="167" formatCode="0.0000"/>
    <numFmt numFmtId="168" formatCode="#,##0.000"/>
    <numFmt numFmtId="169" formatCode="0.0%"/>
  </numFmts>
  <fonts count="22" x14ac:knownFonts="1">
    <font>
      <sz val="11"/>
      <color theme="1"/>
      <name val="Calibri"/>
      <family val="2"/>
      <scheme val="minor"/>
    </font>
    <font>
      <sz val="11"/>
      <color theme="0"/>
      <name val="Calibri"/>
      <family val="2"/>
      <scheme val="minor"/>
    </font>
    <font>
      <sz val="10"/>
      <name val="Arial"/>
      <family val="2"/>
    </font>
    <font>
      <sz val="11"/>
      <name val="Calibri"/>
      <family val="2"/>
      <scheme val="minor"/>
    </font>
    <font>
      <b/>
      <sz val="11"/>
      <color theme="1"/>
      <name val="Calibri"/>
      <family val="2"/>
      <scheme val="minor"/>
    </font>
    <font>
      <sz val="10"/>
      <color theme="1"/>
      <name val="Arial"/>
      <family val="2"/>
    </font>
    <font>
      <b/>
      <sz val="14"/>
      <color theme="1"/>
      <name val="Calibri"/>
      <family val="2"/>
      <scheme val="minor"/>
    </font>
    <font>
      <b/>
      <i/>
      <sz val="11"/>
      <color theme="1"/>
      <name val="Calibri"/>
      <family val="2"/>
      <scheme val="minor"/>
    </font>
    <font>
      <b/>
      <sz val="12"/>
      <color theme="1"/>
      <name val="Calibri"/>
      <family val="2"/>
      <scheme val="minor"/>
    </font>
    <font>
      <b/>
      <sz val="13"/>
      <color theme="1"/>
      <name val="Calibri"/>
      <family val="2"/>
      <scheme val="minor"/>
    </font>
    <font>
      <i/>
      <sz val="11"/>
      <color theme="0" tint="-0.34998626667073579"/>
      <name val="Calibri"/>
      <family val="2"/>
      <scheme val="minor"/>
    </font>
    <font>
      <b/>
      <sz val="12"/>
      <color theme="0"/>
      <name val="Calibri"/>
      <family val="2"/>
      <scheme val="minor"/>
    </font>
    <font>
      <sz val="11"/>
      <color theme="1"/>
      <name val="Calibri"/>
      <family val="2"/>
      <scheme val="minor"/>
    </font>
    <font>
      <b/>
      <sz val="10"/>
      <name val="Arial"/>
      <family val="2"/>
    </font>
    <font>
      <b/>
      <sz val="10"/>
      <color rgb="FF0070C0"/>
      <name val="Arial"/>
      <family val="2"/>
    </font>
    <font>
      <sz val="10"/>
      <color rgb="FF0070C0"/>
      <name val="Arial"/>
      <family val="2"/>
    </font>
    <font>
      <b/>
      <sz val="12"/>
      <name val="Calibri"/>
      <family val="2"/>
      <scheme val="minor"/>
    </font>
    <font>
      <sz val="12"/>
      <color theme="1"/>
      <name val="Calibri"/>
      <family val="2"/>
      <scheme val="minor"/>
    </font>
    <font>
      <sz val="12"/>
      <name val="Calibri"/>
      <family val="2"/>
      <scheme val="minor"/>
    </font>
    <font>
      <b/>
      <i/>
      <sz val="10"/>
      <color theme="1"/>
      <name val="Calibri"/>
      <family val="2"/>
      <scheme val="minor"/>
    </font>
    <font>
      <i/>
      <sz val="11"/>
      <color rgb="FFFF0000"/>
      <name val="Calibri"/>
      <family val="2"/>
      <scheme val="minor"/>
    </font>
    <font>
      <sz val="11"/>
      <color rgb="FF9C0006"/>
      <name val="Calibri"/>
      <family val="2"/>
      <scheme val="minor"/>
    </font>
  </fonts>
  <fills count="31">
    <fill>
      <patternFill patternType="none"/>
    </fill>
    <fill>
      <patternFill patternType="gray125"/>
    </fill>
    <fill>
      <patternFill patternType="solid">
        <fgColor rgb="FFB482FF"/>
        <bgColor indexed="64"/>
      </patternFill>
    </fill>
    <fill>
      <patternFill patternType="solid">
        <fgColor rgb="FF324150"/>
        <bgColor indexed="64"/>
      </patternFill>
    </fill>
    <fill>
      <patternFill patternType="solid">
        <fgColor theme="9" tint="0.39997558519241921"/>
        <bgColor indexed="64"/>
      </patternFill>
    </fill>
    <fill>
      <patternFill patternType="solid">
        <fgColor theme="9" tint="0.79998168889431442"/>
        <bgColor indexed="64"/>
      </patternFill>
    </fill>
    <fill>
      <patternFill patternType="solid">
        <fgColor theme="0" tint="-4.9989318521683403E-2"/>
        <bgColor indexed="64"/>
      </patternFill>
    </fill>
    <fill>
      <patternFill patternType="solid">
        <fgColor rgb="FFFFFF99"/>
        <bgColor indexed="64"/>
      </patternFill>
    </fill>
    <fill>
      <patternFill patternType="solid">
        <fgColor rgb="FFFFC5E2"/>
        <bgColor indexed="64"/>
      </patternFill>
    </fill>
    <fill>
      <patternFill patternType="solid">
        <fgColor rgb="FFCAEAB4"/>
        <bgColor indexed="64"/>
      </patternFill>
    </fill>
    <fill>
      <patternFill patternType="solid">
        <fgColor theme="0" tint="-0.249977111117893"/>
        <bgColor indexed="64"/>
      </patternFill>
    </fill>
    <fill>
      <patternFill patternType="solid">
        <fgColor rgb="FFCC6600"/>
        <bgColor indexed="64"/>
      </patternFill>
    </fill>
    <fill>
      <patternFill patternType="solid">
        <fgColor rgb="FFAADC9B"/>
        <bgColor indexed="64"/>
      </patternFill>
    </fill>
    <fill>
      <patternFill patternType="solid">
        <fgColor theme="0" tint="-0.14999847407452621"/>
        <bgColor indexed="64"/>
      </patternFill>
    </fill>
    <fill>
      <patternFill patternType="solid">
        <fgColor theme="9" tint="0.59996337778862885"/>
        <bgColor indexed="64"/>
      </patternFill>
    </fill>
    <fill>
      <patternFill patternType="solid">
        <fgColor theme="2" tint="0.79998168889431442"/>
        <bgColor indexed="64"/>
      </patternFill>
    </fill>
    <fill>
      <patternFill patternType="solid">
        <fgColor theme="8" tint="0.79998168889431442"/>
        <bgColor indexed="64"/>
      </patternFill>
    </fill>
    <fill>
      <patternFill patternType="solid">
        <fgColor rgb="FF0070C0"/>
        <bgColor indexed="64"/>
      </patternFill>
    </fill>
    <fill>
      <patternFill patternType="solid">
        <fgColor rgb="FFCCCCFF"/>
        <bgColor indexed="64"/>
      </patternFill>
    </fill>
    <fill>
      <patternFill patternType="solid">
        <fgColor rgb="FFFFFF00"/>
        <bgColor indexed="64"/>
      </patternFill>
    </fill>
    <fill>
      <patternFill patternType="solid">
        <fgColor theme="5"/>
        <bgColor indexed="64"/>
      </patternFill>
    </fill>
    <fill>
      <patternFill patternType="solid">
        <fgColor rgb="FF7030A0"/>
        <bgColor indexed="64"/>
      </patternFill>
    </fill>
    <fill>
      <patternFill patternType="solid">
        <fgColor theme="8"/>
        <bgColor indexed="64"/>
      </patternFill>
    </fill>
    <fill>
      <patternFill patternType="solid">
        <fgColor theme="2" tint="0.59999389629810485"/>
        <bgColor indexed="64"/>
      </patternFill>
    </fill>
    <fill>
      <patternFill patternType="solid">
        <fgColor rgb="FF92D050"/>
        <bgColor indexed="64"/>
      </patternFill>
    </fill>
    <fill>
      <patternFill patternType="solid">
        <fgColor rgb="FF009900"/>
        <bgColor indexed="64"/>
      </patternFill>
    </fill>
    <fill>
      <patternFill patternType="solid">
        <fgColor theme="0"/>
        <bgColor indexed="64"/>
      </patternFill>
    </fill>
    <fill>
      <patternFill patternType="solid">
        <fgColor rgb="FFFFCCFF"/>
        <bgColor indexed="64"/>
      </patternFill>
    </fill>
    <fill>
      <patternFill patternType="solid">
        <fgColor theme="0" tint="-0.499984740745262"/>
        <bgColor indexed="64"/>
      </patternFill>
    </fill>
    <fill>
      <patternFill patternType="solid">
        <fgColor rgb="FF9966FF"/>
        <bgColor indexed="64"/>
      </patternFill>
    </fill>
    <fill>
      <patternFill patternType="solid">
        <fgColor rgb="FFFFC7CE"/>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double">
        <color rgb="FF3F3F3F"/>
      </left>
      <right style="double">
        <color rgb="FF3F3F3F"/>
      </right>
      <top style="double">
        <color rgb="FF3F3F3F"/>
      </top>
      <bottom style="double">
        <color rgb="FF3F3F3F"/>
      </bottom>
      <diagonal/>
    </border>
  </borders>
  <cellStyleXfs count="16">
    <xf numFmtId="0" fontId="0" fillId="0" borderId="0"/>
    <xf numFmtId="0" fontId="2" fillId="0" borderId="0"/>
    <xf numFmtId="0" fontId="5" fillId="0" borderId="0"/>
    <xf numFmtId="0" fontId="1" fillId="2" borderId="0" applyAlignment="0" applyProtection="0"/>
    <xf numFmtId="0" fontId="3" fillId="9" borderId="0" applyNumberFormat="0" applyAlignment="0" applyProtection="0"/>
    <xf numFmtId="0" fontId="3" fillId="7" borderId="0" applyNumberFormat="0" applyAlignment="0" applyProtection="0"/>
    <xf numFmtId="0" fontId="3" fillId="8" borderId="6" applyNumberFormat="0" applyAlignment="0" applyProtection="0"/>
    <xf numFmtId="0" fontId="1" fillId="11" borderId="0" applyAlignment="0" applyProtection="0"/>
    <xf numFmtId="0" fontId="3" fillId="12" borderId="0" applyAlignment="0" applyProtection="0"/>
    <xf numFmtId="43" fontId="12" fillId="0" borderId="0" applyFont="0" applyFill="0" applyBorder="0" applyAlignment="0" applyProtection="0"/>
    <xf numFmtId="4" fontId="3" fillId="14" borderId="0"/>
    <xf numFmtId="0" fontId="3" fillId="15" borderId="0"/>
    <xf numFmtId="0" fontId="12" fillId="16" borderId="0"/>
    <xf numFmtId="0" fontId="12" fillId="18" borderId="0"/>
    <xf numFmtId="9" fontId="12" fillId="0" borderId="0" applyFont="0" applyFill="0" applyBorder="0" applyAlignment="0" applyProtection="0"/>
    <xf numFmtId="0" fontId="21" fillId="30" borderId="0" applyNumberFormat="0" applyBorder="0" applyAlignment="0" applyProtection="0"/>
  </cellStyleXfs>
  <cellXfs count="110">
    <xf numFmtId="0" fontId="0" fillId="0" borderId="0" xfId="0"/>
    <xf numFmtId="0" fontId="6" fillId="0" borderId="0" xfId="0" applyFont="1"/>
    <xf numFmtId="0" fontId="8" fillId="5" borderId="1" xfId="0" applyFont="1" applyFill="1" applyBorder="1"/>
    <xf numFmtId="0" fontId="0" fillId="0" borderId="1" xfId="0" applyBorder="1"/>
    <xf numFmtId="0" fontId="0" fillId="0" borderId="1" xfId="0" applyBorder="1" applyAlignment="1">
      <alignment vertical="center"/>
    </xf>
    <xf numFmtId="0" fontId="10" fillId="0" borderId="1" xfId="0" applyFont="1" applyBorder="1"/>
    <xf numFmtId="0" fontId="0" fillId="0" borderId="1" xfId="0" applyBorder="1" applyAlignment="1">
      <alignment horizontal="center" vertical="center"/>
    </xf>
    <xf numFmtId="0" fontId="0" fillId="0" borderId="1" xfId="0" applyBorder="1" applyAlignment="1">
      <alignment horizontal="center" vertical="center" wrapText="1"/>
    </xf>
    <xf numFmtId="0" fontId="0" fillId="0" borderId="1" xfId="0" applyBorder="1" applyAlignment="1">
      <alignment horizontal="left" vertical="center"/>
    </xf>
    <xf numFmtId="0" fontId="0" fillId="0" borderId="1" xfId="0" applyBorder="1" applyAlignment="1">
      <alignment horizontal="left" vertical="center" wrapText="1"/>
    </xf>
    <xf numFmtId="0" fontId="8" fillId="5" borderId="5" xfId="0" applyFont="1" applyFill="1" applyBorder="1"/>
    <xf numFmtId="3" fontId="0" fillId="0" borderId="0" xfId="0" applyNumberFormat="1"/>
    <xf numFmtId="0" fontId="3" fillId="0" borderId="0" xfId="0" applyFont="1"/>
    <xf numFmtId="0" fontId="7" fillId="6" borderId="0" xfId="0" applyFont="1" applyFill="1"/>
    <xf numFmtId="0" fontId="0" fillId="0" borderId="0" xfId="0" applyAlignment="1">
      <alignment wrapText="1"/>
    </xf>
    <xf numFmtId="0" fontId="1" fillId="10" borderId="0" xfId="0" applyFont="1" applyFill="1"/>
    <xf numFmtId="0" fontId="1" fillId="10" borderId="0" xfId="0" applyFont="1" applyFill="1" applyAlignment="1">
      <alignment wrapText="1"/>
    </xf>
    <xf numFmtId="0" fontId="11" fillId="3" borderId="0" xfId="0" applyFont="1" applyFill="1"/>
    <xf numFmtId="0" fontId="11" fillId="3" borderId="0" xfId="0" applyFont="1" applyFill="1" applyAlignment="1">
      <alignment wrapText="1"/>
    </xf>
    <xf numFmtId="0" fontId="8" fillId="0" borderId="0" xfId="0" applyFont="1"/>
    <xf numFmtId="0" fontId="8" fillId="10" borderId="0" xfId="0" applyFont="1" applyFill="1"/>
    <xf numFmtId="0" fontId="3" fillId="9" borderId="0" xfId="4"/>
    <xf numFmtId="0" fontId="3" fillId="7" borderId="0" xfId="5"/>
    <xf numFmtId="0" fontId="0" fillId="0" borderId="0" xfId="0" applyFill="1"/>
    <xf numFmtId="3" fontId="3" fillId="7" borderId="0" xfId="5" applyNumberFormat="1"/>
    <xf numFmtId="2" fontId="3" fillId="9" borderId="0" xfId="4" applyNumberFormat="1"/>
    <xf numFmtId="164" fontId="3" fillId="7" borderId="0" xfId="5" applyNumberFormat="1"/>
    <xf numFmtId="0" fontId="1" fillId="11" borderId="0" xfId="7"/>
    <xf numFmtId="4" fontId="3" fillId="7" borderId="0" xfId="5" applyNumberFormat="1"/>
    <xf numFmtId="0" fontId="0" fillId="0" borderId="1" xfId="0" applyBorder="1" applyAlignment="1">
      <alignment vertical="center"/>
    </xf>
    <xf numFmtId="0" fontId="13" fillId="0" borderId="0" xfId="0" applyFont="1"/>
    <xf numFmtId="0" fontId="13" fillId="0" borderId="0" xfId="0" applyFont="1" applyFill="1"/>
    <xf numFmtId="0" fontId="2" fillId="0" borderId="0" xfId="0" applyFont="1" applyFill="1"/>
    <xf numFmtId="165" fontId="13" fillId="0" borderId="0" xfId="9" applyNumberFormat="1" applyFont="1" applyFill="1" applyProtection="1"/>
    <xf numFmtId="165" fontId="14" fillId="0" borderId="0" xfId="9" applyNumberFormat="1" applyFont="1" applyFill="1" applyProtection="1"/>
    <xf numFmtId="2" fontId="2" fillId="0" borderId="0" xfId="0" applyNumberFormat="1" applyFont="1" applyFill="1"/>
    <xf numFmtId="2" fontId="15" fillId="0" borderId="0" xfId="0" applyNumberFormat="1" applyFont="1" applyFill="1"/>
    <xf numFmtId="0" fontId="2" fillId="0" borderId="0" xfId="0" applyFont="1"/>
    <xf numFmtId="2" fontId="2" fillId="0" borderId="0" xfId="0" applyNumberFormat="1" applyFont="1"/>
    <xf numFmtId="2" fontId="15" fillId="0" borderId="0" xfId="0" applyNumberFormat="1" applyFont="1"/>
    <xf numFmtId="2" fontId="2" fillId="0" borderId="0" xfId="0" applyNumberFormat="1" applyFont="1" applyFill="1" applyAlignment="1">
      <alignment horizontal="right"/>
    </xf>
    <xf numFmtId="2" fontId="15" fillId="0" borderId="0" xfId="0" applyNumberFormat="1" applyFont="1" applyFill="1" applyAlignment="1">
      <alignment horizontal="right"/>
    </xf>
    <xf numFmtId="0" fontId="4" fillId="13" borderId="0" xfId="0" applyFont="1" applyFill="1"/>
    <xf numFmtId="3" fontId="3" fillId="9" borderId="0" xfId="4" applyNumberFormat="1"/>
    <xf numFmtId="4" fontId="3" fillId="9" borderId="0" xfId="4" applyNumberFormat="1"/>
    <xf numFmtId="0" fontId="3" fillId="15" borderId="0" xfId="11"/>
    <xf numFmtId="4" fontId="16" fillId="7" borderId="0" xfId="5" applyNumberFormat="1" applyFont="1"/>
    <xf numFmtId="0" fontId="17" fillId="0" borderId="0" xfId="0" applyFont="1"/>
    <xf numFmtId="4" fontId="18" fillId="7" borderId="0" xfId="5" applyNumberFormat="1" applyFont="1"/>
    <xf numFmtId="0" fontId="16" fillId="7" borderId="0" xfId="5" applyFont="1"/>
    <xf numFmtId="0" fontId="12" fillId="16" borderId="0" xfId="12"/>
    <xf numFmtId="0" fontId="8" fillId="13" borderId="0" xfId="0" applyFont="1" applyFill="1"/>
    <xf numFmtId="0" fontId="0" fillId="13" borderId="0" xfId="0" applyFill="1"/>
    <xf numFmtId="2" fontId="3" fillId="7" borderId="0" xfId="5" applyNumberFormat="1"/>
    <xf numFmtId="0" fontId="19" fillId="13" borderId="0" xfId="0" applyFont="1" applyFill="1"/>
    <xf numFmtId="0" fontId="1" fillId="17" borderId="0" xfId="0" applyFont="1" applyFill="1"/>
    <xf numFmtId="0" fontId="12" fillId="18" borderId="0" xfId="13"/>
    <xf numFmtId="10" fontId="0" fillId="0" borderId="0" xfId="0" applyNumberFormat="1"/>
    <xf numFmtId="0" fontId="0" fillId="19" borderId="1" xfId="0" applyFill="1" applyBorder="1" applyAlignment="1">
      <alignment vertical="center"/>
    </xf>
    <xf numFmtId="0" fontId="0" fillId="20" borderId="1" xfId="0" applyFill="1" applyBorder="1" applyAlignment="1">
      <alignment vertical="center"/>
    </xf>
    <xf numFmtId="0" fontId="0" fillId="0" borderId="1" xfId="0" applyBorder="1" applyAlignment="1">
      <alignment vertical="center" wrapText="1"/>
    </xf>
    <xf numFmtId="0" fontId="1" fillId="21" borderId="1" xfId="0" applyFont="1" applyFill="1" applyBorder="1" applyAlignment="1">
      <alignment vertical="center"/>
    </xf>
    <xf numFmtId="0" fontId="1" fillId="22" borderId="1" xfId="0" applyFont="1" applyFill="1" applyBorder="1" applyAlignment="1">
      <alignment vertical="center"/>
    </xf>
    <xf numFmtId="0" fontId="0" fillId="23" borderId="1" xfId="0" applyFill="1" applyBorder="1" applyAlignment="1">
      <alignment vertical="center"/>
    </xf>
    <xf numFmtId="0" fontId="0" fillId="24" borderId="1" xfId="0" applyFill="1" applyBorder="1" applyAlignment="1">
      <alignment vertical="center"/>
    </xf>
    <xf numFmtId="0" fontId="0" fillId="25" borderId="1" xfId="0" applyFill="1" applyBorder="1" applyAlignment="1">
      <alignment vertical="center"/>
    </xf>
    <xf numFmtId="0" fontId="3" fillId="9" borderId="1" xfId="4" applyBorder="1" applyAlignment="1">
      <alignment vertical="center"/>
    </xf>
    <xf numFmtId="0" fontId="3" fillId="7" borderId="1" xfId="5" applyBorder="1" applyAlignment="1">
      <alignment vertical="center"/>
    </xf>
    <xf numFmtId="0" fontId="3" fillId="15" borderId="1" xfId="11" applyBorder="1" applyAlignment="1">
      <alignment vertical="center"/>
    </xf>
    <xf numFmtId="0" fontId="0" fillId="16" borderId="1" xfId="12" applyFont="1" applyBorder="1"/>
    <xf numFmtId="0" fontId="1" fillId="11" borderId="1" xfId="7" applyBorder="1"/>
    <xf numFmtId="0" fontId="12" fillId="18" borderId="1" xfId="13" applyBorder="1"/>
    <xf numFmtId="0" fontId="3" fillId="0" borderId="0" xfId="5" applyFill="1"/>
    <xf numFmtId="167" fontId="3" fillId="7" borderId="0" xfId="5" applyNumberFormat="1"/>
    <xf numFmtId="0" fontId="8" fillId="6" borderId="0" xfId="0" applyFont="1" applyFill="1"/>
    <xf numFmtId="0" fontId="19" fillId="6" borderId="0" xfId="0" applyFont="1" applyFill="1"/>
    <xf numFmtId="0" fontId="0" fillId="6" borderId="0" xfId="0" applyFill="1"/>
    <xf numFmtId="0" fontId="0" fillId="27" borderId="0" xfId="0" applyFill="1"/>
    <xf numFmtId="0" fontId="20" fillId="26" borderId="0" xfId="0" applyFont="1" applyFill="1"/>
    <xf numFmtId="2" fontId="20" fillId="26" borderId="0" xfId="4" applyNumberFormat="1" applyFont="1" applyFill="1"/>
    <xf numFmtId="3" fontId="3" fillId="0" borderId="0" xfId="4" applyNumberFormat="1" applyFill="1"/>
    <xf numFmtId="0" fontId="12" fillId="0" borderId="0" xfId="12" applyFill="1"/>
    <xf numFmtId="0" fontId="3" fillId="0" borderId="0" xfId="11" applyFill="1"/>
    <xf numFmtId="168" fontId="3" fillId="9" borderId="0" xfId="4" applyNumberFormat="1"/>
    <xf numFmtId="0" fontId="4" fillId="0" borderId="1" xfId="0" applyFont="1" applyBorder="1" applyAlignment="1">
      <alignment vertical="center" wrapText="1"/>
    </xf>
    <xf numFmtId="0" fontId="19" fillId="0" borderId="0" xfId="0" applyFont="1"/>
    <xf numFmtId="169" fontId="0" fillId="0" borderId="0" xfId="14" applyNumberFormat="1" applyFont="1"/>
    <xf numFmtId="4" fontId="0" fillId="0" borderId="0" xfId="0" applyNumberFormat="1"/>
    <xf numFmtId="0" fontId="4" fillId="10" borderId="0" xfId="0" applyFont="1" applyFill="1"/>
    <xf numFmtId="3" fontId="1" fillId="10" borderId="0" xfId="0" applyNumberFormat="1" applyFont="1" applyFill="1"/>
    <xf numFmtId="0" fontId="3" fillId="28" borderId="1" xfId="0" applyFont="1" applyFill="1" applyBorder="1" applyAlignment="1">
      <alignment vertical="center"/>
    </xf>
    <xf numFmtId="0" fontId="0" fillId="0" borderId="1" xfId="0" applyBorder="1" applyAlignment="1">
      <alignment vertical="center"/>
    </xf>
    <xf numFmtId="0" fontId="1" fillId="29" borderId="1" xfId="0" applyFont="1" applyFill="1" applyBorder="1" applyAlignment="1">
      <alignment vertical="center"/>
    </xf>
    <xf numFmtId="166" fontId="21" fillId="30" borderId="0" xfId="15" applyNumberFormat="1"/>
    <xf numFmtId="2" fontId="0" fillId="0" borderId="0" xfId="0" applyNumberFormat="1"/>
    <xf numFmtId="3" fontId="3" fillId="15" borderId="0" xfId="11" applyNumberFormat="1"/>
    <xf numFmtId="0" fontId="0" fillId="0" borderId="0" xfId="0" quotePrefix="1"/>
    <xf numFmtId="0" fontId="0" fillId="0" borderId="2" xfId="0" applyBorder="1" applyAlignment="1">
      <alignment horizontal="center"/>
    </xf>
    <xf numFmtId="0" fontId="0" fillId="0" borderId="4" xfId="0" applyBorder="1" applyAlignment="1">
      <alignment horizontal="center"/>
    </xf>
    <xf numFmtId="0" fontId="0" fillId="0" borderId="1" xfId="0" applyBorder="1" applyAlignment="1">
      <alignment horizontal="left" vertical="center" wrapText="1"/>
    </xf>
    <xf numFmtId="0" fontId="0" fillId="0" borderId="1" xfId="0" applyBorder="1" applyAlignment="1">
      <alignment horizontal="center"/>
    </xf>
    <xf numFmtId="0" fontId="8" fillId="10" borderId="0" xfId="0" applyFont="1" applyFill="1" applyAlignment="1">
      <alignment horizontal="center"/>
    </xf>
    <xf numFmtId="0" fontId="0" fillId="0" borderId="1" xfId="0" applyBorder="1" applyAlignment="1">
      <alignment horizontal="center" wrapText="1"/>
    </xf>
    <xf numFmtId="0" fontId="4" fillId="13" borderId="0" xfId="0" applyFont="1" applyFill="1" applyAlignment="1">
      <alignment horizontal="center"/>
    </xf>
    <xf numFmtId="0" fontId="0" fillId="0" borderId="2" xfId="0" applyBorder="1" applyAlignment="1">
      <alignment horizontal="center" vertical="center" wrapText="1"/>
    </xf>
    <xf numFmtId="0" fontId="0" fillId="0" borderId="4" xfId="0" applyBorder="1" applyAlignment="1">
      <alignment horizontal="center" vertical="center" wrapText="1"/>
    </xf>
    <xf numFmtId="0" fontId="0" fillId="0" borderId="1" xfId="0" applyBorder="1" applyAlignment="1">
      <alignment vertical="center"/>
    </xf>
    <xf numFmtId="0" fontId="9" fillId="4" borderId="2" xfId="0" applyFont="1" applyFill="1" applyBorder="1" applyAlignment="1">
      <alignment horizontal="center"/>
    </xf>
    <xf numFmtId="0" fontId="9" fillId="4" borderId="3" xfId="0" applyFont="1" applyFill="1" applyBorder="1" applyAlignment="1">
      <alignment horizontal="center"/>
    </xf>
    <xf numFmtId="0" fontId="9" fillId="4" borderId="4" xfId="0" applyFont="1" applyFill="1" applyBorder="1" applyAlignment="1">
      <alignment horizontal="center"/>
    </xf>
  </cellXfs>
  <cellStyles count="16">
    <cellStyle name="Assumption" xfId="12" xr:uid="{00000000-0005-0000-0000-000000000000}"/>
    <cellStyle name="Bad" xfId="15" builtinId="27"/>
    <cellStyle name="Calculation" xfId="5" builtinId="22" customBuiltin="1"/>
    <cellStyle name="Check Cell" xfId="6" builtinId="23" customBuiltin="1"/>
    <cellStyle name="Comma" xfId="9" builtinId="3"/>
    <cellStyle name="Conversion" xfId="3" xr:uid="{00000000-0005-0000-0000-000005000000}"/>
    <cellStyle name="Input" xfId="4" builtinId="20" customBuiltin="1"/>
    <cellStyle name="Interpolation" xfId="10" xr:uid="{00000000-0005-0000-0000-000007000000}"/>
    <cellStyle name="Inventory constants" xfId="13" xr:uid="{00000000-0005-0000-0000-000008000000}"/>
    <cellStyle name="IPCC" xfId="7" xr:uid="{00000000-0005-0000-0000-000009000000}"/>
    <cellStyle name="Linked" xfId="11" xr:uid="{00000000-0005-0000-0000-00000A000000}"/>
    <cellStyle name="Normal" xfId="0" builtinId="0"/>
    <cellStyle name="Normal 2" xfId="2" xr:uid="{00000000-0005-0000-0000-00000C000000}"/>
    <cellStyle name="Normal 3" xfId="1" xr:uid="{00000000-0005-0000-0000-00000D000000}"/>
    <cellStyle name="Percent" xfId="14" builtinId="5"/>
    <cellStyle name="Spreadsheet" xfId="8" xr:uid="{00000000-0005-0000-0000-00000F000000}"/>
  </cellStyles>
  <dxfs count="0"/>
  <tableStyles count="0" defaultTableStyle="TableStyleMedium2" defaultPivotStyle="PivotStyleLight16"/>
  <colors>
    <mruColors>
      <color rgb="FF009900"/>
      <color rgb="FF9966FF"/>
      <color rgb="FFFFCCFF"/>
      <color rgb="FFCCCCFF"/>
      <color rgb="FFCC99FF"/>
      <color rgb="FFFFCC00"/>
      <color rgb="FFCAEAB4"/>
      <color rgb="FFFFC5E2"/>
      <color rgb="FFFFCCCC"/>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externalLink" Target="externalLinks/externalLink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2.xml"/><Relationship Id="rId29"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28"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 Id="rId27"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11.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12.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13.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4.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5.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6.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7.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8.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9.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7"/>
          <c:order val="0"/>
          <c:tx>
            <c:strRef>
              <c:f>Data!$A$12:$B$12</c:f>
              <c:strCache>
                <c:ptCount val="2"/>
                <c:pt idx="0">
                  <c:v>Sorghum consumption (human)</c:v>
                </c:pt>
                <c:pt idx="1">
                  <c:v>t/capita</c:v>
                </c:pt>
              </c:strCache>
            </c:strRef>
          </c:tx>
          <c:spPr>
            <a:ln w="19050" cap="rnd">
              <a:noFill/>
              <a:round/>
            </a:ln>
            <a:effectLst/>
          </c:spPr>
          <c:marker>
            <c:symbol val="circle"/>
            <c:size val="5"/>
            <c:spPr>
              <a:solidFill>
                <a:schemeClr val="accent2">
                  <a:lumMod val="60000"/>
                </a:schemeClr>
              </a:solidFill>
              <a:ln w="9525">
                <a:solidFill>
                  <a:schemeClr val="accent2">
                    <a:lumMod val="60000"/>
                  </a:schemeClr>
                </a:solidFill>
              </a:ln>
              <a:effectLst/>
            </c:spPr>
          </c:marker>
          <c:trendline>
            <c:spPr>
              <a:ln w="19050" cap="rnd">
                <a:solidFill>
                  <a:schemeClr val="accent2">
                    <a:lumMod val="60000"/>
                  </a:schemeClr>
                </a:solidFill>
                <a:prstDash val="sysDot"/>
              </a:ln>
              <a:effectLst/>
            </c:spPr>
            <c:trendlineType val="linear"/>
            <c:dispRSqr val="0"/>
            <c:dispEq val="0"/>
          </c:trendline>
          <c:xVal>
            <c:numRef>
              <c:f>Data!$R$4:$AB$4</c:f>
              <c:numCache>
                <c:formatCode>General</c:formatCode>
                <c:ptCount val="11"/>
                <c:pt idx="0">
                  <c:v>48.511998091639704</c:v>
                </c:pt>
                <c:pt idx="1">
                  <c:v>50.550052099115234</c:v>
                </c:pt>
                <c:pt idx="2">
                  <c:v>52.688735600202499</c:v>
                </c:pt>
                <c:pt idx="3">
                  <c:v>53.946299970070584</c:v>
                </c:pt>
                <c:pt idx="4">
                  <c:v>52.486723389004794</c:v>
                </c:pt>
                <c:pt idx="5">
                  <c:v>53.321508829093538</c:v>
                </c:pt>
                <c:pt idx="6">
                  <c:v>54.316382696129395</c:v>
                </c:pt>
                <c:pt idx="7">
                  <c:v>55.299399175950342</c:v>
                </c:pt>
                <c:pt idx="8">
                  <c:v>55.926160382808312</c:v>
                </c:pt>
                <c:pt idx="9">
                  <c:v>56.204513680048407</c:v>
                </c:pt>
                <c:pt idx="10">
                  <c:v>56.216855593021982</c:v>
                </c:pt>
              </c:numCache>
            </c:numRef>
          </c:xVal>
          <c:yVal>
            <c:numRef>
              <c:f>Data!$R$12:$AB$12</c:f>
              <c:numCache>
                <c:formatCode>General</c:formatCode>
                <c:ptCount val="11"/>
                <c:pt idx="0">
                  <c:v>3.7384660230142057E-3</c:v>
                </c:pt>
                <c:pt idx="1">
                  <c:v>3.9390004330631945E-3</c:v>
                </c:pt>
                <c:pt idx="2">
                  <c:v>3.7052299055457499E-3</c:v>
                </c:pt>
                <c:pt idx="3">
                  <c:v>3.7163914417652206E-3</c:v>
                </c:pt>
                <c:pt idx="4">
                  <c:v>3.5065467723514772E-3</c:v>
                </c:pt>
                <c:pt idx="5">
                  <c:v>3.5925596839359707E-3</c:v>
                </c:pt>
                <c:pt idx="6">
                  <c:v>3.499719214835302E-3</c:v>
                </c:pt>
                <c:pt idx="7">
                  <c:v>3.4973432596810314E-3</c:v>
                </c:pt>
                <c:pt idx="8">
                  <c:v>2.9941029471168973E-3</c:v>
                </c:pt>
                <c:pt idx="9">
                  <c:v>3.0605223474033326E-3</c:v>
                </c:pt>
                <c:pt idx="10">
                  <c:v>2.794495463465674E-3</c:v>
                </c:pt>
              </c:numCache>
            </c:numRef>
          </c:yVal>
          <c:smooth val="0"/>
          <c:extLst>
            <c:ext xmlns:c16="http://schemas.microsoft.com/office/drawing/2014/chart" uri="{C3380CC4-5D6E-409C-BE32-E72D297353CC}">
              <c16:uniqueId val="{00000007-BAF8-4F50-AD68-7BA8511B21E8}"/>
            </c:ext>
          </c:extLst>
        </c:ser>
        <c:dLbls>
          <c:showLegendKey val="0"/>
          <c:showVal val="0"/>
          <c:showCatName val="0"/>
          <c:showSerName val="0"/>
          <c:showPercent val="0"/>
          <c:showBubbleSize val="0"/>
        </c:dLbls>
        <c:axId val="561351071"/>
        <c:axId val="674695727"/>
      </c:scatterChart>
      <c:valAx>
        <c:axId val="56135107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4695727"/>
        <c:crosses val="autoZero"/>
        <c:crossBetween val="midCat"/>
      </c:valAx>
      <c:valAx>
        <c:axId val="6746957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1351071"/>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'BFAP verification'!$B$16</c:f>
              <c:strCache>
                <c:ptCount val="1"/>
                <c:pt idx="0">
                  <c:v>Beef production (BFAP)</c:v>
                </c:pt>
              </c:strCache>
            </c:strRef>
          </c:tx>
          <c:spPr>
            <a:ln w="28575" cap="rnd">
              <a:solidFill>
                <a:schemeClr val="accent1"/>
              </a:solidFill>
              <a:round/>
            </a:ln>
            <a:effectLst/>
          </c:spPr>
          <c:marker>
            <c:symbol val="none"/>
          </c:marker>
          <c:cat>
            <c:numRef>
              <c:f>'BFAP verification'!$C$15:$BA$15</c:f>
              <c:numCache>
                <c:formatCode>0_ ;\-0\ </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f>'BFAP verification'!$C$16:$BA$16</c:f>
              <c:numCache>
                <c:formatCode>0.00</c:formatCode>
                <c:ptCount val="51"/>
                <c:pt idx="0">
                  <c:v>610.16713705625</c:v>
                </c:pt>
                <c:pt idx="1">
                  <c:v>610.16713705625</c:v>
                </c:pt>
                <c:pt idx="2">
                  <c:v>610.16713705625</c:v>
                </c:pt>
                <c:pt idx="3">
                  <c:v>536</c:v>
                </c:pt>
                <c:pt idx="4">
                  <c:v>559.68422552599998</c:v>
                </c:pt>
                <c:pt idx="5">
                  <c:v>575.65290859000004</c:v>
                </c:pt>
                <c:pt idx="6">
                  <c:v>579.69497297999999</c:v>
                </c:pt>
                <c:pt idx="7">
                  <c:v>601.65087453649994</c:v>
                </c:pt>
                <c:pt idx="8">
                  <c:v>631</c:v>
                </c:pt>
                <c:pt idx="9">
                  <c:v>612.06999999999994</c:v>
                </c:pt>
                <c:pt idx="10">
                  <c:v>654.91489999999999</c:v>
                </c:pt>
                <c:pt idx="11">
                  <c:v>622.16915499999993</c:v>
                </c:pt>
                <c:pt idx="12">
                  <c:v>613.14770225249993</c:v>
                </c:pt>
                <c:pt idx="13">
                  <c:v>665.92799245872072</c:v>
                </c:pt>
                <c:pt idx="14">
                  <c:v>698.08925804689954</c:v>
                </c:pt>
                <c:pt idx="15">
                  <c:v>699.22078053934399</c:v>
                </c:pt>
                <c:pt idx="16">
                  <c:v>710.39885911430974</c:v>
                </c:pt>
                <c:pt idx="17">
                  <c:v>739.18964380980105</c:v>
                </c:pt>
                <c:pt idx="18">
                  <c:v>753.56215690376871</c:v>
                </c:pt>
                <c:pt idx="19">
                  <c:v>770.46731576083528</c:v>
                </c:pt>
                <c:pt idx="20">
                  <c:v>785.71589617587529</c:v>
                </c:pt>
                <c:pt idx="21">
                  <c:v>803.32741953910943</c:v>
                </c:pt>
                <c:pt idx="22">
                  <c:v>821.94908336777723</c:v>
                </c:pt>
                <c:pt idx="23">
                  <c:v>844.55586695223269</c:v>
                </c:pt>
                <c:pt idx="24">
                  <c:v>859.84984588505426</c:v>
                </c:pt>
                <c:pt idx="25">
                  <c:v>875</c:v>
                </c:pt>
                <c:pt idx="26">
                  <c:v>890</c:v>
                </c:pt>
                <c:pt idx="27">
                  <c:v>910</c:v>
                </c:pt>
                <c:pt idx="28">
                  <c:v>925</c:v>
                </c:pt>
              </c:numCache>
            </c:numRef>
          </c:val>
          <c:smooth val="0"/>
          <c:extLst>
            <c:ext xmlns:c16="http://schemas.microsoft.com/office/drawing/2014/chart" uri="{C3380CC4-5D6E-409C-BE32-E72D297353CC}">
              <c16:uniqueId val="{00000000-4A48-44EA-92BB-FEC8B7D263A4}"/>
            </c:ext>
          </c:extLst>
        </c:ser>
        <c:ser>
          <c:idx val="1"/>
          <c:order val="1"/>
          <c:tx>
            <c:strRef>
              <c:f>'BFAP verification'!$B$17</c:f>
              <c:strCache>
                <c:ptCount val="1"/>
                <c:pt idx="0">
                  <c:v>Beef consumption (BFAP)</c:v>
                </c:pt>
              </c:strCache>
            </c:strRef>
          </c:tx>
          <c:spPr>
            <a:ln w="28575" cap="rnd">
              <a:solidFill>
                <a:schemeClr val="accent2"/>
              </a:solidFill>
              <a:round/>
            </a:ln>
            <a:effectLst/>
          </c:spPr>
          <c:marker>
            <c:symbol val="none"/>
          </c:marker>
          <c:cat>
            <c:numRef>
              <c:f>'BFAP verification'!$C$15:$BA$15</c:f>
              <c:numCache>
                <c:formatCode>0_ ;\-0\ </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f>'BFAP verification'!$C$17:$BA$17</c:f>
              <c:numCache>
                <c:formatCode>0.00</c:formatCode>
                <c:ptCount val="51"/>
                <c:pt idx="0">
                  <c:v>649.892624710375</c:v>
                </c:pt>
                <c:pt idx="1">
                  <c:v>649.892624710375</c:v>
                </c:pt>
                <c:pt idx="2">
                  <c:v>649.892624710375</c:v>
                </c:pt>
                <c:pt idx="3">
                  <c:v>574.19949799999995</c:v>
                </c:pt>
                <c:pt idx="4">
                  <c:v>612.06163379999998</c:v>
                </c:pt>
                <c:pt idx="5">
                  <c:v>642.21783919999996</c:v>
                </c:pt>
                <c:pt idx="6">
                  <c:v>636.26177159999997</c:v>
                </c:pt>
                <c:pt idx="7">
                  <c:v>658.9</c:v>
                </c:pt>
                <c:pt idx="8">
                  <c:v>671.91341149238087</c:v>
                </c:pt>
                <c:pt idx="9">
                  <c:v>649.94999999999993</c:v>
                </c:pt>
                <c:pt idx="10">
                  <c:v>695.36469999999997</c:v>
                </c:pt>
                <c:pt idx="11">
                  <c:v>663.10915499999999</c:v>
                </c:pt>
                <c:pt idx="12">
                  <c:v>670.91943283249987</c:v>
                </c:pt>
                <c:pt idx="13">
                  <c:v>716.42099245872066</c:v>
                </c:pt>
                <c:pt idx="14">
                  <c:v>729.84874533689958</c:v>
                </c:pt>
                <c:pt idx="15">
                  <c:v>740.51634422626432</c:v>
                </c:pt>
                <c:pt idx="16">
                  <c:v>752.08174895984371</c:v>
                </c:pt>
                <c:pt idx="17">
                  <c:v>781.10112686931438</c:v>
                </c:pt>
                <c:pt idx="18">
                  <c:v>797.63162045872559</c:v>
                </c:pt>
                <c:pt idx="19">
                  <c:v>815.73258961364343</c:v>
                </c:pt>
                <c:pt idx="20">
                  <c:v>831.42566617367947</c:v>
                </c:pt>
                <c:pt idx="21">
                  <c:v>848.73455405867912</c:v>
                </c:pt>
                <c:pt idx="22">
                  <c:v>866.8135090431233</c:v>
                </c:pt>
                <c:pt idx="23">
                  <c:v>888.81185294880709</c:v>
                </c:pt>
                <c:pt idx="24">
                  <c:v>904.54032017152463</c:v>
                </c:pt>
              </c:numCache>
            </c:numRef>
          </c:val>
          <c:smooth val="0"/>
          <c:extLst>
            <c:ext xmlns:c16="http://schemas.microsoft.com/office/drawing/2014/chart" uri="{C3380CC4-5D6E-409C-BE32-E72D297353CC}">
              <c16:uniqueId val="{00000001-4A48-44EA-92BB-FEC8B7D263A4}"/>
            </c:ext>
          </c:extLst>
        </c:ser>
        <c:ser>
          <c:idx val="2"/>
          <c:order val="2"/>
          <c:tx>
            <c:strRef>
              <c:f>'BFAP verification'!$B$18</c:f>
              <c:strCache>
                <c:ptCount val="1"/>
                <c:pt idx="0">
                  <c:v>Beef production (model)</c:v>
                </c:pt>
              </c:strCache>
            </c:strRef>
          </c:tx>
          <c:spPr>
            <a:ln w="28575" cap="rnd">
              <a:solidFill>
                <a:schemeClr val="accent3"/>
              </a:solidFill>
              <a:round/>
            </a:ln>
            <a:effectLst/>
          </c:spPr>
          <c:marker>
            <c:symbol val="none"/>
          </c:marker>
          <c:cat>
            <c:numRef>
              <c:f>'BFAP verification'!$C$15:$BA$15</c:f>
              <c:numCache>
                <c:formatCode>0_ ;\-0\ </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f>'BFAP verification'!$C$18:$BA$18</c:f>
              <c:numCache>
                <c:formatCode>0.00</c:formatCode>
                <c:ptCount val="51"/>
                <c:pt idx="0">
                  <c:v>624.6</c:v>
                </c:pt>
                <c:pt idx="1">
                  <c:v>524.29999999999995</c:v>
                </c:pt>
                <c:pt idx="2">
                  <c:v>573.4</c:v>
                </c:pt>
                <c:pt idx="3">
                  <c:v>609.70000000000005</c:v>
                </c:pt>
                <c:pt idx="4">
                  <c:v>631.70000000000005</c:v>
                </c:pt>
                <c:pt idx="5">
                  <c:v>672.3</c:v>
                </c:pt>
                <c:pt idx="6">
                  <c:v>808.1</c:v>
                </c:pt>
                <c:pt idx="7">
                  <c:v>861.4</c:v>
                </c:pt>
                <c:pt idx="8">
                  <c:v>770.2</c:v>
                </c:pt>
                <c:pt idx="9">
                  <c:v>796.7</c:v>
                </c:pt>
                <c:pt idx="10">
                  <c:v>885.8</c:v>
                </c:pt>
                <c:pt idx="11">
                  <c:v>869.5</c:v>
                </c:pt>
                <c:pt idx="12">
                  <c:v>919.84220608981605</c:v>
                </c:pt>
                <c:pt idx="13">
                  <c:v>949.14056199881315</c:v>
                </c:pt>
                <c:pt idx="14">
                  <c:v>971.73762739106826</c:v>
                </c:pt>
                <c:pt idx="15">
                  <c:v>989.16932703874375</c:v>
                </c:pt>
                <c:pt idx="16">
                  <c:v>1001.0086129340765</c:v>
                </c:pt>
                <c:pt idx="17">
                  <c:v>1020.0462731800243</c:v>
                </c:pt>
                <c:pt idx="18">
                  <c:v>1037.6090304737545</c:v>
                </c:pt>
                <c:pt idx="19">
                  <c:v>1054.6596869972914</c:v>
                </c:pt>
                <c:pt idx="20">
                  <c:v>954.85902198393967</c:v>
                </c:pt>
                <c:pt idx="21">
                  <c:v>986.80030290455886</c:v>
                </c:pt>
                <c:pt idx="22">
                  <c:v>1017.5005319086041</c:v>
                </c:pt>
                <c:pt idx="23">
                  <c:v>1049.0296288636273</c:v>
                </c:pt>
                <c:pt idx="24">
                  <c:v>1082.9347986902421</c:v>
                </c:pt>
                <c:pt idx="25">
                  <c:v>1120.3587658020861</c:v>
                </c:pt>
                <c:pt idx="26">
                  <c:v>1159.3171316485068</c:v>
                </c:pt>
                <c:pt idx="27">
                  <c:v>1200.8181228542289</c:v>
                </c:pt>
                <c:pt idx="28">
                  <c:v>1245.1589471939503</c:v>
                </c:pt>
                <c:pt idx="29">
                  <c:v>1294.7729124501623</c:v>
                </c:pt>
                <c:pt idx="30">
                  <c:v>1344.4363739626299</c:v>
                </c:pt>
                <c:pt idx="31">
                  <c:v>1401.9562542796616</c:v>
                </c:pt>
                <c:pt idx="32">
                  <c:v>1461.7411222284452</c:v>
                </c:pt>
                <c:pt idx="33">
                  <c:v>1523.5780278789148</c:v>
                </c:pt>
                <c:pt idx="34">
                  <c:v>1587.2322414347816</c:v>
                </c:pt>
                <c:pt idx="35">
                  <c:v>1647.1484970919098</c:v>
                </c:pt>
                <c:pt idx="36">
                  <c:v>1709.7941876854777</c:v>
                </c:pt>
                <c:pt idx="37">
                  <c:v>1776.8088216859369</c:v>
                </c:pt>
                <c:pt idx="38">
                  <c:v>1847.1147195796245</c:v>
                </c:pt>
                <c:pt idx="39">
                  <c:v>1916.5578838294839</c:v>
                </c:pt>
                <c:pt idx="40">
                  <c:v>1987.423522008311</c:v>
                </c:pt>
                <c:pt idx="41">
                  <c:v>2061.1175086962794</c:v>
                </c:pt>
                <c:pt idx="42">
                  <c:v>2138.5196378090709</c:v>
                </c:pt>
                <c:pt idx="43">
                  <c:v>2220.4668820442862</c:v>
                </c:pt>
                <c:pt idx="44">
                  <c:v>2306.7034357922535</c:v>
                </c:pt>
                <c:pt idx="45">
                  <c:v>2398.969531632677</c:v>
                </c:pt>
                <c:pt idx="46">
                  <c:v>2496.3956300932105</c:v>
                </c:pt>
                <c:pt idx="47">
                  <c:v>2598.3059589505765</c:v>
                </c:pt>
                <c:pt idx="48">
                  <c:v>2700.432545138247</c:v>
                </c:pt>
                <c:pt idx="49">
                  <c:v>2807.4713267816501</c:v>
                </c:pt>
                <c:pt idx="50">
                  <c:v>2920.5674541784715</c:v>
                </c:pt>
              </c:numCache>
            </c:numRef>
          </c:val>
          <c:smooth val="0"/>
          <c:extLst>
            <c:ext xmlns:c16="http://schemas.microsoft.com/office/drawing/2014/chart" uri="{C3380CC4-5D6E-409C-BE32-E72D297353CC}">
              <c16:uniqueId val="{00000002-4A48-44EA-92BB-FEC8B7D263A4}"/>
            </c:ext>
          </c:extLst>
        </c:ser>
        <c:ser>
          <c:idx val="3"/>
          <c:order val="3"/>
          <c:tx>
            <c:strRef>
              <c:f>'BFAP verification'!$B$19</c:f>
              <c:strCache>
                <c:ptCount val="1"/>
                <c:pt idx="0">
                  <c:v>Beef consumption (model)</c:v>
                </c:pt>
              </c:strCache>
            </c:strRef>
          </c:tx>
          <c:spPr>
            <a:ln w="28575" cap="rnd">
              <a:solidFill>
                <a:schemeClr val="accent4"/>
              </a:solidFill>
              <a:round/>
            </a:ln>
            <a:effectLst/>
          </c:spPr>
          <c:marker>
            <c:symbol val="none"/>
          </c:marker>
          <c:cat>
            <c:numRef>
              <c:f>'BFAP verification'!$C$15:$BA$15</c:f>
              <c:numCache>
                <c:formatCode>0_ ;\-0\ </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f>'BFAP verification'!$C$19:$BA$19</c:f>
              <c:numCache>
                <c:formatCode>0.00</c:formatCode>
                <c:ptCount val="51"/>
                <c:pt idx="0">
                  <c:v>671</c:v>
                </c:pt>
                <c:pt idx="1">
                  <c:v>554</c:v>
                </c:pt>
                <c:pt idx="2">
                  <c:v>602</c:v>
                </c:pt>
                <c:pt idx="3">
                  <c:v>643</c:v>
                </c:pt>
                <c:pt idx="4">
                  <c:v>675</c:v>
                </c:pt>
                <c:pt idx="5">
                  <c:v>723</c:v>
                </c:pt>
                <c:pt idx="6">
                  <c:v>825</c:v>
                </c:pt>
                <c:pt idx="7">
                  <c:v>865</c:v>
                </c:pt>
                <c:pt idx="8">
                  <c:v>767</c:v>
                </c:pt>
                <c:pt idx="9">
                  <c:v>784</c:v>
                </c:pt>
                <c:pt idx="10">
                  <c:v>880</c:v>
                </c:pt>
                <c:pt idx="11">
                  <c:v>879</c:v>
                </c:pt>
                <c:pt idx="12">
                  <c:v>920.36578982954904</c:v>
                </c:pt>
                <c:pt idx="13">
                  <c:v>946.00836609265002</c:v>
                </c:pt>
                <c:pt idx="14">
                  <c:v>965.78582304084841</c:v>
                </c:pt>
                <c:pt idx="15">
                  <c:v>981.0424363811801</c:v>
                </c:pt>
                <c:pt idx="16">
                  <c:v>991.40444414757837</c:v>
                </c:pt>
                <c:pt idx="17">
                  <c:v>1008.0666301161026</c:v>
                </c:pt>
                <c:pt idx="18">
                  <c:v>1023.4379480389803</c:v>
                </c:pt>
                <c:pt idx="19">
                  <c:v>1038.361063916157</c:v>
                </c:pt>
                <c:pt idx="20">
                  <c:v>951.01329014816918</c:v>
                </c:pt>
                <c:pt idx="21">
                  <c:v>978.96901348268545</c:v>
                </c:pt>
                <c:pt idx="22">
                  <c:v>1005.8385404273406</c:v>
                </c:pt>
                <c:pt idx="23">
                  <c:v>1033.4335111378855</c:v>
                </c:pt>
                <c:pt idx="24">
                  <c:v>1063.1080739595275</c:v>
                </c:pt>
                <c:pt idx="25">
                  <c:v>1095.8623668527525</c:v>
                </c:pt>
                <c:pt idx="26">
                  <c:v>1129.9595998307934</c:v>
                </c:pt>
                <c:pt idx="27">
                  <c:v>1166.2821953816317</c:v>
                </c:pt>
                <c:pt idx="28">
                  <c:v>1205.0902763958609</c:v>
                </c:pt>
                <c:pt idx="29">
                  <c:v>1248.5135282584877</c:v>
                </c:pt>
                <c:pt idx="30">
                  <c:v>1291.9801003514274</c:v>
                </c:pt>
                <c:pt idx="31">
                  <c:v>1342.3227858678183</c:v>
                </c:pt>
                <c:pt idx="32">
                  <c:v>1394.6478392093043</c:v>
                </c:pt>
                <c:pt idx="33">
                  <c:v>1448.7688818350923</c:v>
                </c:pt>
                <c:pt idx="34">
                  <c:v>1504.48047297843</c:v>
                </c:pt>
                <c:pt idx="35">
                  <c:v>1556.9205197803587</c:v>
                </c:pt>
                <c:pt idx="36">
                  <c:v>1611.749429074443</c:v>
                </c:pt>
                <c:pt idx="37">
                  <c:v>1670.4021353368062</c:v>
                </c:pt>
                <c:pt idx="38">
                  <c:v>1731.9354293579584</c:v>
                </c:pt>
                <c:pt idx="39">
                  <c:v>1792.7136396015319</c:v>
                </c:pt>
                <c:pt idx="40">
                  <c:v>1854.7368308371831</c:v>
                </c:pt>
                <c:pt idx="41">
                  <c:v>1919.2354559357295</c:v>
                </c:pt>
                <c:pt idx="42">
                  <c:v>1986.9795302061787</c:v>
                </c:pt>
                <c:pt idx="43">
                  <c:v>2058.7015908699027</c:v>
                </c:pt>
                <c:pt idx="44">
                  <c:v>2134.1777511369778</c:v>
                </c:pt>
                <c:pt idx="45">
                  <c:v>2214.931101476343</c:v>
                </c:pt>
                <c:pt idx="46">
                  <c:v>2300.200601497108</c:v>
                </c:pt>
                <c:pt idx="47">
                  <c:v>2389.3948002378038</c:v>
                </c:pt>
                <c:pt idx="48">
                  <c:v>2478.7782722299407</c:v>
                </c:pt>
                <c:pt idx="49">
                  <c:v>2572.4610075317364</c:v>
                </c:pt>
                <c:pt idx="50">
                  <c:v>2671.4452672916441</c:v>
                </c:pt>
              </c:numCache>
            </c:numRef>
          </c:val>
          <c:smooth val="0"/>
          <c:extLst>
            <c:ext xmlns:c16="http://schemas.microsoft.com/office/drawing/2014/chart" uri="{C3380CC4-5D6E-409C-BE32-E72D297353CC}">
              <c16:uniqueId val="{00000003-4A48-44EA-92BB-FEC8B7D263A4}"/>
            </c:ext>
          </c:extLst>
        </c:ser>
        <c:dLbls>
          <c:showLegendKey val="0"/>
          <c:showVal val="0"/>
          <c:showCatName val="0"/>
          <c:showSerName val="0"/>
          <c:showPercent val="0"/>
          <c:showBubbleSize val="0"/>
        </c:dLbls>
        <c:smooth val="0"/>
        <c:axId val="1797134927"/>
        <c:axId val="1797135343"/>
      </c:lineChart>
      <c:catAx>
        <c:axId val="1797134927"/>
        <c:scaling>
          <c:orientation val="minMax"/>
        </c:scaling>
        <c:delete val="0"/>
        <c:axPos val="b"/>
        <c:numFmt formatCode="0_ ;\-0\ "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7135343"/>
        <c:crosses val="autoZero"/>
        <c:auto val="1"/>
        <c:lblAlgn val="ctr"/>
        <c:lblOffset val="100"/>
        <c:noMultiLvlLbl val="0"/>
      </c:catAx>
      <c:valAx>
        <c:axId val="1797135343"/>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713492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'BFAP verification'!$B$22</c:f>
              <c:strCache>
                <c:ptCount val="1"/>
                <c:pt idx="0">
                  <c:v>Pork production (BFAP)</c:v>
                </c:pt>
              </c:strCache>
            </c:strRef>
          </c:tx>
          <c:spPr>
            <a:ln w="28575" cap="rnd">
              <a:solidFill>
                <a:schemeClr val="accent1"/>
              </a:solidFill>
              <a:round/>
            </a:ln>
            <a:effectLst/>
          </c:spPr>
          <c:marker>
            <c:symbol val="none"/>
          </c:marker>
          <c:cat>
            <c:numRef>
              <c:f>'BFAP verification'!$C$21:$BA$21</c:f>
              <c:numCache>
                <c:formatCode>0_ ;\-0\ </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f>'BFAP verification'!$C$22:$BA$22</c:f>
              <c:numCache>
                <c:formatCode>0.00</c:formatCode>
                <c:ptCount val="51"/>
                <c:pt idx="0">
                  <c:v>129.63</c:v>
                </c:pt>
                <c:pt idx="1">
                  <c:v>129.63</c:v>
                </c:pt>
                <c:pt idx="2">
                  <c:v>129.63</c:v>
                </c:pt>
                <c:pt idx="3">
                  <c:v>143.13999999999999</c:v>
                </c:pt>
                <c:pt idx="4">
                  <c:v>146.053</c:v>
                </c:pt>
                <c:pt idx="5">
                  <c:v>149.999</c:v>
                </c:pt>
                <c:pt idx="6">
                  <c:v>157.24799999999999</c:v>
                </c:pt>
                <c:pt idx="7">
                  <c:v>152.83564942134379</c:v>
                </c:pt>
                <c:pt idx="8">
                  <c:v>162.80000000000001</c:v>
                </c:pt>
                <c:pt idx="9">
                  <c:v>165.18375564550669</c:v>
                </c:pt>
                <c:pt idx="10">
                  <c:v>169.66697423006443</c:v>
                </c:pt>
                <c:pt idx="11">
                  <c:v>186.75616508255388</c:v>
                </c:pt>
                <c:pt idx="12">
                  <c:v>191.25698866104344</c:v>
                </c:pt>
                <c:pt idx="13">
                  <c:v>197.47194670605705</c:v>
                </c:pt>
                <c:pt idx="14">
                  <c:v>204.80493212570124</c:v>
                </c:pt>
                <c:pt idx="15">
                  <c:v>208.64102609863633</c:v>
                </c:pt>
                <c:pt idx="16">
                  <c:v>213.80677245749976</c:v>
                </c:pt>
                <c:pt idx="17">
                  <c:v>217.57407311191287</c:v>
                </c:pt>
                <c:pt idx="18">
                  <c:v>225.22145508819884</c:v>
                </c:pt>
                <c:pt idx="19">
                  <c:v>232.86299528535966</c:v>
                </c:pt>
                <c:pt idx="20">
                  <c:v>241.53716288131423</c:v>
                </c:pt>
                <c:pt idx="21">
                  <c:v>245</c:v>
                </c:pt>
                <c:pt idx="22">
                  <c:v>250</c:v>
                </c:pt>
                <c:pt idx="23">
                  <c:v>255</c:v>
                </c:pt>
                <c:pt idx="24">
                  <c:v>260</c:v>
                </c:pt>
                <c:pt idx="25">
                  <c:v>265</c:v>
                </c:pt>
                <c:pt idx="26">
                  <c:v>270</c:v>
                </c:pt>
                <c:pt idx="27">
                  <c:v>275</c:v>
                </c:pt>
                <c:pt idx="28">
                  <c:v>280</c:v>
                </c:pt>
              </c:numCache>
            </c:numRef>
          </c:val>
          <c:smooth val="0"/>
          <c:extLst>
            <c:ext xmlns:c16="http://schemas.microsoft.com/office/drawing/2014/chart" uri="{C3380CC4-5D6E-409C-BE32-E72D297353CC}">
              <c16:uniqueId val="{00000000-03A2-46B0-862C-E451EC00EDA3}"/>
            </c:ext>
          </c:extLst>
        </c:ser>
        <c:ser>
          <c:idx val="1"/>
          <c:order val="1"/>
          <c:tx>
            <c:strRef>
              <c:f>'BFAP verification'!$B$23</c:f>
              <c:strCache>
                <c:ptCount val="1"/>
                <c:pt idx="0">
                  <c:v>Pork Domestic Use (BFAP)</c:v>
                </c:pt>
              </c:strCache>
            </c:strRef>
          </c:tx>
          <c:spPr>
            <a:ln w="28575" cap="rnd">
              <a:solidFill>
                <a:schemeClr val="accent2"/>
              </a:solidFill>
              <a:round/>
            </a:ln>
            <a:effectLst/>
          </c:spPr>
          <c:marker>
            <c:symbol val="none"/>
          </c:marker>
          <c:cat>
            <c:numRef>
              <c:f>'BFAP verification'!$C$21:$BA$21</c:f>
              <c:numCache>
                <c:formatCode>0_ ;\-0\ </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f>'BFAP verification'!$C$23:$BA$23</c:f>
              <c:numCache>
                <c:formatCode>0.00</c:formatCode>
                <c:ptCount val="51"/>
                <c:pt idx="0">
                  <c:v>137.82499999999999</c:v>
                </c:pt>
                <c:pt idx="1">
                  <c:v>137.82499999999999</c:v>
                </c:pt>
                <c:pt idx="2">
                  <c:v>137.82499999999999</c:v>
                </c:pt>
                <c:pt idx="3">
                  <c:v>156.29499999999999</c:v>
                </c:pt>
                <c:pt idx="4">
                  <c:v>167.84399999999999</c:v>
                </c:pt>
                <c:pt idx="5">
                  <c:v>176.53800000000001</c:v>
                </c:pt>
                <c:pt idx="6">
                  <c:v>177.79399999999998</c:v>
                </c:pt>
                <c:pt idx="7">
                  <c:v>173.29521483689047</c:v>
                </c:pt>
                <c:pt idx="8">
                  <c:v>179.18</c:v>
                </c:pt>
                <c:pt idx="9">
                  <c:v>188.69627164870266</c:v>
                </c:pt>
                <c:pt idx="10">
                  <c:v>192.2214902332604</c:v>
                </c:pt>
                <c:pt idx="11">
                  <c:v>215.34616508255388</c:v>
                </c:pt>
                <c:pt idx="12">
                  <c:v>223.20098866104343</c:v>
                </c:pt>
                <c:pt idx="13">
                  <c:v>219.00718870605706</c:v>
                </c:pt>
                <c:pt idx="14">
                  <c:v>215.58134712570126</c:v>
                </c:pt>
                <c:pt idx="15">
                  <c:v>221.42544983376598</c:v>
                </c:pt>
                <c:pt idx="16">
                  <c:v>226.46723800236197</c:v>
                </c:pt>
                <c:pt idx="17">
                  <c:v>230.37779215363364</c:v>
                </c:pt>
                <c:pt idx="18">
                  <c:v>237.99020308913876</c:v>
                </c:pt>
                <c:pt idx="19">
                  <c:v>245.3694152709713</c:v>
                </c:pt>
                <c:pt idx="20">
                  <c:v>253.78761345428606</c:v>
                </c:pt>
                <c:pt idx="21">
                  <c:v>263.23358248496942</c:v>
                </c:pt>
                <c:pt idx="22">
                  <c:v>274.0317887557747</c:v>
                </c:pt>
                <c:pt idx="23">
                  <c:v>283.56552384740866</c:v>
                </c:pt>
                <c:pt idx="24">
                  <c:v>293.35792027883537</c:v>
                </c:pt>
              </c:numCache>
            </c:numRef>
          </c:val>
          <c:smooth val="0"/>
          <c:extLst>
            <c:ext xmlns:c16="http://schemas.microsoft.com/office/drawing/2014/chart" uri="{C3380CC4-5D6E-409C-BE32-E72D297353CC}">
              <c16:uniqueId val="{00000001-03A2-46B0-862C-E451EC00EDA3}"/>
            </c:ext>
          </c:extLst>
        </c:ser>
        <c:ser>
          <c:idx val="2"/>
          <c:order val="2"/>
          <c:tx>
            <c:strRef>
              <c:f>'BFAP verification'!$B$24</c:f>
              <c:strCache>
                <c:ptCount val="1"/>
                <c:pt idx="0">
                  <c:v>Pork production (model)</c:v>
                </c:pt>
              </c:strCache>
            </c:strRef>
          </c:tx>
          <c:spPr>
            <a:ln w="28575" cap="rnd">
              <a:solidFill>
                <a:schemeClr val="accent3"/>
              </a:solidFill>
              <a:round/>
            </a:ln>
            <a:effectLst/>
          </c:spPr>
          <c:marker>
            <c:symbol val="none"/>
          </c:marker>
          <c:cat>
            <c:numRef>
              <c:f>'BFAP verification'!$C$21:$BA$21</c:f>
              <c:numCache>
                <c:formatCode>0_ ;\-0\ </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f>'BFAP verification'!$C$24:$BA$24</c:f>
              <c:numCache>
                <c:formatCode>0.00</c:formatCode>
                <c:ptCount val="51"/>
                <c:pt idx="0">
                  <c:v>123</c:v>
                </c:pt>
                <c:pt idx="1">
                  <c:v>106.9</c:v>
                </c:pt>
                <c:pt idx="2">
                  <c:v>116.6</c:v>
                </c:pt>
                <c:pt idx="3">
                  <c:v>135</c:v>
                </c:pt>
                <c:pt idx="4">
                  <c:v>156.80000000000001</c:v>
                </c:pt>
                <c:pt idx="5">
                  <c:v>159.69999999999999</c:v>
                </c:pt>
                <c:pt idx="6">
                  <c:v>171.4</c:v>
                </c:pt>
                <c:pt idx="7">
                  <c:v>187.1</c:v>
                </c:pt>
                <c:pt idx="8">
                  <c:v>181.7</c:v>
                </c:pt>
                <c:pt idx="9">
                  <c:v>180.7</c:v>
                </c:pt>
                <c:pt idx="10">
                  <c:v>191.9</c:v>
                </c:pt>
                <c:pt idx="11">
                  <c:v>205.1</c:v>
                </c:pt>
                <c:pt idx="12">
                  <c:v>210.30378974335389</c:v>
                </c:pt>
                <c:pt idx="13">
                  <c:v>216.37098562679941</c:v>
                </c:pt>
                <c:pt idx="14">
                  <c:v>220.87790947711304</c:v>
                </c:pt>
                <c:pt idx="15">
                  <c:v>224.17569938414897</c:v>
                </c:pt>
                <c:pt idx="16">
                  <c:v>226.16548553948178</c:v>
                </c:pt>
                <c:pt idx="17">
                  <c:v>229.77820082663408</c:v>
                </c:pt>
                <c:pt idx="18">
                  <c:v>233.04280131341147</c:v>
                </c:pt>
                <c:pt idx="19">
                  <c:v>236.17770570531965</c:v>
                </c:pt>
                <c:pt idx="20">
                  <c:v>212.5149185712504</c:v>
                </c:pt>
                <c:pt idx="21">
                  <c:v>219.26793789372923</c:v>
                </c:pt>
                <c:pt idx="22">
                  <c:v>225.72992959243123</c:v>
                </c:pt>
                <c:pt idx="23">
                  <c:v>232.37529455779418</c:v>
                </c:pt>
                <c:pt idx="24">
                  <c:v>239.55861375483966</c:v>
                </c:pt>
                <c:pt idx="25">
                  <c:v>247.54175044015196</c:v>
                </c:pt>
                <c:pt idx="26">
                  <c:v>255.95697817693443</c:v>
                </c:pt>
                <c:pt idx="27">
                  <c:v>264.94996711306214</c:v>
                </c:pt>
                <c:pt idx="28">
                  <c:v>274.58879461460327</c:v>
                </c:pt>
                <c:pt idx="29">
                  <c:v>285.43118395066682</c:v>
                </c:pt>
                <c:pt idx="30">
                  <c:v>296.2796970194031</c:v>
                </c:pt>
                <c:pt idx="31">
                  <c:v>308.99589469966594</c:v>
                </c:pt>
                <c:pt idx="32">
                  <c:v>322.22728239164945</c:v>
                </c:pt>
                <c:pt idx="33">
                  <c:v>335.92501261820746</c:v>
                </c:pt>
                <c:pt idx="34">
                  <c:v>350.0352451324996</c:v>
                </c:pt>
                <c:pt idx="35">
                  <c:v>363.28454234105533</c:v>
                </c:pt>
                <c:pt idx="36">
                  <c:v>377.22487963306276</c:v>
                </c:pt>
                <c:pt idx="37">
                  <c:v>392.16361379767756</c:v>
                </c:pt>
                <c:pt idx="38">
                  <c:v>407.85369182864775</c:v>
                </c:pt>
                <c:pt idx="39">
                  <c:v>423.34289318299295</c:v>
                </c:pt>
                <c:pt idx="40">
                  <c:v>439.15502053796956</c:v>
                </c:pt>
                <c:pt idx="41">
                  <c:v>455.67830431340178</c:v>
                </c:pt>
                <c:pt idx="42">
                  <c:v>473.0492921158492</c:v>
                </c:pt>
                <c:pt idx="43">
                  <c:v>491.4598243278981</c:v>
                </c:pt>
                <c:pt idx="44">
                  <c:v>510.85124971408641</c:v>
                </c:pt>
                <c:pt idx="45">
                  <c:v>531.62245774835537</c:v>
                </c:pt>
                <c:pt idx="46">
                  <c:v>553.64192807622317</c:v>
                </c:pt>
                <c:pt idx="47">
                  <c:v>576.68769605522721</c:v>
                </c:pt>
                <c:pt idx="48">
                  <c:v>599.78142966024984</c:v>
                </c:pt>
                <c:pt idx="49">
                  <c:v>623.99954462717574</c:v>
                </c:pt>
                <c:pt idx="50">
                  <c:v>649.60452918797239</c:v>
                </c:pt>
              </c:numCache>
            </c:numRef>
          </c:val>
          <c:smooth val="0"/>
          <c:extLst>
            <c:ext xmlns:c16="http://schemas.microsoft.com/office/drawing/2014/chart" uri="{C3380CC4-5D6E-409C-BE32-E72D297353CC}">
              <c16:uniqueId val="{00000002-03A2-46B0-862C-E451EC00EDA3}"/>
            </c:ext>
          </c:extLst>
        </c:ser>
        <c:ser>
          <c:idx val="3"/>
          <c:order val="3"/>
          <c:tx>
            <c:strRef>
              <c:f>'BFAP verification'!$B$25</c:f>
              <c:strCache>
                <c:ptCount val="1"/>
                <c:pt idx="0">
                  <c:v>Pork Domestic Use (model)</c:v>
                </c:pt>
              </c:strCache>
            </c:strRef>
          </c:tx>
          <c:spPr>
            <a:ln w="28575" cap="rnd">
              <a:solidFill>
                <a:schemeClr val="accent4"/>
              </a:solidFill>
              <a:round/>
            </a:ln>
            <a:effectLst/>
          </c:spPr>
          <c:marker>
            <c:symbol val="none"/>
          </c:marker>
          <c:cat>
            <c:numRef>
              <c:f>'BFAP verification'!$C$21:$BA$21</c:f>
              <c:numCache>
                <c:formatCode>0_ ;\-0\ </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f>'BFAP verification'!$C$25:$BA$25</c:f>
              <c:numCache>
                <c:formatCode>0.00</c:formatCode>
                <c:ptCount val="51"/>
                <c:pt idx="0">
                  <c:v>131</c:v>
                </c:pt>
                <c:pt idx="1">
                  <c:v>115</c:v>
                </c:pt>
                <c:pt idx="2">
                  <c:v>123</c:v>
                </c:pt>
                <c:pt idx="3">
                  <c:v>146</c:v>
                </c:pt>
                <c:pt idx="4">
                  <c:v>174</c:v>
                </c:pt>
                <c:pt idx="5">
                  <c:v>182</c:v>
                </c:pt>
                <c:pt idx="6">
                  <c:v>193</c:v>
                </c:pt>
                <c:pt idx="7">
                  <c:v>206</c:v>
                </c:pt>
                <c:pt idx="8">
                  <c:v>198</c:v>
                </c:pt>
                <c:pt idx="9">
                  <c:v>199</c:v>
                </c:pt>
                <c:pt idx="10">
                  <c:v>215</c:v>
                </c:pt>
                <c:pt idx="11">
                  <c:v>231</c:v>
                </c:pt>
                <c:pt idx="12">
                  <c:v>232.86503365763303</c:v>
                </c:pt>
                <c:pt idx="13">
                  <c:v>240.01966916020311</c:v>
                </c:pt>
                <c:pt idx="14">
                  <c:v>245.33438093254196</c:v>
                </c:pt>
                <c:pt idx="15">
                  <c:v>249.22324247618758</c:v>
                </c:pt>
                <c:pt idx="16">
                  <c:v>251.56966328457295</c:v>
                </c:pt>
                <c:pt idx="17">
                  <c:v>255.82989511995237</c:v>
                </c:pt>
                <c:pt idx="18">
                  <c:v>259.67961861546951</c:v>
                </c:pt>
                <c:pt idx="19">
                  <c:v>263.37640024085056</c:v>
                </c:pt>
                <c:pt idx="20">
                  <c:v>235.47246897317791</c:v>
                </c:pt>
                <c:pt idx="21">
                  <c:v>243.43584986977606</c:v>
                </c:pt>
                <c:pt idx="22">
                  <c:v>251.05604148926781</c:v>
                </c:pt>
                <c:pt idx="23">
                  <c:v>258.8924728526344</c:v>
                </c:pt>
                <c:pt idx="24">
                  <c:v>267.36327741223403</c:v>
                </c:pt>
                <c:pt idx="25">
                  <c:v>276.77725287105324</c:v>
                </c:pt>
                <c:pt idx="26">
                  <c:v>286.70076420716731</c:v>
                </c:pt>
                <c:pt idx="27">
                  <c:v>297.30559041562987</c:v>
                </c:pt>
                <c:pt idx="28">
                  <c:v>308.67201054949112</c:v>
                </c:pt>
                <c:pt idx="29">
                  <c:v>321.45771009945082</c:v>
                </c:pt>
                <c:pt idx="30">
                  <c:v>334.25063095494124</c:v>
                </c:pt>
                <c:pt idx="31">
                  <c:v>349.24598649128518</c:v>
                </c:pt>
                <c:pt idx="32">
                  <c:v>364.8488709123456</c:v>
                </c:pt>
                <c:pt idx="33">
                  <c:v>381.00168167801752</c:v>
                </c:pt>
                <c:pt idx="34">
                  <c:v>397.64092861113988</c:v>
                </c:pt>
                <c:pt idx="35">
                  <c:v>413.26493251895545</c:v>
                </c:pt>
                <c:pt idx="36">
                  <c:v>429.7038334582403</c:v>
                </c:pt>
                <c:pt idx="37">
                  <c:v>447.32007659112429</c:v>
                </c:pt>
                <c:pt idx="38">
                  <c:v>465.82232894542346</c:v>
                </c:pt>
                <c:pt idx="39">
                  <c:v>484.08770096326583</c:v>
                </c:pt>
                <c:pt idx="40">
                  <c:v>502.73387786580383</c:v>
                </c:pt>
                <c:pt idx="41">
                  <c:v>522.21867364128036</c:v>
                </c:pt>
                <c:pt idx="42">
                  <c:v>542.70310968614433</c:v>
                </c:pt>
                <c:pt idx="43">
                  <c:v>564.41341044385297</c:v>
                </c:pt>
                <c:pt idx="44">
                  <c:v>587.28041246236592</c:v>
                </c:pt>
                <c:pt idx="45">
                  <c:v>611.77449923459881</c:v>
                </c:pt>
                <c:pt idx="46">
                  <c:v>637.74057766391184</c:v>
                </c:pt>
                <c:pt idx="47">
                  <c:v>664.91689979593082</c:v>
                </c:pt>
                <c:pt idx="48">
                  <c:v>692.14978456040933</c:v>
                </c:pt>
                <c:pt idx="49">
                  <c:v>720.70857654213319</c:v>
                </c:pt>
                <c:pt idx="50">
                  <c:v>750.9028104354685</c:v>
                </c:pt>
              </c:numCache>
            </c:numRef>
          </c:val>
          <c:smooth val="0"/>
          <c:extLst>
            <c:ext xmlns:c16="http://schemas.microsoft.com/office/drawing/2014/chart" uri="{C3380CC4-5D6E-409C-BE32-E72D297353CC}">
              <c16:uniqueId val="{00000003-03A2-46B0-862C-E451EC00EDA3}"/>
            </c:ext>
          </c:extLst>
        </c:ser>
        <c:dLbls>
          <c:showLegendKey val="0"/>
          <c:showVal val="0"/>
          <c:showCatName val="0"/>
          <c:showSerName val="0"/>
          <c:showPercent val="0"/>
          <c:showBubbleSize val="0"/>
        </c:dLbls>
        <c:smooth val="0"/>
        <c:axId val="1981849103"/>
        <c:axId val="1981847023"/>
      </c:lineChart>
      <c:catAx>
        <c:axId val="1981849103"/>
        <c:scaling>
          <c:orientation val="minMax"/>
        </c:scaling>
        <c:delete val="0"/>
        <c:axPos val="b"/>
        <c:numFmt formatCode="0_ ;\-0\ "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1847023"/>
        <c:crosses val="autoZero"/>
        <c:auto val="1"/>
        <c:lblAlgn val="ctr"/>
        <c:lblOffset val="100"/>
        <c:noMultiLvlLbl val="0"/>
      </c:catAx>
      <c:valAx>
        <c:axId val="1981847023"/>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1849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'BFAP verification'!$B$28</c:f>
              <c:strCache>
                <c:ptCount val="1"/>
                <c:pt idx="0">
                  <c:v>Fluid milk production (BFAP)</c:v>
                </c:pt>
              </c:strCache>
            </c:strRef>
          </c:tx>
          <c:spPr>
            <a:ln w="28575" cap="rnd">
              <a:solidFill>
                <a:schemeClr val="accent1"/>
              </a:solidFill>
              <a:round/>
            </a:ln>
            <a:effectLst/>
          </c:spPr>
          <c:marker>
            <c:symbol val="none"/>
          </c:marker>
          <c:cat>
            <c:numRef>
              <c:f>'BFAP verification'!$C$27:$BA$27</c:f>
              <c:numCache>
                <c:formatCode>0_ ;\-0\ </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f>'BFAP verification'!$C$28:$BA$28</c:f>
              <c:numCache>
                <c:formatCode>0.00</c:formatCode>
                <c:ptCount val="51"/>
                <c:pt idx="0">
                  <c:v>2024.0540449999999</c:v>
                </c:pt>
                <c:pt idx="1">
                  <c:v>2024.0540449999999</c:v>
                </c:pt>
                <c:pt idx="2">
                  <c:v>2024.0540449999999</c:v>
                </c:pt>
                <c:pt idx="3">
                  <c:v>2113.8015639999999</c:v>
                </c:pt>
                <c:pt idx="4">
                  <c:v>2290.0087429999999</c:v>
                </c:pt>
                <c:pt idx="5">
                  <c:v>2393.5830030000002</c:v>
                </c:pt>
                <c:pt idx="6">
                  <c:v>2495.02</c:v>
                </c:pt>
                <c:pt idx="7">
                  <c:v>2546.5700000000002</c:v>
                </c:pt>
                <c:pt idx="8">
                  <c:v>2673.6727109999997</c:v>
                </c:pt>
                <c:pt idx="9">
                  <c:v>2586.3408249999998</c:v>
                </c:pt>
                <c:pt idx="10">
                  <c:v>2706.3017989999998</c:v>
                </c:pt>
                <c:pt idx="11">
                  <c:v>2720.4017549999999</c:v>
                </c:pt>
                <c:pt idx="12">
                  <c:v>2842.8103229999997</c:v>
                </c:pt>
                <c:pt idx="13">
                  <c:v>2904.1207999999997</c:v>
                </c:pt>
                <c:pt idx="14">
                  <c:v>2969.867827</c:v>
                </c:pt>
                <c:pt idx="15">
                  <c:v>3150</c:v>
                </c:pt>
                <c:pt idx="16">
                  <c:v>3100</c:v>
                </c:pt>
                <c:pt idx="17">
                  <c:v>3200</c:v>
                </c:pt>
                <c:pt idx="18">
                  <c:v>3400</c:v>
                </c:pt>
                <c:pt idx="19">
                  <c:v>3250</c:v>
                </c:pt>
                <c:pt idx="20">
                  <c:v>3300</c:v>
                </c:pt>
                <c:pt idx="21">
                  <c:v>3400</c:v>
                </c:pt>
                <c:pt idx="22">
                  <c:v>3500</c:v>
                </c:pt>
                <c:pt idx="23">
                  <c:v>3550</c:v>
                </c:pt>
                <c:pt idx="24">
                  <c:v>3600</c:v>
                </c:pt>
                <c:pt idx="25">
                  <c:v>3650</c:v>
                </c:pt>
                <c:pt idx="26">
                  <c:v>3700</c:v>
                </c:pt>
                <c:pt idx="27">
                  <c:v>3750</c:v>
                </c:pt>
                <c:pt idx="28">
                  <c:v>3800</c:v>
                </c:pt>
              </c:numCache>
            </c:numRef>
          </c:val>
          <c:smooth val="0"/>
          <c:extLst>
            <c:ext xmlns:c16="http://schemas.microsoft.com/office/drawing/2014/chart" uri="{C3380CC4-5D6E-409C-BE32-E72D297353CC}">
              <c16:uniqueId val="{00000000-D175-4114-9984-BF38085F9052}"/>
            </c:ext>
          </c:extLst>
        </c:ser>
        <c:ser>
          <c:idx val="1"/>
          <c:order val="1"/>
          <c:tx>
            <c:strRef>
              <c:f>'BFAP verification'!$B$29</c:f>
              <c:strCache>
                <c:ptCount val="1"/>
                <c:pt idx="0">
                  <c:v>Fluid milk fresh utilization (BFAP)</c:v>
                </c:pt>
              </c:strCache>
            </c:strRef>
          </c:tx>
          <c:spPr>
            <a:ln w="28575" cap="rnd">
              <a:solidFill>
                <a:schemeClr val="accent2"/>
              </a:solidFill>
              <a:round/>
            </a:ln>
            <a:effectLst/>
          </c:spPr>
          <c:marker>
            <c:symbol val="none"/>
          </c:marker>
          <c:cat>
            <c:numRef>
              <c:f>'BFAP verification'!$C$27:$BA$27</c:f>
              <c:numCache>
                <c:formatCode>0_ ;\-0\ </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f>'BFAP verification'!$C$29:$BA$29</c:f>
              <c:numCache>
                <c:formatCode>0.00</c:formatCode>
                <c:ptCount val="51"/>
                <c:pt idx="0">
                  <c:v>1273.2</c:v>
                </c:pt>
                <c:pt idx="1">
                  <c:v>1273.2</c:v>
                </c:pt>
                <c:pt idx="2">
                  <c:v>1273.2</c:v>
                </c:pt>
                <c:pt idx="3">
                  <c:v>1259</c:v>
                </c:pt>
                <c:pt idx="4">
                  <c:v>1347</c:v>
                </c:pt>
                <c:pt idx="5">
                  <c:v>1396.6</c:v>
                </c:pt>
                <c:pt idx="6">
                  <c:v>1442.9</c:v>
                </c:pt>
                <c:pt idx="7">
                  <c:v>1402.61000533527</c:v>
                </c:pt>
                <c:pt idx="8">
                  <c:v>1458.4151718048199</c:v>
                </c:pt>
                <c:pt idx="9">
                  <c:v>1493.2</c:v>
                </c:pt>
                <c:pt idx="10">
                  <c:v>1545.3558772633801</c:v>
                </c:pt>
                <c:pt idx="11">
                  <c:v>1571</c:v>
                </c:pt>
                <c:pt idx="12">
                  <c:v>1661.1</c:v>
                </c:pt>
                <c:pt idx="13">
                  <c:v>1681.39</c:v>
                </c:pt>
                <c:pt idx="14">
                  <c:v>1722.5233396599999</c:v>
                </c:pt>
                <c:pt idx="15">
                  <c:v>1775.8304373666449</c:v>
                </c:pt>
                <c:pt idx="16">
                  <c:v>1820.2326820256628</c:v>
                </c:pt>
                <c:pt idx="17">
                  <c:v>1859.0411448844859</c:v>
                </c:pt>
                <c:pt idx="18">
                  <c:v>1893.2454556799651</c:v>
                </c:pt>
                <c:pt idx="19">
                  <c:v>1928.6136766918191</c:v>
                </c:pt>
                <c:pt idx="20">
                  <c:v>1965.2479914611308</c:v>
                </c:pt>
                <c:pt idx="21">
                  <c:v>2003.0736716496317</c:v>
                </c:pt>
                <c:pt idx="22">
                  <c:v>2044.3832164581972</c:v>
                </c:pt>
                <c:pt idx="23">
                  <c:v>2085.024175882957</c:v>
                </c:pt>
                <c:pt idx="24">
                  <c:v>2123.3681095603265</c:v>
                </c:pt>
              </c:numCache>
            </c:numRef>
          </c:val>
          <c:smooth val="0"/>
          <c:extLst>
            <c:ext xmlns:c16="http://schemas.microsoft.com/office/drawing/2014/chart" uri="{C3380CC4-5D6E-409C-BE32-E72D297353CC}">
              <c16:uniqueId val="{00000001-D175-4114-9984-BF38085F9052}"/>
            </c:ext>
          </c:extLst>
        </c:ser>
        <c:ser>
          <c:idx val="2"/>
          <c:order val="2"/>
          <c:tx>
            <c:strRef>
              <c:f>'BFAP verification'!$B$30</c:f>
              <c:strCache>
                <c:ptCount val="1"/>
                <c:pt idx="0">
                  <c:v>Fluid Milk factory utilization (BFAP)</c:v>
                </c:pt>
              </c:strCache>
            </c:strRef>
          </c:tx>
          <c:spPr>
            <a:ln w="28575" cap="rnd">
              <a:solidFill>
                <a:schemeClr val="accent3"/>
              </a:solidFill>
              <a:round/>
            </a:ln>
            <a:effectLst/>
          </c:spPr>
          <c:marker>
            <c:symbol val="none"/>
          </c:marker>
          <c:cat>
            <c:numRef>
              <c:f>'BFAP verification'!$C$27:$BA$27</c:f>
              <c:numCache>
                <c:formatCode>0_ ;\-0\ </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f>'BFAP verification'!$C$30:$BA$30</c:f>
              <c:numCache>
                <c:formatCode>0.00</c:formatCode>
                <c:ptCount val="51"/>
                <c:pt idx="0">
                  <c:v>866.94927349604279</c:v>
                </c:pt>
                <c:pt idx="1">
                  <c:v>866.94927349604279</c:v>
                </c:pt>
                <c:pt idx="2">
                  <c:v>866.94927349604279</c:v>
                </c:pt>
                <c:pt idx="3">
                  <c:v>846.1138215167158</c:v>
                </c:pt>
                <c:pt idx="4">
                  <c:v>935.18533488170215</c:v>
                </c:pt>
                <c:pt idx="5">
                  <c:v>990.02288429185</c:v>
                </c:pt>
                <c:pt idx="6">
                  <c:v>1044.5425069013627</c:v>
                </c:pt>
                <c:pt idx="7">
                  <c:v>1150.5392931285598</c:v>
                </c:pt>
                <c:pt idx="8">
                  <c:v>1208.3756288442755</c:v>
                </c:pt>
                <c:pt idx="9">
                  <c:v>1092.2210617160124</c:v>
                </c:pt>
                <c:pt idx="10">
                  <c:v>1154.6007305262117</c:v>
                </c:pt>
                <c:pt idx="11">
                  <c:v>1140</c:v>
                </c:pt>
                <c:pt idx="12">
                  <c:v>1171</c:v>
                </c:pt>
                <c:pt idx="13">
                  <c:v>1200</c:v>
                </c:pt>
                <c:pt idx="14">
                  <c:v>1223.1384873399998</c:v>
                </c:pt>
                <c:pt idx="15">
                  <c:v>1297.1574685139426</c:v>
                </c:pt>
                <c:pt idx="16">
                  <c:v>1339.9486902058916</c:v>
                </c:pt>
                <c:pt idx="17">
                  <c:v>1382.183609812364</c:v>
                </c:pt>
                <c:pt idx="18">
                  <c:v>1416.4086784270767</c:v>
                </c:pt>
                <c:pt idx="19">
                  <c:v>1452.170708036087</c:v>
                </c:pt>
                <c:pt idx="20">
                  <c:v>1490.0278167036406</c:v>
                </c:pt>
                <c:pt idx="21">
                  <c:v>1529.1035404245388</c:v>
                </c:pt>
                <c:pt idx="22">
                  <c:v>1572.8770953399192</c:v>
                </c:pt>
                <c:pt idx="23">
                  <c:v>1615.0807207181326</c:v>
                </c:pt>
                <c:pt idx="24">
                  <c:v>1653.5952554033502</c:v>
                </c:pt>
              </c:numCache>
            </c:numRef>
          </c:val>
          <c:smooth val="0"/>
          <c:extLst>
            <c:ext xmlns:c16="http://schemas.microsoft.com/office/drawing/2014/chart" uri="{C3380CC4-5D6E-409C-BE32-E72D297353CC}">
              <c16:uniqueId val="{00000002-D175-4114-9984-BF38085F9052}"/>
            </c:ext>
          </c:extLst>
        </c:ser>
        <c:ser>
          <c:idx val="3"/>
          <c:order val="3"/>
          <c:tx>
            <c:strRef>
              <c:f>'BFAP verification'!$B$31</c:f>
              <c:strCache>
                <c:ptCount val="1"/>
                <c:pt idx="0">
                  <c:v>Milk production (model)</c:v>
                </c:pt>
              </c:strCache>
            </c:strRef>
          </c:tx>
          <c:spPr>
            <a:ln w="28575" cap="rnd">
              <a:solidFill>
                <a:schemeClr val="accent4"/>
              </a:solidFill>
              <a:round/>
            </a:ln>
            <a:effectLst/>
          </c:spPr>
          <c:marker>
            <c:symbol val="none"/>
          </c:marker>
          <c:cat>
            <c:numRef>
              <c:f>'BFAP verification'!$C$27:$BA$27</c:f>
              <c:numCache>
                <c:formatCode>0_ ;\-0\ </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f>'BFAP verification'!$C$31:$BA$31</c:f>
              <c:numCache>
                <c:formatCode>0.00</c:formatCode>
                <c:ptCount val="51"/>
                <c:pt idx="0">
                  <c:v>2370</c:v>
                </c:pt>
                <c:pt idx="1">
                  <c:v>2358</c:v>
                </c:pt>
                <c:pt idx="2">
                  <c:v>2457</c:v>
                </c:pt>
                <c:pt idx="3">
                  <c:v>2354</c:v>
                </c:pt>
                <c:pt idx="4">
                  <c:v>2505</c:v>
                </c:pt>
                <c:pt idx="5">
                  <c:v>2657</c:v>
                </c:pt>
                <c:pt idx="6">
                  <c:v>2513</c:v>
                </c:pt>
                <c:pt idx="7">
                  <c:v>2559</c:v>
                </c:pt>
                <c:pt idx="8">
                  <c:v>2625</c:v>
                </c:pt>
                <c:pt idx="9">
                  <c:v>2587</c:v>
                </c:pt>
                <c:pt idx="10">
                  <c:v>2711</c:v>
                </c:pt>
                <c:pt idx="11">
                  <c:v>2720</c:v>
                </c:pt>
                <c:pt idx="12">
                  <c:v>2855.8543142151339</c:v>
                </c:pt>
                <c:pt idx="13">
                  <c:v>2901.3072856167119</c:v>
                </c:pt>
                <c:pt idx="14">
                  <c:v>2940.6568667234778</c:v>
                </c:pt>
                <c:pt idx="15">
                  <c:v>2975.4630060496584</c:v>
                </c:pt>
                <c:pt idx="16">
                  <c:v>3005.3228138148961</c:v>
                </c:pt>
                <c:pt idx="17">
                  <c:v>3043.0593350741688</c:v>
                </c:pt>
                <c:pt idx="18">
                  <c:v>3079.5697489443673</c:v>
                </c:pt>
                <c:pt idx="19">
                  <c:v>3115.8740620546555</c:v>
                </c:pt>
                <c:pt idx="20">
                  <c:v>3035.5774104326097</c:v>
                </c:pt>
                <c:pt idx="21">
                  <c:v>3081.6843248483929</c:v>
                </c:pt>
                <c:pt idx="22">
                  <c:v>3126.7124549168825</c:v>
                </c:pt>
                <c:pt idx="23">
                  <c:v>3172.7346744564352</c:v>
                </c:pt>
                <c:pt idx="24">
                  <c:v>3221.3008916774884</c:v>
                </c:pt>
                <c:pt idx="25">
                  <c:v>3273.5563454543985</c:v>
                </c:pt>
                <c:pt idx="26">
                  <c:v>3325.3474590401629</c:v>
                </c:pt>
                <c:pt idx="27">
                  <c:v>3379.8086795100571</c:v>
                </c:pt>
                <c:pt idx="28">
                  <c:v>3437.2386116415141</c:v>
                </c:pt>
                <c:pt idx="29">
                  <c:v>3500.0730850526252</c:v>
                </c:pt>
                <c:pt idx="30">
                  <c:v>3563.0870010968838</c:v>
                </c:pt>
                <c:pt idx="31">
                  <c:v>3632.299456883597</c:v>
                </c:pt>
                <c:pt idx="32">
                  <c:v>3703.8776119678637</c:v>
                </c:pt>
                <c:pt idx="33">
                  <c:v>3777.6092549358077</c:v>
                </c:pt>
                <c:pt idx="34">
                  <c:v>3853.2603904124376</c:v>
                </c:pt>
                <c:pt idx="35">
                  <c:v>3925.273723090223</c:v>
                </c:pt>
                <c:pt idx="36">
                  <c:v>3998.391129663878</c:v>
                </c:pt>
                <c:pt idx="37">
                  <c:v>4075.956181422896</c:v>
                </c:pt>
                <c:pt idx="38">
                  <c:v>4156.8911970652789</c:v>
                </c:pt>
                <c:pt idx="39">
                  <c:v>4237.0405790417462</c:v>
                </c:pt>
                <c:pt idx="40">
                  <c:v>4318.6912929411828</c:v>
                </c:pt>
                <c:pt idx="41">
                  <c:v>4401.6086642369164</c:v>
                </c:pt>
                <c:pt idx="42">
                  <c:v>4488.2931567590613</c:v>
                </c:pt>
                <c:pt idx="43">
                  <c:v>4579.5825334652282</c:v>
                </c:pt>
                <c:pt idx="44">
                  <c:v>4675.2212120256954</c:v>
                </c:pt>
                <c:pt idx="45">
                  <c:v>4776.9506901639188</c:v>
                </c:pt>
                <c:pt idx="46">
                  <c:v>4882.2141696458284</c:v>
                </c:pt>
                <c:pt idx="47">
                  <c:v>4992.0039646959731</c:v>
                </c:pt>
                <c:pt idx="48">
                  <c:v>5102.0500821612395</c:v>
                </c:pt>
                <c:pt idx="49">
                  <c:v>5217.0511100278663</c:v>
                </c:pt>
                <c:pt idx="50">
                  <c:v>5338.1530000445136</c:v>
                </c:pt>
              </c:numCache>
            </c:numRef>
          </c:val>
          <c:smooth val="0"/>
          <c:extLst>
            <c:ext xmlns:c16="http://schemas.microsoft.com/office/drawing/2014/chart" uri="{C3380CC4-5D6E-409C-BE32-E72D297353CC}">
              <c16:uniqueId val="{00000003-D175-4114-9984-BF38085F9052}"/>
            </c:ext>
          </c:extLst>
        </c:ser>
        <c:ser>
          <c:idx val="4"/>
          <c:order val="4"/>
          <c:tx>
            <c:strRef>
              <c:f>'BFAP verification'!$B$32</c:f>
              <c:strCache>
                <c:ptCount val="1"/>
                <c:pt idx="0">
                  <c:v>Milk consumption (model)</c:v>
                </c:pt>
              </c:strCache>
            </c:strRef>
          </c:tx>
          <c:spPr>
            <a:ln w="28575" cap="rnd">
              <a:solidFill>
                <a:schemeClr val="accent5"/>
              </a:solidFill>
              <a:round/>
            </a:ln>
            <a:effectLst/>
          </c:spPr>
          <c:marker>
            <c:symbol val="none"/>
          </c:marker>
          <c:cat>
            <c:numRef>
              <c:f>'BFAP verification'!$C$27:$BA$27</c:f>
              <c:numCache>
                <c:formatCode>0_ ;\-0\ </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f>'BFAP verification'!$C$32:$BA$32</c:f>
              <c:numCache>
                <c:formatCode>0.00</c:formatCode>
                <c:ptCount val="51"/>
                <c:pt idx="0">
                  <c:v>1284</c:v>
                </c:pt>
                <c:pt idx="1">
                  <c:v>1575</c:v>
                </c:pt>
                <c:pt idx="2">
                  <c:v>1611</c:v>
                </c:pt>
                <c:pt idx="3">
                  <c:v>1528</c:v>
                </c:pt>
                <c:pt idx="4">
                  <c:v>1626</c:v>
                </c:pt>
                <c:pt idx="5">
                  <c:v>1835</c:v>
                </c:pt>
                <c:pt idx="6">
                  <c:v>1697</c:v>
                </c:pt>
                <c:pt idx="7">
                  <c:v>1799</c:v>
                </c:pt>
                <c:pt idx="8">
                  <c:v>1819</c:v>
                </c:pt>
                <c:pt idx="9">
                  <c:v>1788</c:v>
                </c:pt>
                <c:pt idx="10">
                  <c:v>1868</c:v>
                </c:pt>
                <c:pt idx="11">
                  <c:v>1852</c:v>
                </c:pt>
                <c:pt idx="12">
                  <c:v>1952.4447982010768</c:v>
                </c:pt>
                <c:pt idx="13">
                  <c:v>1993.9865150921516</c:v>
                </c:pt>
                <c:pt idx="14">
                  <c:v>2029.9500419577007</c:v>
                </c:pt>
                <c:pt idx="15">
                  <c:v>2061.7610928389486</c:v>
                </c:pt>
                <c:pt idx="16">
                  <c:v>2089.0514468544479</c:v>
                </c:pt>
                <c:pt idx="17">
                  <c:v>2123.5407186064876</c:v>
                </c:pt>
                <c:pt idx="18">
                  <c:v>2156.9093902203113</c:v>
                </c:pt>
                <c:pt idx="19">
                  <c:v>2190.089696163966</c:v>
                </c:pt>
                <c:pt idx="20">
                  <c:v>2116.7026179130489</c:v>
                </c:pt>
                <c:pt idx="21">
                  <c:v>2158.8420056432642</c:v>
                </c:pt>
                <c:pt idx="22">
                  <c:v>2199.9954390439852</c:v>
                </c:pt>
                <c:pt idx="23">
                  <c:v>2242.0574199411158</c:v>
                </c:pt>
                <c:pt idx="24">
                  <c:v>2286.4444860460485</c:v>
                </c:pt>
                <c:pt idx="25">
                  <c:v>2334.2033277648034</c:v>
                </c:pt>
                <c:pt idx="26">
                  <c:v>2381.5377860347562</c:v>
                </c:pt>
                <c:pt idx="27">
                  <c:v>2431.3125869452242</c:v>
                </c:pt>
                <c:pt idx="28">
                  <c:v>2483.8006401596244</c:v>
                </c:pt>
                <c:pt idx="29">
                  <c:v>2541.2281707468451</c:v>
                </c:pt>
                <c:pt idx="30">
                  <c:v>2598.8197028247164</c:v>
                </c:pt>
                <c:pt idx="31">
                  <c:v>2662.0763867106875</c:v>
                </c:pt>
                <c:pt idx="32">
                  <c:v>2727.4952000997023</c:v>
                </c:pt>
                <c:pt idx="33">
                  <c:v>2794.8821924929398</c:v>
                </c:pt>
                <c:pt idx="34">
                  <c:v>2864.0235039529298</c:v>
                </c:pt>
                <c:pt idx="35">
                  <c:v>2929.840047651534</c:v>
                </c:pt>
                <c:pt idx="36">
                  <c:v>2996.6656590479097</c:v>
                </c:pt>
                <c:pt idx="37">
                  <c:v>3067.556193185857</c:v>
                </c:pt>
                <c:pt idx="38">
                  <c:v>3141.5267038634906</c:v>
                </c:pt>
                <c:pt idx="39">
                  <c:v>3214.7791851071142</c:v>
                </c:pt>
                <c:pt idx="40">
                  <c:v>3289.4038077923278</c:v>
                </c:pt>
                <c:pt idx="41">
                  <c:v>3365.1860912713773</c:v>
                </c:pt>
                <c:pt idx="42">
                  <c:v>3444.4113330138002</c:v>
                </c:pt>
                <c:pt idx="43">
                  <c:v>3527.8452059895644</c:v>
                </c:pt>
                <c:pt idx="44">
                  <c:v>3615.2541208764255</c:v>
                </c:pt>
                <c:pt idx="45">
                  <c:v>3708.2297185102511</c:v>
                </c:pt>
                <c:pt idx="46">
                  <c:v>3804.4352146256306</c:v>
                </c:pt>
                <c:pt idx="47">
                  <c:v>3904.7775342334517</c:v>
                </c:pt>
                <c:pt idx="48">
                  <c:v>4005.3541195641387</c:v>
                </c:pt>
                <c:pt idx="49">
                  <c:v>4110.4592423868071</c:v>
                </c:pt>
                <c:pt idx="50">
                  <c:v>4221.1402446385318</c:v>
                </c:pt>
              </c:numCache>
            </c:numRef>
          </c:val>
          <c:smooth val="0"/>
          <c:extLst>
            <c:ext xmlns:c16="http://schemas.microsoft.com/office/drawing/2014/chart" uri="{C3380CC4-5D6E-409C-BE32-E72D297353CC}">
              <c16:uniqueId val="{00000004-D175-4114-9984-BF38085F9052}"/>
            </c:ext>
          </c:extLst>
        </c:ser>
        <c:dLbls>
          <c:showLegendKey val="0"/>
          <c:showVal val="0"/>
          <c:showCatName val="0"/>
          <c:showSerName val="0"/>
          <c:showPercent val="0"/>
          <c:showBubbleSize val="0"/>
        </c:dLbls>
        <c:smooth val="0"/>
        <c:axId val="1983403439"/>
        <c:axId val="1983404271"/>
      </c:lineChart>
      <c:catAx>
        <c:axId val="1983403439"/>
        <c:scaling>
          <c:orientation val="minMax"/>
        </c:scaling>
        <c:delete val="0"/>
        <c:axPos val="b"/>
        <c:numFmt formatCode="0_ ;\-0\ "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3404271"/>
        <c:crosses val="autoZero"/>
        <c:auto val="1"/>
        <c:lblAlgn val="ctr"/>
        <c:lblOffset val="100"/>
        <c:noMultiLvlLbl val="0"/>
      </c:catAx>
      <c:valAx>
        <c:axId val="1983404271"/>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340343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'BFAP verification'!$B$35</c:f>
              <c:strCache>
                <c:ptCount val="1"/>
                <c:pt idx="0">
                  <c:v>Sheep meat production (BFAP)</c:v>
                </c:pt>
              </c:strCache>
            </c:strRef>
          </c:tx>
          <c:spPr>
            <a:ln w="28575" cap="rnd">
              <a:solidFill>
                <a:schemeClr val="accent1"/>
              </a:solidFill>
              <a:round/>
            </a:ln>
            <a:effectLst/>
          </c:spPr>
          <c:marker>
            <c:symbol val="none"/>
          </c:marker>
          <c:cat>
            <c:numRef>
              <c:f>'BFAP verification'!$C$34:$BA$34</c:f>
              <c:numCache>
                <c:formatCode>0_ ;\-0\ </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f>'BFAP verification'!$C$35:$BA$35</c:f>
              <c:numCache>
                <c:formatCode>0.00</c:formatCode>
                <c:ptCount val="51"/>
                <c:pt idx="0">
                  <c:v>114.36</c:v>
                </c:pt>
                <c:pt idx="1">
                  <c:v>114.36</c:v>
                </c:pt>
                <c:pt idx="2">
                  <c:v>114.36</c:v>
                </c:pt>
                <c:pt idx="3">
                  <c:v>94.948778000000004</c:v>
                </c:pt>
                <c:pt idx="4">
                  <c:v>97.52034399999998</c:v>
                </c:pt>
                <c:pt idx="5">
                  <c:v>102.166586</c:v>
                </c:pt>
                <c:pt idx="6">
                  <c:v>115.84967</c:v>
                </c:pt>
                <c:pt idx="7">
                  <c:v>110.621706</c:v>
                </c:pt>
                <c:pt idx="8">
                  <c:v>115.99826544161907</c:v>
                </c:pt>
                <c:pt idx="9">
                  <c:v>120.63819605928383</c:v>
                </c:pt>
                <c:pt idx="10">
                  <c:v>125.46372390165519</c:v>
                </c:pt>
                <c:pt idx="11">
                  <c:v>91.588518448208291</c:v>
                </c:pt>
                <c:pt idx="12">
                  <c:v>98.915599924064963</c:v>
                </c:pt>
                <c:pt idx="13">
                  <c:v>115.10460982337811</c:v>
                </c:pt>
                <c:pt idx="14">
                  <c:v>118.08101882391567</c:v>
                </c:pt>
                <c:pt idx="15">
                  <c:v>120</c:v>
                </c:pt>
                <c:pt idx="16">
                  <c:v>125</c:v>
                </c:pt>
                <c:pt idx="17">
                  <c:v>135</c:v>
                </c:pt>
                <c:pt idx="18">
                  <c:v>115</c:v>
                </c:pt>
                <c:pt idx="19">
                  <c:v>108</c:v>
                </c:pt>
                <c:pt idx="20">
                  <c:v>113</c:v>
                </c:pt>
                <c:pt idx="21">
                  <c:v>116</c:v>
                </c:pt>
                <c:pt idx="22">
                  <c:v>119</c:v>
                </c:pt>
                <c:pt idx="23">
                  <c:v>121</c:v>
                </c:pt>
                <c:pt idx="24">
                  <c:v>124</c:v>
                </c:pt>
                <c:pt idx="25">
                  <c:v>127</c:v>
                </c:pt>
                <c:pt idx="26">
                  <c:v>129</c:v>
                </c:pt>
                <c:pt idx="27">
                  <c:v>131</c:v>
                </c:pt>
                <c:pt idx="28">
                  <c:v>133</c:v>
                </c:pt>
              </c:numCache>
            </c:numRef>
          </c:val>
          <c:smooth val="0"/>
          <c:extLst>
            <c:ext xmlns:c16="http://schemas.microsoft.com/office/drawing/2014/chart" uri="{C3380CC4-5D6E-409C-BE32-E72D297353CC}">
              <c16:uniqueId val="{00000000-DF71-4BF4-9C91-6EEA5522726F}"/>
            </c:ext>
          </c:extLst>
        </c:ser>
        <c:ser>
          <c:idx val="1"/>
          <c:order val="1"/>
          <c:tx>
            <c:strRef>
              <c:f>'BFAP verification'!$B$36</c:f>
              <c:strCache>
                <c:ptCount val="1"/>
                <c:pt idx="0">
                  <c:v>Sheep meat domestic Use (BFAP)</c:v>
                </c:pt>
              </c:strCache>
            </c:strRef>
          </c:tx>
          <c:spPr>
            <a:ln w="28575" cap="rnd">
              <a:solidFill>
                <a:schemeClr val="accent2"/>
              </a:solidFill>
              <a:round/>
            </a:ln>
            <a:effectLst/>
          </c:spPr>
          <c:marker>
            <c:symbol val="none"/>
          </c:marker>
          <c:cat>
            <c:numRef>
              <c:f>'BFAP verification'!$C$34:$BA$34</c:f>
              <c:numCache>
                <c:formatCode>0_ ;\-0\ </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f>'BFAP verification'!$C$36:$BA$36</c:f>
              <c:numCache>
                <c:formatCode>0.00</c:formatCode>
                <c:ptCount val="51"/>
                <c:pt idx="0">
                  <c:v>147.50101899999999</c:v>
                </c:pt>
                <c:pt idx="1">
                  <c:v>147.50101899999999</c:v>
                </c:pt>
                <c:pt idx="2">
                  <c:v>147.50101899999999</c:v>
                </c:pt>
                <c:pt idx="3">
                  <c:v>156</c:v>
                </c:pt>
                <c:pt idx="4">
                  <c:v>163</c:v>
                </c:pt>
                <c:pt idx="5">
                  <c:v>150</c:v>
                </c:pt>
                <c:pt idx="6">
                  <c:v>177</c:v>
                </c:pt>
                <c:pt idx="7">
                  <c:v>165.63170600000001</c:v>
                </c:pt>
                <c:pt idx="8">
                  <c:v>153.94826544161907</c:v>
                </c:pt>
                <c:pt idx="9">
                  <c:v>149.24819605928383</c:v>
                </c:pt>
                <c:pt idx="10">
                  <c:v>149.24372390165519</c:v>
                </c:pt>
                <c:pt idx="11">
                  <c:v>116.67851844820828</c:v>
                </c:pt>
                <c:pt idx="12">
                  <c:v>121.76574443406494</c:v>
                </c:pt>
                <c:pt idx="13">
                  <c:v>134.49960982337811</c:v>
                </c:pt>
                <c:pt idx="14">
                  <c:v>134.87990262391565</c:v>
                </c:pt>
                <c:pt idx="15">
                  <c:v>138.20716425710361</c:v>
                </c:pt>
                <c:pt idx="16">
                  <c:v>140.54831762918488</c:v>
                </c:pt>
                <c:pt idx="17">
                  <c:v>142.52537151325211</c:v>
                </c:pt>
                <c:pt idx="18">
                  <c:v>143.33699921198837</c:v>
                </c:pt>
                <c:pt idx="19">
                  <c:v>145.00011855243841</c:v>
                </c:pt>
                <c:pt idx="20">
                  <c:v>146.72189410939382</c:v>
                </c:pt>
                <c:pt idx="21">
                  <c:v>148.14351293952492</c:v>
                </c:pt>
                <c:pt idx="22">
                  <c:v>149.6242507758528</c:v>
                </c:pt>
                <c:pt idx="23">
                  <c:v>151.3117511608838</c:v>
                </c:pt>
                <c:pt idx="24">
                  <c:v>153.36736842443659</c:v>
                </c:pt>
              </c:numCache>
            </c:numRef>
          </c:val>
          <c:smooth val="0"/>
          <c:extLst>
            <c:ext xmlns:c16="http://schemas.microsoft.com/office/drawing/2014/chart" uri="{C3380CC4-5D6E-409C-BE32-E72D297353CC}">
              <c16:uniqueId val="{00000001-DF71-4BF4-9C91-6EEA5522726F}"/>
            </c:ext>
          </c:extLst>
        </c:ser>
        <c:ser>
          <c:idx val="2"/>
          <c:order val="2"/>
          <c:tx>
            <c:strRef>
              <c:f>'BFAP verification'!$B$37</c:f>
              <c:strCache>
                <c:ptCount val="1"/>
                <c:pt idx="0">
                  <c:v>Sheep meat production (model)</c:v>
                </c:pt>
              </c:strCache>
            </c:strRef>
          </c:tx>
          <c:spPr>
            <a:ln w="28575" cap="rnd">
              <a:solidFill>
                <a:schemeClr val="accent3"/>
              </a:solidFill>
              <a:round/>
            </a:ln>
            <a:effectLst/>
          </c:spPr>
          <c:marker>
            <c:symbol val="none"/>
          </c:marker>
          <c:cat>
            <c:numRef>
              <c:f>'BFAP verification'!$C$34:$BA$34</c:f>
              <c:numCache>
                <c:formatCode>0_ ;\-0\ </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f>'BFAP verification'!$C$37:$BA$37</c:f>
              <c:numCache>
                <c:formatCode>General</c:formatCode>
                <c:ptCount val="51"/>
                <c:pt idx="0">
                  <c:v>98.52</c:v>
                </c:pt>
                <c:pt idx="1">
                  <c:v>95.86</c:v>
                </c:pt>
                <c:pt idx="2">
                  <c:v>96.34</c:v>
                </c:pt>
                <c:pt idx="3">
                  <c:v>105.64</c:v>
                </c:pt>
                <c:pt idx="4">
                  <c:v>111.12</c:v>
                </c:pt>
                <c:pt idx="5">
                  <c:v>124.52</c:v>
                </c:pt>
                <c:pt idx="6">
                  <c:v>124.74</c:v>
                </c:pt>
                <c:pt idx="7">
                  <c:v>148.52000000000001</c:v>
                </c:pt>
                <c:pt idx="8">
                  <c:v>149.26</c:v>
                </c:pt>
                <c:pt idx="9">
                  <c:v>151.30000000000001</c:v>
                </c:pt>
                <c:pt idx="10">
                  <c:v>153.46</c:v>
                </c:pt>
                <c:pt idx="11">
                  <c:v>139.5</c:v>
                </c:pt>
                <c:pt idx="12">
                  <c:v>152.70022335748163</c:v>
                </c:pt>
                <c:pt idx="13">
                  <c:v>154.14044598775916</c:v>
                </c:pt>
                <c:pt idx="14">
                  <c:v>155.62923757552255</c:v>
                </c:pt>
                <c:pt idx="15">
                  <c:v>157.16964755323414</c:v>
                </c:pt>
                <c:pt idx="16">
                  <c:v>158.76354330390075</c:v>
                </c:pt>
                <c:pt idx="17">
                  <c:v>160.42154445822428</c:v>
                </c:pt>
                <c:pt idx="18">
                  <c:v>162.1005548532753</c:v>
                </c:pt>
                <c:pt idx="19">
                  <c:v>163.80619688435297</c:v>
                </c:pt>
                <c:pt idx="20">
                  <c:v>165.46281305244776</c:v>
                </c:pt>
                <c:pt idx="21">
                  <c:v>166.72951457481281</c:v>
                </c:pt>
                <c:pt idx="22">
                  <c:v>168.00974883475538</c:v>
                </c:pt>
                <c:pt idx="23">
                  <c:v>169.3050348622956</c:v>
                </c:pt>
                <c:pt idx="24">
                  <c:v>170.61655169882528</c:v>
                </c:pt>
                <c:pt idx="25">
                  <c:v>171.94521575219741</c:v>
                </c:pt>
                <c:pt idx="26">
                  <c:v>173.09882539481706</c:v>
                </c:pt>
                <c:pt idx="27">
                  <c:v>174.26520614005895</c:v>
                </c:pt>
                <c:pt idx="28">
                  <c:v>175.44466175648714</c:v>
                </c:pt>
                <c:pt idx="29">
                  <c:v>176.6388942411848</c:v>
                </c:pt>
                <c:pt idx="30">
                  <c:v>177.84459852231734</c:v>
                </c:pt>
                <c:pt idx="31">
                  <c:v>178.90910596549611</c:v>
                </c:pt>
                <c:pt idx="32">
                  <c:v>179.98385858212782</c:v>
                </c:pt>
                <c:pt idx="33">
                  <c:v>181.06879188076047</c:v>
                </c:pt>
                <c:pt idx="34">
                  <c:v>182.16382776275498</c:v>
                </c:pt>
                <c:pt idx="35">
                  <c:v>183.26540878857782</c:v>
                </c:pt>
                <c:pt idx="36">
                  <c:v>184.22553790705493</c:v>
                </c:pt>
                <c:pt idx="37">
                  <c:v>185.19525388039364</c:v>
                </c:pt>
                <c:pt idx="38">
                  <c:v>186.173901100547</c:v>
                </c:pt>
                <c:pt idx="39">
                  <c:v>187.15881220343309</c:v>
                </c:pt>
                <c:pt idx="40">
                  <c:v>188.15153185697346</c:v>
                </c:pt>
                <c:pt idx="41">
                  <c:v>189.00846585797058</c:v>
                </c:pt>
                <c:pt idx="42">
                  <c:v>189.87284821598118</c:v>
                </c:pt>
                <c:pt idx="43">
                  <c:v>190.74525756425737</c:v>
                </c:pt>
                <c:pt idx="44">
                  <c:v>191.62555798007745</c:v>
                </c:pt>
                <c:pt idx="45">
                  <c:v>192.51491927750263</c:v>
                </c:pt>
                <c:pt idx="46">
                  <c:v>193.26425057982192</c:v>
                </c:pt>
                <c:pt idx="47">
                  <c:v>194.02001478714709</c:v>
                </c:pt>
                <c:pt idx="48">
                  <c:v>194.77943822758519</c:v>
                </c:pt>
                <c:pt idx="49">
                  <c:v>195.54561031492713</c:v>
                </c:pt>
                <c:pt idx="50">
                  <c:v>196.31929810308671</c:v>
                </c:pt>
              </c:numCache>
            </c:numRef>
          </c:val>
          <c:smooth val="0"/>
          <c:extLst>
            <c:ext xmlns:c16="http://schemas.microsoft.com/office/drawing/2014/chart" uri="{C3380CC4-5D6E-409C-BE32-E72D297353CC}">
              <c16:uniqueId val="{00000002-DF71-4BF4-9C91-6EEA5522726F}"/>
            </c:ext>
          </c:extLst>
        </c:ser>
        <c:ser>
          <c:idx val="3"/>
          <c:order val="3"/>
          <c:tx>
            <c:strRef>
              <c:f>'BFAP verification'!$B$38</c:f>
              <c:strCache>
                <c:ptCount val="1"/>
                <c:pt idx="0">
                  <c:v>Sheep meat domestic Use (model)</c:v>
                </c:pt>
              </c:strCache>
            </c:strRef>
          </c:tx>
          <c:spPr>
            <a:ln w="28575" cap="rnd">
              <a:solidFill>
                <a:schemeClr val="accent4"/>
              </a:solidFill>
              <a:round/>
            </a:ln>
            <a:effectLst/>
          </c:spPr>
          <c:marker>
            <c:symbol val="none"/>
          </c:marker>
          <c:cat>
            <c:numRef>
              <c:f>'BFAP verification'!$C$34:$BA$34</c:f>
              <c:numCache>
                <c:formatCode>0_ ;\-0\ </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f>'BFAP verification'!$C$38:$BA$38</c:f>
              <c:numCache>
                <c:formatCode>General</c:formatCode>
                <c:ptCount val="51"/>
                <c:pt idx="0">
                  <c:v>153.22</c:v>
                </c:pt>
                <c:pt idx="1">
                  <c:v>149.46</c:v>
                </c:pt>
                <c:pt idx="2">
                  <c:v>137.24</c:v>
                </c:pt>
                <c:pt idx="3">
                  <c:v>137.24</c:v>
                </c:pt>
                <c:pt idx="4">
                  <c:v>143.82</c:v>
                </c:pt>
                <c:pt idx="5">
                  <c:v>157.91999999999999</c:v>
                </c:pt>
                <c:pt idx="6">
                  <c:v>165.44</c:v>
                </c:pt>
                <c:pt idx="7">
                  <c:v>190.82</c:v>
                </c:pt>
                <c:pt idx="8">
                  <c:v>177.66</c:v>
                </c:pt>
                <c:pt idx="9">
                  <c:v>169.2</c:v>
                </c:pt>
                <c:pt idx="10">
                  <c:v>163.56</c:v>
                </c:pt>
                <c:pt idx="11">
                  <c:v>145.69999999999999</c:v>
                </c:pt>
                <c:pt idx="12">
                  <c:v>168.44201985209529</c:v>
                </c:pt>
                <c:pt idx="13">
                  <c:v>170.96520167160594</c:v>
                </c:pt>
                <c:pt idx="14">
                  <c:v>173.57347332927398</c:v>
                </c:pt>
                <c:pt idx="15">
                  <c:v>176.27217724396368</c:v>
                </c:pt>
                <c:pt idx="16">
                  <c:v>179.06458495630622</c:v>
                </c:pt>
                <c:pt idx="17">
                  <c:v>181.9693014087276</c:v>
                </c:pt>
                <c:pt idx="18">
                  <c:v>184.91082476386737</c:v>
                </c:pt>
                <c:pt idx="19">
                  <c:v>187.89900511385883</c:v>
                </c:pt>
                <c:pt idx="20">
                  <c:v>190.8012951552524</c:v>
                </c:pt>
                <c:pt idx="21">
                  <c:v>193.0204786236875</c:v>
                </c:pt>
                <c:pt idx="22">
                  <c:v>195.26337061933634</c:v>
                </c:pt>
                <c:pt idx="23">
                  <c:v>197.53263238973764</c:v>
                </c:pt>
                <c:pt idx="24">
                  <c:v>199.83032954318122</c:v>
                </c:pt>
                <c:pt idx="25">
                  <c:v>202.15806757008608</c:v>
                </c:pt>
                <c:pt idx="26">
                  <c:v>204.17912099327049</c:v>
                </c:pt>
                <c:pt idx="27">
                  <c:v>206.22254860588518</c:v>
                </c:pt>
                <c:pt idx="28">
                  <c:v>208.28888259184524</c:v>
                </c:pt>
                <c:pt idx="29">
                  <c:v>210.38110474577545</c:v>
                </c:pt>
                <c:pt idx="30">
                  <c:v>212.49342478429159</c:v>
                </c:pt>
                <c:pt idx="31">
                  <c:v>214.35837661249946</c:v>
                </c:pt>
                <c:pt idx="32">
                  <c:v>216.2412773569726</c:v>
                </c:pt>
                <c:pt idx="33">
                  <c:v>218.14201403263789</c:v>
                </c:pt>
                <c:pt idx="34">
                  <c:v>220.06044981546398</c:v>
                </c:pt>
                <c:pt idx="35">
                  <c:v>221.99035228931865</c:v>
                </c:pt>
                <c:pt idx="36">
                  <c:v>223.67243968691596</c:v>
                </c:pt>
                <c:pt idx="37">
                  <c:v>225.37132266693536</c:v>
                </c:pt>
                <c:pt idx="38">
                  <c:v>227.08585264424153</c:v>
                </c:pt>
                <c:pt idx="39">
                  <c:v>228.81135656036699</c:v>
                </c:pt>
                <c:pt idx="40">
                  <c:v>230.5505405788831</c:v>
                </c:pt>
                <c:pt idx="41">
                  <c:v>232.05183645243832</c:v>
                </c:pt>
                <c:pt idx="42">
                  <c:v>233.56618139119118</c:v>
                </c:pt>
                <c:pt idx="43">
                  <c:v>235.09458912515197</c:v>
                </c:pt>
                <c:pt idx="44">
                  <c:v>236.63682152603914</c:v>
                </c:pt>
                <c:pt idx="45">
                  <c:v>238.19492803642436</c:v>
                </c:pt>
                <c:pt idx="46">
                  <c:v>239.50771057368937</c:v>
                </c:pt>
                <c:pt idx="47">
                  <c:v>240.83176316644187</c:v>
                </c:pt>
                <c:pt idx="48">
                  <c:v>242.16222651144184</c:v>
                </c:pt>
                <c:pt idx="49">
                  <c:v>243.50451307239186</c:v>
                </c:pt>
                <c:pt idx="50">
                  <c:v>244.85996668075902</c:v>
                </c:pt>
              </c:numCache>
            </c:numRef>
          </c:val>
          <c:smooth val="0"/>
          <c:extLst>
            <c:ext xmlns:c16="http://schemas.microsoft.com/office/drawing/2014/chart" uri="{C3380CC4-5D6E-409C-BE32-E72D297353CC}">
              <c16:uniqueId val="{00000003-DF71-4BF4-9C91-6EEA5522726F}"/>
            </c:ext>
          </c:extLst>
        </c:ser>
        <c:dLbls>
          <c:showLegendKey val="0"/>
          <c:showVal val="0"/>
          <c:showCatName val="0"/>
          <c:showSerName val="0"/>
          <c:showPercent val="0"/>
          <c:showBubbleSize val="0"/>
        </c:dLbls>
        <c:smooth val="0"/>
        <c:axId val="1923059263"/>
        <c:axId val="1923059679"/>
      </c:lineChart>
      <c:catAx>
        <c:axId val="1923059263"/>
        <c:scaling>
          <c:orientation val="minMax"/>
        </c:scaling>
        <c:delete val="0"/>
        <c:axPos val="b"/>
        <c:numFmt formatCode="0_ ;\-0\ "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3059679"/>
        <c:crosses val="autoZero"/>
        <c:auto val="1"/>
        <c:lblAlgn val="ctr"/>
        <c:lblOffset val="100"/>
        <c:noMultiLvlLbl val="0"/>
      </c:catAx>
      <c:valAx>
        <c:axId val="1923059679"/>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305926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889070087259185"/>
          <c:y val="2.8534365118546297E-2"/>
          <c:w val="0.87256215847825824"/>
          <c:h val="0.8331301340665801"/>
        </c:manualLayout>
      </c:layout>
      <c:areaChart>
        <c:grouping val="stacked"/>
        <c:varyColors val="0"/>
        <c:ser>
          <c:idx val="2"/>
          <c:order val="0"/>
          <c:tx>
            <c:strRef>
              <c:f>'Activity data'!$D$5:$F$5</c:f>
              <c:strCache>
                <c:ptCount val="3"/>
                <c:pt idx="0">
                  <c:v>TMR</c:v>
                </c:pt>
                <c:pt idx="1">
                  <c:v>Population</c:v>
                </c:pt>
                <c:pt idx="2">
                  <c:v>Head</c:v>
                </c:pt>
              </c:strCache>
              <c:extLst xmlns:c15="http://schemas.microsoft.com/office/drawing/2012/chart"/>
            </c:strRef>
          </c:tx>
          <c:spPr>
            <a:solidFill>
              <a:schemeClr val="accent3"/>
            </a:solidFill>
            <a:ln>
              <a:noFill/>
            </a:ln>
            <a:effectLst/>
          </c:spPr>
          <c:cat>
            <c:numRef>
              <c:f>'Activity data'!$H$3:$BP$3</c:f>
              <c:numCache>
                <c:formatCode>General</c:formatCode>
                <c:ptCount val="6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pt idx="32">
                  <c:v>2022</c:v>
                </c:pt>
                <c:pt idx="33">
                  <c:v>2023</c:v>
                </c:pt>
                <c:pt idx="34">
                  <c:v>2024</c:v>
                </c:pt>
                <c:pt idx="35">
                  <c:v>2025</c:v>
                </c:pt>
                <c:pt idx="36">
                  <c:v>2026</c:v>
                </c:pt>
                <c:pt idx="37">
                  <c:v>2027</c:v>
                </c:pt>
                <c:pt idx="38">
                  <c:v>2028</c:v>
                </c:pt>
                <c:pt idx="39">
                  <c:v>2029</c:v>
                </c:pt>
                <c:pt idx="40">
                  <c:v>2030</c:v>
                </c:pt>
                <c:pt idx="41">
                  <c:v>2031</c:v>
                </c:pt>
                <c:pt idx="42">
                  <c:v>2032</c:v>
                </c:pt>
                <c:pt idx="43">
                  <c:v>2033</c:v>
                </c:pt>
                <c:pt idx="44">
                  <c:v>2034</c:v>
                </c:pt>
                <c:pt idx="45">
                  <c:v>2035</c:v>
                </c:pt>
                <c:pt idx="46">
                  <c:v>2036</c:v>
                </c:pt>
                <c:pt idx="47">
                  <c:v>2037</c:v>
                </c:pt>
                <c:pt idx="48">
                  <c:v>2038</c:v>
                </c:pt>
                <c:pt idx="49">
                  <c:v>2039</c:v>
                </c:pt>
                <c:pt idx="50">
                  <c:v>2040</c:v>
                </c:pt>
                <c:pt idx="51">
                  <c:v>2041</c:v>
                </c:pt>
                <c:pt idx="52">
                  <c:v>2042</c:v>
                </c:pt>
                <c:pt idx="53">
                  <c:v>2043</c:v>
                </c:pt>
                <c:pt idx="54">
                  <c:v>2044</c:v>
                </c:pt>
                <c:pt idx="55">
                  <c:v>2045</c:v>
                </c:pt>
                <c:pt idx="56">
                  <c:v>2046</c:v>
                </c:pt>
                <c:pt idx="57">
                  <c:v>2047</c:v>
                </c:pt>
                <c:pt idx="58">
                  <c:v>2048</c:v>
                </c:pt>
                <c:pt idx="59">
                  <c:v>2049</c:v>
                </c:pt>
                <c:pt idx="60">
                  <c:v>2050</c:v>
                </c:pt>
              </c:numCache>
              <c:extLst xmlns:c15="http://schemas.microsoft.com/office/drawing/2012/chart"/>
            </c:numRef>
          </c:cat>
          <c:val>
            <c:numRef>
              <c:f>'Activity data'!$H$5:$BP$5</c:f>
              <c:numCache>
                <c:formatCode>#,##0</c:formatCode>
                <c:ptCount val="61"/>
                <c:pt idx="0">
                  <c:v>487746.14676082286</c:v>
                </c:pt>
                <c:pt idx="1">
                  <c:v>561522.50537304278</c:v>
                </c:pt>
                <c:pt idx="2">
                  <c:v>485789.62235185754</c:v>
                </c:pt>
                <c:pt idx="3">
                  <c:v>515225.4221676389</c:v>
                </c:pt>
                <c:pt idx="4">
                  <c:v>477963.52471599629</c:v>
                </c:pt>
                <c:pt idx="5">
                  <c:v>511312.37334970833</c:v>
                </c:pt>
                <c:pt idx="6">
                  <c:v>513268.89775867364</c:v>
                </c:pt>
                <c:pt idx="7">
                  <c:v>494824.80810561875</c:v>
                </c:pt>
                <c:pt idx="8">
                  <c:v>488955.23487872281</c:v>
                </c:pt>
                <c:pt idx="9">
                  <c:v>480293.76727049437</c:v>
                </c:pt>
                <c:pt idx="10">
                  <c:v>618437.58059564023</c:v>
                </c:pt>
                <c:pt idx="11">
                  <c:v>616481.05618667486</c:v>
                </c:pt>
                <c:pt idx="12">
                  <c:v>537582.56063862459</c:v>
                </c:pt>
                <c:pt idx="13">
                  <c:v>488955.23487872281</c:v>
                </c:pt>
                <c:pt idx="14">
                  <c:v>472093.95148910041</c:v>
                </c:pt>
                <c:pt idx="15">
                  <c:v>505442.80012281239</c:v>
                </c:pt>
                <c:pt idx="16">
                  <c:v>494451.08996008604</c:v>
                </c:pt>
                <c:pt idx="17">
                  <c:v>490911.75928768812</c:v>
                </c:pt>
                <c:pt idx="18">
                  <c:v>601202.57906048512</c:v>
                </c:pt>
                <c:pt idx="19">
                  <c:v>616107.33804114221</c:v>
                </c:pt>
                <c:pt idx="20">
                  <c:v>616107.33804114221</c:v>
                </c:pt>
                <c:pt idx="21">
                  <c:v>593750.19957015652</c:v>
                </c:pt>
                <c:pt idx="22">
                  <c:v>590094.07598886173</c:v>
                </c:pt>
                <c:pt idx="23">
                  <c:v>594428.51686362829</c:v>
                </c:pt>
                <c:pt idx="24">
                  <c:v>597675.51411543426</c:v>
                </c:pt>
                <c:pt idx="25">
                  <c:v>600156.21287836926</c:v>
                </c:pt>
                <c:pt idx="26">
                  <c:v>601790.31144554657</c:v>
                </c:pt>
                <c:pt idx="27">
                  <c:v>605130.93285001884</c:v>
                </c:pt>
                <c:pt idx="28">
                  <c:v>608333.07566794287</c:v>
                </c:pt>
                <c:pt idx="29">
                  <c:v>611589.60045272473</c:v>
                </c:pt>
                <c:pt idx="30">
                  <c:v>592184.31569792028</c:v>
                </c:pt>
                <c:pt idx="31">
                  <c:v>597636.53764788795</c:v>
                </c:pt>
                <c:pt idx="32">
                  <c:v>602921.53088525019</c:v>
                </c:pt>
                <c:pt idx="33">
                  <c:v>608435.04266731034</c:v>
                </c:pt>
                <c:pt idx="34">
                  <c:v>614465.01757222565</c:v>
                </c:pt>
                <c:pt idx="35">
                  <c:v>621217.31259470026</c:v>
                </c:pt>
                <c:pt idx="36">
                  <c:v>627893.92262214108</c:v>
                </c:pt>
                <c:pt idx="37">
                  <c:v>635082.60798279394</c:v>
                </c:pt>
                <c:pt idx="38">
                  <c:v>642829.88488832919</c:v>
                </c:pt>
                <c:pt idx="39">
                  <c:v>651579.82771805546</c:v>
                </c:pt>
                <c:pt idx="40">
                  <c:v>660349.28665516537</c:v>
                </c:pt>
                <c:pt idx="41">
                  <c:v>670247.75861794653</c:v>
                </c:pt>
                <c:pt idx="42">
                  <c:v>680555.81600001582</c:v>
                </c:pt>
                <c:pt idx="43">
                  <c:v>691229.11512532737</c:v>
                </c:pt>
                <c:pt idx="44">
                  <c:v>702220.31764619367</c:v>
                </c:pt>
                <c:pt idx="45">
                  <c:v>712516.76048144966</c:v>
                </c:pt>
                <c:pt idx="46">
                  <c:v>722983.8929403451</c:v>
                </c:pt>
                <c:pt idx="47">
                  <c:v>734221.93041675503</c:v>
                </c:pt>
                <c:pt idx="48">
                  <c:v>746028.82511050953</c:v>
                </c:pt>
                <c:pt idx="49">
                  <c:v>757655.39059609466</c:v>
                </c:pt>
                <c:pt idx="50">
                  <c:v>769511.25541192957</c:v>
                </c:pt>
                <c:pt idx="51">
                  <c:v>781552.53968799009</c:v>
                </c:pt>
                <c:pt idx="52">
                  <c:v>794220.0386804085</c:v>
                </c:pt>
                <c:pt idx="53">
                  <c:v>807655.46077414462</c:v>
                </c:pt>
                <c:pt idx="54">
                  <c:v>821806.64968621801</c:v>
                </c:pt>
                <c:pt idx="55">
                  <c:v>836972.2510348775</c:v>
                </c:pt>
                <c:pt idx="56">
                  <c:v>852696.58898590435</c:v>
                </c:pt>
                <c:pt idx="57">
                  <c:v>869147.86705957528</c:v>
                </c:pt>
                <c:pt idx="58">
                  <c:v>885578.94989949628</c:v>
                </c:pt>
                <c:pt idx="59">
                  <c:v>902803.89061544219</c:v>
                </c:pt>
                <c:pt idx="60">
                  <c:v>921014.08049172733</c:v>
                </c:pt>
              </c:numCache>
              <c:extLst xmlns:c15="http://schemas.microsoft.com/office/drawing/2012/chart"/>
            </c:numRef>
          </c:val>
          <c:extLst xmlns:c15="http://schemas.microsoft.com/office/drawing/2012/chart">
            <c:ext xmlns:c16="http://schemas.microsoft.com/office/drawing/2014/chart" uri="{C3380CC4-5D6E-409C-BE32-E72D297353CC}">
              <c16:uniqueId val="{00000002-3B16-45B8-89BE-5AE640BDA9C0}"/>
            </c:ext>
          </c:extLst>
        </c:ser>
        <c:ser>
          <c:idx val="3"/>
          <c:order val="1"/>
          <c:tx>
            <c:strRef>
              <c:f>'Activity data'!$D$6:$F$6</c:f>
              <c:strCache>
                <c:ptCount val="3"/>
                <c:pt idx="0">
                  <c:v>Pasture</c:v>
                </c:pt>
                <c:pt idx="1">
                  <c:v>Population</c:v>
                </c:pt>
                <c:pt idx="2">
                  <c:v>Head</c:v>
                </c:pt>
              </c:strCache>
              <c:extLst xmlns:c15="http://schemas.microsoft.com/office/drawing/2012/chart"/>
            </c:strRef>
          </c:tx>
          <c:spPr>
            <a:solidFill>
              <a:schemeClr val="accent4"/>
            </a:solidFill>
            <a:ln>
              <a:noFill/>
            </a:ln>
            <a:effectLst/>
          </c:spPr>
          <c:cat>
            <c:numRef>
              <c:f>'Activity data'!$H$3:$BP$3</c:f>
              <c:numCache>
                <c:formatCode>General</c:formatCode>
                <c:ptCount val="6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pt idx="32">
                  <c:v>2022</c:v>
                </c:pt>
                <c:pt idx="33">
                  <c:v>2023</c:v>
                </c:pt>
                <c:pt idx="34">
                  <c:v>2024</c:v>
                </c:pt>
                <c:pt idx="35">
                  <c:v>2025</c:v>
                </c:pt>
                <c:pt idx="36">
                  <c:v>2026</c:v>
                </c:pt>
                <c:pt idx="37">
                  <c:v>2027</c:v>
                </c:pt>
                <c:pt idx="38">
                  <c:v>2028</c:v>
                </c:pt>
                <c:pt idx="39">
                  <c:v>2029</c:v>
                </c:pt>
                <c:pt idx="40">
                  <c:v>2030</c:v>
                </c:pt>
                <c:pt idx="41">
                  <c:v>2031</c:v>
                </c:pt>
                <c:pt idx="42">
                  <c:v>2032</c:v>
                </c:pt>
                <c:pt idx="43">
                  <c:v>2033</c:v>
                </c:pt>
                <c:pt idx="44">
                  <c:v>2034</c:v>
                </c:pt>
                <c:pt idx="45">
                  <c:v>2035</c:v>
                </c:pt>
                <c:pt idx="46">
                  <c:v>2036</c:v>
                </c:pt>
                <c:pt idx="47">
                  <c:v>2037</c:v>
                </c:pt>
                <c:pt idx="48">
                  <c:v>2038</c:v>
                </c:pt>
                <c:pt idx="49">
                  <c:v>2039</c:v>
                </c:pt>
                <c:pt idx="50">
                  <c:v>2040</c:v>
                </c:pt>
                <c:pt idx="51">
                  <c:v>2041</c:v>
                </c:pt>
                <c:pt idx="52">
                  <c:v>2042</c:v>
                </c:pt>
                <c:pt idx="53">
                  <c:v>2043</c:v>
                </c:pt>
                <c:pt idx="54">
                  <c:v>2044</c:v>
                </c:pt>
                <c:pt idx="55">
                  <c:v>2045</c:v>
                </c:pt>
                <c:pt idx="56">
                  <c:v>2046</c:v>
                </c:pt>
                <c:pt idx="57">
                  <c:v>2047</c:v>
                </c:pt>
                <c:pt idx="58">
                  <c:v>2048</c:v>
                </c:pt>
                <c:pt idx="59">
                  <c:v>2049</c:v>
                </c:pt>
                <c:pt idx="60">
                  <c:v>2050</c:v>
                </c:pt>
              </c:numCache>
              <c:extLst xmlns:c15="http://schemas.microsoft.com/office/drawing/2012/chart"/>
            </c:numRef>
          </c:cat>
          <c:val>
            <c:numRef>
              <c:f>'Activity data'!$H$6:$BP$6</c:f>
              <c:numCache>
                <c:formatCode>#,##0</c:formatCode>
                <c:ptCount val="61"/>
                <c:pt idx="0">
                  <c:v>399733.85323917714</c:v>
                </c:pt>
                <c:pt idx="1">
                  <c:v>460197.49462695734</c:v>
                </c:pt>
                <c:pt idx="2">
                  <c:v>398130.37764814246</c:v>
                </c:pt>
                <c:pt idx="3">
                  <c:v>422254.57783236104</c:v>
                </c:pt>
                <c:pt idx="4">
                  <c:v>391716.47528400371</c:v>
                </c:pt>
                <c:pt idx="5">
                  <c:v>419047.62665029167</c:v>
                </c:pt>
                <c:pt idx="6">
                  <c:v>420651.10224132636</c:v>
                </c:pt>
                <c:pt idx="7">
                  <c:v>405535.19189438137</c:v>
                </c:pt>
                <c:pt idx="8">
                  <c:v>400724.76512127731</c:v>
                </c:pt>
                <c:pt idx="9">
                  <c:v>393626.23272950563</c:v>
                </c:pt>
                <c:pt idx="10">
                  <c:v>506842.41940435988</c:v>
                </c:pt>
                <c:pt idx="11">
                  <c:v>505238.9438133252</c:v>
                </c:pt>
                <c:pt idx="12">
                  <c:v>440577.43936137547</c:v>
                </c:pt>
                <c:pt idx="13">
                  <c:v>400724.76512127731</c:v>
                </c:pt>
                <c:pt idx="14">
                  <c:v>386906.04851089959</c:v>
                </c:pt>
                <c:pt idx="15">
                  <c:v>414237.19987718761</c:v>
                </c:pt>
                <c:pt idx="16">
                  <c:v>405228.91003991402</c:v>
                </c:pt>
                <c:pt idx="17">
                  <c:v>402328.24071231199</c:v>
                </c:pt>
                <c:pt idx="18">
                  <c:v>492717.42093951488</c:v>
                </c:pt>
                <c:pt idx="19">
                  <c:v>504932.66195885779</c:v>
                </c:pt>
                <c:pt idx="20">
                  <c:v>504932.66195885779</c:v>
                </c:pt>
                <c:pt idx="21">
                  <c:v>486609.80042984337</c:v>
                </c:pt>
                <c:pt idx="22">
                  <c:v>488935.09153362835</c:v>
                </c:pt>
                <c:pt idx="23">
                  <c:v>492526.48540129204</c:v>
                </c:pt>
                <c:pt idx="24">
                  <c:v>495216.85455278837</c:v>
                </c:pt>
                <c:pt idx="25">
                  <c:v>497272.29067064886</c:v>
                </c:pt>
                <c:pt idx="26">
                  <c:v>498626.25805488141</c:v>
                </c:pt>
                <c:pt idx="27">
                  <c:v>501394.20150430134</c:v>
                </c:pt>
                <c:pt idx="28">
                  <c:v>504047.40555343835</c:v>
                </c:pt>
                <c:pt idx="29">
                  <c:v>506745.66894654336</c:v>
                </c:pt>
                <c:pt idx="30">
                  <c:v>490667.00443541969</c:v>
                </c:pt>
                <c:pt idx="31">
                  <c:v>495184.55976539286</c:v>
                </c:pt>
                <c:pt idx="32">
                  <c:v>499563.55416206445</c:v>
                </c:pt>
                <c:pt idx="33">
                  <c:v>504131.8924957714</c:v>
                </c:pt>
                <c:pt idx="34">
                  <c:v>509128.157416987</c:v>
                </c:pt>
                <c:pt idx="35">
                  <c:v>514722.91614989447</c:v>
                </c:pt>
                <c:pt idx="36">
                  <c:v>520254.96445834544</c:v>
                </c:pt>
                <c:pt idx="37">
                  <c:v>526211.30375717208</c:v>
                </c:pt>
                <c:pt idx="38">
                  <c:v>532630.47605032986</c:v>
                </c:pt>
                <c:pt idx="39">
                  <c:v>539880.42868067452</c:v>
                </c:pt>
                <c:pt idx="40">
                  <c:v>547146.55179999408</c:v>
                </c:pt>
                <c:pt idx="41">
                  <c:v>555348.14285486995</c:v>
                </c:pt>
                <c:pt idx="42">
                  <c:v>563889.10468572739</c:v>
                </c:pt>
                <c:pt idx="43">
                  <c:v>572732.69538955693</c:v>
                </c:pt>
                <c:pt idx="44">
                  <c:v>581839.69176398905</c:v>
                </c:pt>
                <c:pt idx="45">
                  <c:v>590371.03011320112</c:v>
                </c:pt>
                <c:pt idx="46">
                  <c:v>599043.79700771451</c:v>
                </c:pt>
                <c:pt idx="47">
                  <c:v>608355.31377388269</c:v>
                </c:pt>
                <c:pt idx="48">
                  <c:v>618138.16937727935</c:v>
                </c:pt>
                <c:pt idx="49">
                  <c:v>627771.60935104988</c:v>
                </c:pt>
                <c:pt idx="50">
                  <c:v>637595.04019845591</c:v>
                </c:pt>
                <c:pt idx="51">
                  <c:v>647572.10431290604</c:v>
                </c:pt>
                <c:pt idx="52">
                  <c:v>658068.03204948129</c:v>
                </c:pt>
                <c:pt idx="53">
                  <c:v>669200.2389271484</c:v>
                </c:pt>
                <c:pt idx="54">
                  <c:v>680925.50974000921</c:v>
                </c:pt>
                <c:pt idx="55">
                  <c:v>693491.29371461272</c:v>
                </c:pt>
                <c:pt idx="56">
                  <c:v>706520.03087403509</c:v>
                </c:pt>
                <c:pt idx="57">
                  <c:v>720151.08984936238</c:v>
                </c:pt>
                <c:pt idx="58">
                  <c:v>733765.41563101124</c:v>
                </c:pt>
                <c:pt idx="59">
                  <c:v>748037.50936708064</c:v>
                </c:pt>
                <c:pt idx="60">
                  <c:v>763125.95240743121</c:v>
                </c:pt>
              </c:numCache>
              <c:extLst xmlns:c15="http://schemas.microsoft.com/office/drawing/2012/chart"/>
            </c:numRef>
          </c:val>
          <c:extLst xmlns:c15="http://schemas.microsoft.com/office/drawing/2012/chart">
            <c:ext xmlns:c16="http://schemas.microsoft.com/office/drawing/2014/chart" uri="{C3380CC4-5D6E-409C-BE32-E72D297353CC}">
              <c16:uniqueId val="{00000003-3B16-45B8-89BE-5AE640BDA9C0}"/>
            </c:ext>
          </c:extLst>
        </c:ser>
        <c:ser>
          <c:idx val="4"/>
          <c:order val="2"/>
          <c:tx>
            <c:strRef>
              <c:f>'Activity data'!$D$7:$F$7</c:f>
              <c:strCache>
                <c:ptCount val="3"/>
                <c:pt idx="0">
                  <c:v>Non-lactating</c:v>
                </c:pt>
                <c:pt idx="1">
                  <c:v>Population</c:v>
                </c:pt>
                <c:pt idx="2">
                  <c:v>Head</c:v>
                </c:pt>
              </c:strCache>
              <c:extLst xmlns:c15="http://schemas.microsoft.com/office/drawing/2012/chart"/>
            </c:strRef>
          </c:tx>
          <c:spPr>
            <a:solidFill>
              <a:schemeClr val="accent5"/>
            </a:solidFill>
            <a:ln>
              <a:noFill/>
            </a:ln>
            <a:effectLst/>
          </c:spPr>
          <c:cat>
            <c:numRef>
              <c:f>'Activity data'!$H$3:$BP$3</c:f>
              <c:numCache>
                <c:formatCode>General</c:formatCode>
                <c:ptCount val="6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pt idx="32">
                  <c:v>2022</c:v>
                </c:pt>
                <c:pt idx="33">
                  <c:v>2023</c:v>
                </c:pt>
                <c:pt idx="34">
                  <c:v>2024</c:v>
                </c:pt>
                <c:pt idx="35">
                  <c:v>2025</c:v>
                </c:pt>
                <c:pt idx="36">
                  <c:v>2026</c:v>
                </c:pt>
                <c:pt idx="37">
                  <c:v>2027</c:v>
                </c:pt>
                <c:pt idx="38">
                  <c:v>2028</c:v>
                </c:pt>
                <c:pt idx="39">
                  <c:v>2029</c:v>
                </c:pt>
                <c:pt idx="40">
                  <c:v>2030</c:v>
                </c:pt>
                <c:pt idx="41">
                  <c:v>2031</c:v>
                </c:pt>
                <c:pt idx="42">
                  <c:v>2032</c:v>
                </c:pt>
                <c:pt idx="43">
                  <c:v>2033</c:v>
                </c:pt>
                <c:pt idx="44">
                  <c:v>2034</c:v>
                </c:pt>
                <c:pt idx="45">
                  <c:v>2035</c:v>
                </c:pt>
                <c:pt idx="46">
                  <c:v>2036</c:v>
                </c:pt>
                <c:pt idx="47">
                  <c:v>2037</c:v>
                </c:pt>
                <c:pt idx="48">
                  <c:v>2038</c:v>
                </c:pt>
                <c:pt idx="49">
                  <c:v>2039</c:v>
                </c:pt>
                <c:pt idx="50">
                  <c:v>2040</c:v>
                </c:pt>
                <c:pt idx="51">
                  <c:v>2041</c:v>
                </c:pt>
                <c:pt idx="52">
                  <c:v>2042</c:v>
                </c:pt>
                <c:pt idx="53">
                  <c:v>2043</c:v>
                </c:pt>
                <c:pt idx="54">
                  <c:v>2044</c:v>
                </c:pt>
                <c:pt idx="55">
                  <c:v>2045</c:v>
                </c:pt>
                <c:pt idx="56">
                  <c:v>2046</c:v>
                </c:pt>
                <c:pt idx="57">
                  <c:v>2047</c:v>
                </c:pt>
                <c:pt idx="58">
                  <c:v>2048</c:v>
                </c:pt>
                <c:pt idx="59">
                  <c:v>2049</c:v>
                </c:pt>
                <c:pt idx="60">
                  <c:v>2050</c:v>
                </c:pt>
              </c:numCache>
              <c:extLst xmlns:c15="http://schemas.microsoft.com/office/drawing/2012/chart"/>
            </c:numRef>
          </c:cat>
          <c:val>
            <c:numRef>
              <c:f>'Activity data'!$H$7:$BP$7</c:f>
              <c:numCache>
                <c:formatCode>#,##0</c:formatCode>
                <c:ptCount val="61"/>
                <c:pt idx="0">
                  <c:v>585792.9</c:v>
                </c:pt>
                <c:pt idx="1">
                  <c:v>665847.14000000013</c:v>
                </c:pt>
                <c:pt idx="2">
                  <c:v>575959.50999999989</c:v>
                </c:pt>
                <c:pt idx="3">
                  <c:v>602759.85000000009</c:v>
                </c:pt>
                <c:pt idx="4">
                  <c:v>536625.95000000007</c:v>
                </c:pt>
                <c:pt idx="5">
                  <c:v>583093.06999999995</c:v>
                </c:pt>
                <c:pt idx="6">
                  <c:v>592926.46</c:v>
                </c:pt>
                <c:pt idx="7">
                  <c:v>572912.89999999991</c:v>
                </c:pt>
                <c:pt idx="8">
                  <c:v>543412.73</c:v>
                </c:pt>
                <c:pt idx="9">
                  <c:v>572566.12</c:v>
                </c:pt>
                <c:pt idx="10">
                  <c:v>709614.43</c:v>
                </c:pt>
                <c:pt idx="11">
                  <c:v>699781.04</c:v>
                </c:pt>
                <c:pt idx="12">
                  <c:v>642440.19000000006</c:v>
                </c:pt>
                <c:pt idx="13">
                  <c:v>543412.73</c:v>
                </c:pt>
                <c:pt idx="14">
                  <c:v>507125.77999999997</c:v>
                </c:pt>
                <c:pt idx="15">
                  <c:v>553592.9</c:v>
                </c:pt>
                <c:pt idx="16">
                  <c:v>546806.12</c:v>
                </c:pt>
                <c:pt idx="17">
                  <c:v>553246.12</c:v>
                </c:pt>
                <c:pt idx="18">
                  <c:v>647220.70000000019</c:v>
                </c:pt>
                <c:pt idx="19">
                  <c:v>673674.26</c:v>
                </c:pt>
                <c:pt idx="20">
                  <c:v>673674.26</c:v>
                </c:pt>
                <c:pt idx="21">
                  <c:v>633993.92000000016</c:v>
                </c:pt>
                <c:pt idx="22">
                  <c:v>606953.90673140076</c:v>
                </c:pt>
                <c:pt idx="23">
                  <c:v>611412.18877401785</c:v>
                </c:pt>
                <c:pt idx="24">
                  <c:v>614751.95737587532</c:v>
                </c:pt>
                <c:pt idx="25">
                  <c:v>617303.53324632277</c:v>
                </c:pt>
                <c:pt idx="26">
                  <c:v>618984.32034399081</c:v>
                </c:pt>
                <c:pt idx="27">
                  <c:v>622420.38807430526</c:v>
                </c:pt>
                <c:pt idx="28">
                  <c:v>625714.02068702702</c:v>
                </c:pt>
                <c:pt idx="29">
                  <c:v>629063.58903708844</c:v>
                </c:pt>
                <c:pt idx="30">
                  <c:v>609103.86757500388</c:v>
                </c:pt>
                <c:pt idx="31">
                  <c:v>614711.86729497055</c:v>
                </c:pt>
                <c:pt idx="32">
                  <c:v>620147.86033911468</c:v>
                </c:pt>
                <c:pt idx="33">
                  <c:v>625818.90102923359</c:v>
                </c:pt>
                <c:pt idx="34">
                  <c:v>632021.16093143227</c:v>
                </c:pt>
                <c:pt idx="35">
                  <c:v>638966.37866883457</c:v>
                </c:pt>
                <c:pt idx="36">
                  <c:v>645833.74898277374</c:v>
                </c:pt>
                <c:pt idx="37">
                  <c:v>653227.82535373105</c:v>
                </c:pt>
                <c:pt idx="38">
                  <c:v>661196.45302799589</c:v>
                </c:pt>
                <c:pt idx="39">
                  <c:v>670196.39422428573</c:v>
                </c:pt>
                <c:pt idx="40">
                  <c:v>679216.40913102729</c:v>
                </c:pt>
                <c:pt idx="41">
                  <c:v>689397.69457845937</c:v>
                </c:pt>
                <c:pt idx="42">
                  <c:v>700000.26788573072</c:v>
                </c:pt>
                <c:pt idx="43">
                  <c:v>710978.51841462264</c:v>
                </c:pt>
                <c:pt idx="44">
                  <c:v>722283.75529322797</c:v>
                </c:pt>
                <c:pt idx="45">
                  <c:v>732874.38220949122</c:v>
                </c:pt>
                <c:pt idx="46">
                  <c:v>743640.57559578365</c:v>
                </c:pt>
                <c:pt idx="47">
                  <c:v>755199.69985723379</c:v>
                </c:pt>
                <c:pt idx="48">
                  <c:v>767343.9343993814</c:v>
                </c:pt>
                <c:pt idx="49">
                  <c:v>779302.68747026892</c:v>
                </c:pt>
                <c:pt idx="50">
                  <c:v>791497.29128084192</c:v>
                </c:pt>
                <c:pt idx="51">
                  <c:v>803882.6122505042</c:v>
                </c:pt>
                <c:pt idx="52">
                  <c:v>816912.03978556313</c:v>
                </c:pt>
                <c:pt idx="53">
                  <c:v>830731.33108197746</c:v>
                </c:pt>
                <c:pt idx="54">
                  <c:v>845286.83967725292</c:v>
                </c:pt>
                <c:pt idx="55">
                  <c:v>860885.74392158841</c:v>
                </c:pt>
                <c:pt idx="56">
                  <c:v>877059.34867121605</c:v>
                </c:pt>
                <c:pt idx="57">
                  <c:v>893980.6632612776</c:v>
                </c:pt>
                <c:pt idx="58">
                  <c:v>910881.20561091066</c:v>
                </c:pt>
                <c:pt idx="59">
                  <c:v>928598.28749016928</c:v>
                </c:pt>
                <c:pt idx="60">
                  <c:v>947328.76850577677</c:v>
                </c:pt>
              </c:numCache>
              <c:extLst xmlns:c15="http://schemas.microsoft.com/office/drawing/2012/chart"/>
            </c:numRef>
          </c:val>
          <c:extLst xmlns:c15="http://schemas.microsoft.com/office/drawing/2012/chart">
            <c:ext xmlns:c16="http://schemas.microsoft.com/office/drawing/2014/chart" uri="{C3380CC4-5D6E-409C-BE32-E72D297353CC}">
              <c16:uniqueId val="{00000004-3B16-45B8-89BE-5AE640BDA9C0}"/>
            </c:ext>
          </c:extLst>
        </c:ser>
        <c:ser>
          <c:idx val="5"/>
          <c:order val="3"/>
          <c:tx>
            <c:strRef>
              <c:f>'Activity data'!$D$8:$F$8</c:f>
              <c:strCache>
                <c:ptCount val="3"/>
                <c:pt idx="0">
                  <c:v>Commercial</c:v>
                </c:pt>
                <c:pt idx="1">
                  <c:v>Population</c:v>
                </c:pt>
                <c:pt idx="2">
                  <c:v>Head</c:v>
                </c:pt>
              </c:strCache>
              <c:extLst xmlns:c15="http://schemas.microsoft.com/office/drawing/2012/chart"/>
            </c:strRef>
          </c:tx>
          <c:spPr>
            <a:solidFill>
              <a:schemeClr val="accent6"/>
            </a:solidFill>
            <a:ln>
              <a:noFill/>
            </a:ln>
            <a:effectLst/>
          </c:spPr>
          <c:cat>
            <c:numRef>
              <c:f>'Activity data'!$H$3:$BP$3</c:f>
              <c:numCache>
                <c:formatCode>General</c:formatCode>
                <c:ptCount val="6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pt idx="32">
                  <c:v>2022</c:v>
                </c:pt>
                <c:pt idx="33">
                  <c:v>2023</c:v>
                </c:pt>
                <c:pt idx="34">
                  <c:v>2024</c:v>
                </c:pt>
                <c:pt idx="35">
                  <c:v>2025</c:v>
                </c:pt>
                <c:pt idx="36">
                  <c:v>2026</c:v>
                </c:pt>
                <c:pt idx="37">
                  <c:v>2027</c:v>
                </c:pt>
                <c:pt idx="38">
                  <c:v>2028</c:v>
                </c:pt>
                <c:pt idx="39">
                  <c:v>2029</c:v>
                </c:pt>
                <c:pt idx="40">
                  <c:v>2030</c:v>
                </c:pt>
                <c:pt idx="41">
                  <c:v>2031</c:v>
                </c:pt>
                <c:pt idx="42">
                  <c:v>2032</c:v>
                </c:pt>
                <c:pt idx="43">
                  <c:v>2033</c:v>
                </c:pt>
                <c:pt idx="44">
                  <c:v>2034</c:v>
                </c:pt>
                <c:pt idx="45">
                  <c:v>2035</c:v>
                </c:pt>
                <c:pt idx="46">
                  <c:v>2036</c:v>
                </c:pt>
                <c:pt idx="47">
                  <c:v>2037</c:v>
                </c:pt>
                <c:pt idx="48">
                  <c:v>2038</c:v>
                </c:pt>
                <c:pt idx="49">
                  <c:v>2039</c:v>
                </c:pt>
                <c:pt idx="50">
                  <c:v>2040</c:v>
                </c:pt>
                <c:pt idx="51">
                  <c:v>2041</c:v>
                </c:pt>
                <c:pt idx="52">
                  <c:v>2042</c:v>
                </c:pt>
                <c:pt idx="53">
                  <c:v>2043</c:v>
                </c:pt>
                <c:pt idx="54">
                  <c:v>2044</c:v>
                </c:pt>
                <c:pt idx="55">
                  <c:v>2045</c:v>
                </c:pt>
                <c:pt idx="56">
                  <c:v>2046</c:v>
                </c:pt>
                <c:pt idx="57">
                  <c:v>2047</c:v>
                </c:pt>
                <c:pt idx="58">
                  <c:v>2048</c:v>
                </c:pt>
                <c:pt idx="59">
                  <c:v>2049</c:v>
                </c:pt>
                <c:pt idx="60">
                  <c:v>2050</c:v>
                </c:pt>
              </c:numCache>
            </c:numRef>
          </c:cat>
          <c:val>
            <c:numRef>
              <c:f>'Activity data'!$H$8:$BP$8</c:f>
              <c:numCache>
                <c:formatCode>#,##0</c:formatCode>
                <c:ptCount val="61"/>
                <c:pt idx="0">
                  <c:v>6817100</c:v>
                </c:pt>
                <c:pt idx="1">
                  <c:v>6522860</c:v>
                </c:pt>
                <c:pt idx="2">
                  <c:v>6520490</c:v>
                </c:pt>
                <c:pt idx="3">
                  <c:v>6100150</c:v>
                </c:pt>
                <c:pt idx="4">
                  <c:v>6284050</c:v>
                </c:pt>
                <c:pt idx="5">
                  <c:v>6426930</c:v>
                </c:pt>
                <c:pt idx="6">
                  <c:v>6693540</c:v>
                </c:pt>
                <c:pt idx="7">
                  <c:v>6947100</c:v>
                </c:pt>
                <c:pt idx="8">
                  <c:v>7007270</c:v>
                </c:pt>
                <c:pt idx="9">
                  <c:v>6893880</c:v>
                </c:pt>
                <c:pt idx="10">
                  <c:v>6425570</c:v>
                </c:pt>
                <c:pt idx="11">
                  <c:v>6458960</c:v>
                </c:pt>
                <c:pt idx="12">
                  <c:v>6019810</c:v>
                </c:pt>
                <c:pt idx="13">
                  <c:v>6177270</c:v>
                </c:pt>
                <c:pt idx="14">
                  <c:v>6234220</c:v>
                </c:pt>
                <c:pt idx="15">
                  <c:v>6287100</c:v>
                </c:pt>
                <c:pt idx="16">
                  <c:v>6143880</c:v>
                </c:pt>
                <c:pt idx="17">
                  <c:v>6323880</c:v>
                </c:pt>
                <c:pt idx="18">
                  <c:v>6148152.25</c:v>
                </c:pt>
                <c:pt idx="19">
                  <c:v>6044920.583333333</c:v>
                </c:pt>
                <c:pt idx="20">
                  <c:v>6025917.666666667</c:v>
                </c:pt>
                <c:pt idx="21">
                  <c:v>6004279.833333333</c:v>
                </c:pt>
                <c:pt idx="22">
                  <c:v>5956102.5281109614</c:v>
                </c:pt>
                <c:pt idx="23">
                  <c:v>5936006.5482581025</c:v>
                </c:pt>
                <c:pt idx="24">
                  <c:v>5872809.042929519</c:v>
                </c:pt>
                <c:pt idx="25">
                  <c:v>5779338.9600368366</c:v>
                </c:pt>
                <c:pt idx="26">
                  <c:v>5655859.2149560479</c:v>
                </c:pt>
                <c:pt idx="27">
                  <c:v>5575009.6952105975</c:v>
                </c:pt>
                <c:pt idx="28">
                  <c:v>5486668.0825456409</c:v>
                </c:pt>
                <c:pt idx="29">
                  <c:v>5396297.2468193993</c:v>
                </c:pt>
                <c:pt idx="30">
                  <c:v>4727897.3971654698</c:v>
                </c:pt>
                <c:pt idx="31">
                  <c:v>4784081.7347139977</c:v>
                </c:pt>
                <c:pt idx="32">
                  <c:v>4831495.1094685355</c:v>
                </c:pt>
                <c:pt idx="33">
                  <c:v>4880194.4358400228</c:v>
                </c:pt>
                <c:pt idx="34">
                  <c:v>4937056.7924311776</c:v>
                </c:pt>
                <c:pt idx="35">
                  <c:v>5006606.9464501441</c:v>
                </c:pt>
                <c:pt idx="36">
                  <c:v>5079306.3213539924</c:v>
                </c:pt>
                <c:pt idx="37">
                  <c:v>5159198.5099797184</c:v>
                </c:pt>
                <c:pt idx="38">
                  <c:v>5247015.1211931417</c:v>
                </c:pt>
                <c:pt idx="39">
                  <c:v>5352251.3685862636</c:v>
                </c:pt>
                <c:pt idx="40">
                  <c:v>5452618.5235552127</c:v>
                </c:pt>
                <c:pt idx="41">
                  <c:v>5532445.3128198916</c:v>
                </c:pt>
                <c:pt idx="42">
                  <c:v>5612188.5524017364</c:v>
                </c:pt>
                <c:pt idx="43">
                  <c:v>5690600.6471409546</c:v>
                </c:pt>
                <c:pt idx="44">
                  <c:v>5766460.2194949295</c:v>
                </c:pt>
                <c:pt idx="45">
                  <c:v>5819854.8282191958</c:v>
                </c:pt>
                <c:pt idx="46">
                  <c:v>5874357.0722396532</c:v>
                </c:pt>
                <c:pt idx="47">
                  <c:v>5934883.4188577197</c:v>
                </c:pt>
                <c:pt idx="48">
                  <c:v>5996937.0224783113</c:v>
                </c:pt>
                <c:pt idx="49">
                  <c:v>6046749.4304606067</c:v>
                </c:pt>
                <c:pt idx="50">
                  <c:v>6091806.9164547389</c:v>
                </c:pt>
                <c:pt idx="51">
                  <c:v>6167459.4509070897</c:v>
                </c:pt>
                <c:pt idx="52">
                  <c:v>6246221.0631786101</c:v>
                </c:pt>
                <c:pt idx="53">
                  <c:v>6329892.6864886982</c:v>
                </c:pt>
                <c:pt idx="54">
                  <c:v>6417025.7869479731</c:v>
                </c:pt>
                <c:pt idx="55">
                  <c:v>6511684.9619602337</c:v>
                </c:pt>
                <c:pt idx="56">
                  <c:v>6610585.1048042579</c:v>
                </c:pt>
                <c:pt idx="57">
                  <c:v>6711201.9613396274</c:v>
                </c:pt>
                <c:pt idx="58">
                  <c:v>6802161.8833797174</c:v>
                </c:pt>
                <c:pt idx="59">
                  <c:v>6895200.7918293057</c:v>
                </c:pt>
                <c:pt idx="60">
                  <c:v>6992383.9035925884</c:v>
                </c:pt>
              </c:numCache>
            </c:numRef>
          </c:val>
          <c:extLst xmlns:c15="http://schemas.microsoft.com/office/drawing/2012/chart">
            <c:ext xmlns:c16="http://schemas.microsoft.com/office/drawing/2014/chart" uri="{C3380CC4-5D6E-409C-BE32-E72D297353CC}">
              <c16:uniqueId val="{00000005-3B16-45B8-89BE-5AE640BDA9C0}"/>
            </c:ext>
          </c:extLst>
        </c:ser>
        <c:ser>
          <c:idx val="6"/>
          <c:order val="4"/>
          <c:tx>
            <c:strRef>
              <c:f>'Activity data'!$D$9:$F$9</c:f>
              <c:strCache>
                <c:ptCount val="3"/>
                <c:pt idx="0">
                  <c:v>Subsistence</c:v>
                </c:pt>
                <c:pt idx="1">
                  <c:v>Population</c:v>
                </c:pt>
                <c:pt idx="2">
                  <c:v>Head</c:v>
                </c:pt>
              </c:strCache>
              <c:extLst xmlns:c15="http://schemas.microsoft.com/office/drawing/2012/chart"/>
            </c:strRef>
          </c:tx>
          <c:spPr>
            <a:solidFill>
              <a:schemeClr val="accent1">
                <a:lumMod val="60000"/>
              </a:schemeClr>
            </a:solidFill>
            <a:ln>
              <a:noFill/>
            </a:ln>
            <a:effectLst/>
          </c:spPr>
          <c:cat>
            <c:numRef>
              <c:f>'Activity data'!$H$3:$BP$3</c:f>
              <c:numCache>
                <c:formatCode>General</c:formatCode>
                <c:ptCount val="6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pt idx="32">
                  <c:v>2022</c:v>
                </c:pt>
                <c:pt idx="33">
                  <c:v>2023</c:v>
                </c:pt>
                <c:pt idx="34">
                  <c:v>2024</c:v>
                </c:pt>
                <c:pt idx="35">
                  <c:v>2025</c:v>
                </c:pt>
                <c:pt idx="36">
                  <c:v>2026</c:v>
                </c:pt>
                <c:pt idx="37">
                  <c:v>2027</c:v>
                </c:pt>
                <c:pt idx="38">
                  <c:v>2028</c:v>
                </c:pt>
                <c:pt idx="39">
                  <c:v>2029</c:v>
                </c:pt>
                <c:pt idx="40">
                  <c:v>2030</c:v>
                </c:pt>
                <c:pt idx="41">
                  <c:v>2031</c:v>
                </c:pt>
                <c:pt idx="42">
                  <c:v>2032</c:v>
                </c:pt>
                <c:pt idx="43">
                  <c:v>2033</c:v>
                </c:pt>
                <c:pt idx="44">
                  <c:v>2034</c:v>
                </c:pt>
                <c:pt idx="45">
                  <c:v>2035</c:v>
                </c:pt>
                <c:pt idx="46">
                  <c:v>2036</c:v>
                </c:pt>
                <c:pt idx="47">
                  <c:v>2037</c:v>
                </c:pt>
                <c:pt idx="48">
                  <c:v>2038</c:v>
                </c:pt>
                <c:pt idx="49">
                  <c:v>2039</c:v>
                </c:pt>
                <c:pt idx="50">
                  <c:v>2040</c:v>
                </c:pt>
                <c:pt idx="51">
                  <c:v>2041</c:v>
                </c:pt>
                <c:pt idx="52">
                  <c:v>2042</c:v>
                </c:pt>
                <c:pt idx="53">
                  <c:v>2043</c:v>
                </c:pt>
                <c:pt idx="54">
                  <c:v>2044</c:v>
                </c:pt>
                <c:pt idx="55">
                  <c:v>2045</c:v>
                </c:pt>
                <c:pt idx="56">
                  <c:v>2046</c:v>
                </c:pt>
                <c:pt idx="57">
                  <c:v>2047</c:v>
                </c:pt>
                <c:pt idx="58">
                  <c:v>2048</c:v>
                </c:pt>
                <c:pt idx="59">
                  <c:v>2049</c:v>
                </c:pt>
                <c:pt idx="60">
                  <c:v>2050</c:v>
                </c:pt>
              </c:numCache>
            </c:numRef>
          </c:cat>
          <c:val>
            <c:numRef>
              <c:f>'Activity data'!$H$9:$BP$9</c:f>
              <c:numCache>
                <c:formatCode>#,##0</c:formatCode>
                <c:ptCount val="61"/>
                <c:pt idx="0">
                  <c:v>4590000</c:v>
                </c:pt>
                <c:pt idx="1">
                  <c:v>4870000</c:v>
                </c:pt>
                <c:pt idx="2">
                  <c:v>5100000</c:v>
                </c:pt>
                <c:pt idx="3">
                  <c:v>5040000</c:v>
                </c:pt>
                <c:pt idx="4">
                  <c:v>4390000</c:v>
                </c:pt>
                <c:pt idx="5">
                  <c:v>4240000</c:v>
                </c:pt>
                <c:pt idx="6">
                  <c:v>4360000</c:v>
                </c:pt>
                <c:pt idx="7">
                  <c:v>4560000</c:v>
                </c:pt>
                <c:pt idx="8">
                  <c:v>4840000</c:v>
                </c:pt>
                <c:pt idx="9">
                  <c:v>5040000</c:v>
                </c:pt>
                <c:pt idx="10">
                  <c:v>4920000</c:v>
                </c:pt>
                <c:pt idx="11">
                  <c:v>4800000</c:v>
                </c:pt>
                <c:pt idx="12">
                  <c:v>5440000</c:v>
                </c:pt>
                <c:pt idx="13">
                  <c:v>5570000</c:v>
                </c:pt>
                <c:pt idx="14">
                  <c:v>5480000</c:v>
                </c:pt>
                <c:pt idx="15">
                  <c:v>5320000</c:v>
                </c:pt>
                <c:pt idx="16">
                  <c:v>5490000</c:v>
                </c:pt>
                <c:pt idx="17">
                  <c:v>5710000</c:v>
                </c:pt>
                <c:pt idx="18">
                  <c:v>5620000</c:v>
                </c:pt>
                <c:pt idx="19">
                  <c:v>5560000</c:v>
                </c:pt>
                <c:pt idx="20">
                  <c:v>5480000</c:v>
                </c:pt>
                <c:pt idx="21">
                  <c:v>5520000</c:v>
                </c:pt>
                <c:pt idx="22">
                  <c:v>5281826.7702116063</c:v>
                </c:pt>
                <c:pt idx="23">
                  <c:v>5264005.8069458632</c:v>
                </c:pt>
                <c:pt idx="24">
                  <c:v>5207962.7361827809</c:v>
                </c:pt>
                <c:pt idx="25">
                  <c:v>5125074.172108138</c:v>
                </c:pt>
                <c:pt idx="26">
                  <c:v>5015573.2660930986</c:v>
                </c:pt>
                <c:pt idx="27">
                  <c:v>4943876.5221678885</c:v>
                </c:pt>
                <c:pt idx="28">
                  <c:v>4865535.8467857568</c:v>
                </c:pt>
                <c:pt idx="29">
                  <c:v>4785395.671707768</c:v>
                </c:pt>
                <c:pt idx="30">
                  <c:v>4192663.7295618313</c:v>
                </c:pt>
                <c:pt idx="31">
                  <c:v>4242487.5760671292</c:v>
                </c:pt>
                <c:pt idx="32">
                  <c:v>4284533.3989626626</c:v>
                </c:pt>
                <c:pt idx="33">
                  <c:v>4327719.5940468116</c:v>
                </c:pt>
                <c:pt idx="34">
                  <c:v>4378144.7027219869</c:v>
                </c:pt>
                <c:pt idx="35">
                  <c:v>4439821.2543991841</c:v>
                </c:pt>
                <c:pt idx="36">
                  <c:v>4504290.5113893896</c:v>
                </c:pt>
                <c:pt idx="37">
                  <c:v>4575138.3013027692</c:v>
                </c:pt>
                <c:pt idx="38">
                  <c:v>4653013.4093599552</c:v>
                </c:pt>
                <c:pt idx="39">
                  <c:v>4746336.1193123469</c:v>
                </c:pt>
                <c:pt idx="40">
                  <c:v>4835340.9548508478</c:v>
                </c:pt>
                <c:pt idx="41">
                  <c:v>4906130.7491044318</c:v>
                </c:pt>
                <c:pt idx="42">
                  <c:v>4976846.4521298409</c:v>
                </c:pt>
                <c:pt idx="43">
                  <c:v>5046381.7059551859</c:v>
                </c:pt>
                <c:pt idx="44">
                  <c:v>5113653.4021936171</c:v>
                </c:pt>
                <c:pt idx="45">
                  <c:v>5161003.3382321168</c:v>
                </c:pt>
                <c:pt idx="46">
                  <c:v>5209335.5168917673</c:v>
                </c:pt>
                <c:pt idx="47">
                  <c:v>5263009.8242700528</c:v>
                </c:pt>
                <c:pt idx="48">
                  <c:v>5318038.49163171</c:v>
                </c:pt>
                <c:pt idx="49">
                  <c:v>5362211.7590877069</c:v>
                </c:pt>
                <c:pt idx="50">
                  <c:v>5402168.397610805</c:v>
                </c:pt>
                <c:pt idx="51">
                  <c:v>5469256.4942006255</c:v>
                </c:pt>
                <c:pt idx="52">
                  <c:v>5539101.6975357477</c:v>
                </c:pt>
                <c:pt idx="53">
                  <c:v>5613301.0616031839</c:v>
                </c:pt>
                <c:pt idx="54">
                  <c:v>5690570.0374821648</c:v>
                </c:pt>
                <c:pt idx="55">
                  <c:v>5774513.0794741698</c:v>
                </c:pt>
                <c:pt idx="56">
                  <c:v>5862216.9797320766</c:v>
                </c:pt>
                <c:pt idx="57">
                  <c:v>5951443.2487351401</c:v>
                </c:pt>
                <c:pt idx="58">
                  <c:v>6032105.8211103147</c:v>
                </c:pt>
                <c:pt idx="59">
                  <c:v>6114612.0229429686</c:v>
                </c:pt>
                <c:pt idx="60">
                  <c:v>6200793.2729972005</c:v>
                </c:pt>
              </c:numCache>
            </c:numRef>
          </c:val>
          <c:extLst xmlns:c15="http://schemas.microsoft.com/office/drawing/2012/chart">
            <c:ext xmlns:c16="http://schemas.microsoft.com/office/drawing/2014/chart" uri="{C3380CC4-5D6E-409C-BE32-E72D297353CC}">
              <c16:uniqueId val="{00000006-3B16-45B8-89BE-5AE640BDA9C0}"/>
            </c:ext>
          </c:extLst>
        </c:ser>
        <c:ser>
          <c:idx val="7"/>
          <c:order val="5"/>
          <c:tx>
            <c:strRef>
              <c:f>'Activity data'!$D$10:$F$10</c:f>
              <c:strCache>
                <c:ptCount val="3"/>
                <c:pt idx="0">
                  <c:v>Feedlot</c:v>
                </c:pt>
                <c:pt idx="1">
                  <c:v>Population</c:v>
                </c:pt>
                <c:pt idx="2">
                  <c:v>Head</c:v>
                </c:pt>
              </c:strCache>
              <c:extLst xmlns:c15="http://schemas.microsoft.com/office/drawing/2012/chart"/>
            </c:strRef>
          </c:tx>
          <c:spPr>
            <a:solidFill>
              <a:schemeClr val="accent2">
                <a:lumMod val="60000"/>
              </a:schemeClr>
            </a:solidFill>
            <a:ln>
              <a:noFill/>
            </a:ln>
            <a:effectLst/>
          </c:spPr>
          <c:cat>
            <c:numRef>
              <c:f>'Activity data'!$H$3:$BP$3</c:f>
              <c:numCache>
                <c:formatCode>General</c:formatCode>
                <c:ptCount val="6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pt idx="32">
                  <c:v>2022</c:v>
                </c:pt>
                <c:pt idx="33">
                  <c:v>2023</c:v>
                </c:pt>
                <c:pt idx="34">
                  <c:v>2024</c:v>
                </c:pt>
                <c:pt idx="35">
                  <c:v>2025</c:v>
                </c:pt>
                <c:pt idx="36">
                  <c:v>2026</c:v>
                </c:pt>
                <c:pt idx="37">
                  <c:v>2027</c:v>
                </c:pt>
                <c:pt idx="38">
                  <c:v>2028</c:v>
                </c:pt>
                <c:pt idx="39">
                  <c:v>2029</c:v>
                </c:pt>
                <c:pt idx="40">
                  <c:v>2030</c:v>
                </c:pt>
                <c:pt idx="41">
                  <c:v>2031</c:v>
                </c:pt>
                <c:pt idx="42">
                  <c:v>2032</c:v>
                </c:pt>
                <c:pt idx="43">
                  <c:v>2033</c:v>
                </c:pt>
                <c:pt idx="44">
                  <c:v>2034</c:v>
                </c:pt>
                <c:pt idx="45">
                  <c:v>2035</c:v>
                </c:pt>
                <c:pt idx="46">
                  <c:v>2036</c:v>
                </c:pt>
                <c:pt idx="47">
                  <c:v>2037</c:v>
                </c:pt>
                <c:pt idx="48">
                  <c:v>2038</c:v>
                </c:pt>
                <c:pt idx="49">
                  <c:v>2039</c:v>
                </c:pt>
                <c:pt idx="50">
                  <c:v>2040</c:v>
                </c:pt>
                <c:pt idx="51">
                  <c:v>2041</c:v>
                </c:pt>
                <c:pt idx="52">
                  <c:v>2042</c:v>
                </c:pt>
                <c:pt idx="53">
                  <c:v>2043</c:v>
                </c:pt>
                <c:pt idx="54">
                  <c:v>2044</c:v>
                </c:pt>
                <c:pt idx="55">
                  <c:v>2045</c:v>
                </c:pt>
                <c:pt idx="56">
                  <c:v>2046</c:v>
                </c:pt>
                <c:pt idx="57">
                  <c:v>2047</c:v>
                </c:pt>
                <c:pt idx="58">
                  <c:v>2048</c:v>
                </c:pt>
                <c:pt idx="59">
                  <c:v>2049</c:v>
                </c:pt>
                <c:pt idx="60">
                  <c:v>2050</c:v>
                </c:pt>
              </c:numCache>
            </c:numRef>
          </c:cat>
          <c:val>
            <c:numRef>
              <c:f>'Activity data'!$H$10:$BP$10</c:f>
              <c:numCache>
                <c:formatCode>#,##0</c:formatCode>
                <c:ptCount val="61"/>
                <c:pt idx="0">
                  <c:v>420000</c:v>
                </c:pt>
                <c:pt idx="1">
                  <c:v>420000</c:v>
                </c:pt>
                <c:pt idx="2">
                  <c:v>420000</c:v>
                </c:pt>
                <c:pt idx="3">
                  <c:v>420000</c:v>
                </c:pt>
                <c:pt idx="4">
                  <c:v>420000</c:v>
                </c:pt>
                <c:pt idx="5">
                  <c:v>420000</c:v>
                </c:pt>
                <c:pt idx="6">
                  <c:v>420000</c:v>
                </c:pt>
                <c:pt idx="7">
                  <c:v>420000</c:v>
                </c:pt>
                <c:pt idx="8">
                  <c:v>420000</c:v>
                </c:pt>
                <c:pt idx="9">
                  <c:v>420000</c:v>
                </c:pt>
                <c:pt idx="10">
                  <c:v>420000</c:v>
                </c:pt>
                <c:pt idx="11">
                  <c:v>420000</c:v>
                </c:pt>
                <c:pt idx="12">
                  <c:v>420000</c:v>
                </c:pt>
                <c:pt idx="13">
                  <c:v>420000</c:v>
                </c:pt>
                <c:pt idx="14">
                  <c:v>420000</c:v>
                </c:pt>
                <c:pt idx="15">
                  <c:v>420000</c:v>
                </c:pt>
                <c:pt idx="16">
                  <c:v>420000</c:v>
                </c:pt>
                <c:pt idx="17">
                  <c:v>420000</c:v>
                </c:pt>
                <c:pt idx="18">
                  <c:v>391147.75</c:v>
                </c:pt>
                <c:pt idx="19">
                  <c:v>400819.41666666669</c:v>
                </c:pt>
                <c:pt idx="20">
                  <c:v>399822.33333333331</c:v>
                </c:pt>
                <c:pt idx="21">
                  <c:v>461800.16666666669</c:v>
                </c:pt>
                <c:pt idx="22">
                  <c:v>541405.91606729885</c:v>
                </c:pt>
                <c:pt idx="23">
                  <c:v>562640.86847983464</c:v>
                </c:pt>
                <c:pt idx="24">
                  <c:v>580121.54191023379</c:v>
                </c:pt>
                <c:pt idx="25">
                  <c:v>594686.81119661022</c:v>
                </c:pt>
                <c:pt idx="26">
                  <c:v>606012.99202959891</c:v>
                </c:pt>
                <c:pt idx="27">
                  <c:v>621826.89813027438</c:v>
                </c:pt>
                <c:pt idx="28">
                  <c:v>636895.56857724069</c:v>
                </c:pt>
                <c:pt idx="29">
                  <c:v>651795.42720219388</c:v>
                </c:pt>
                <c:pt idx="30">
                  <c:v>594131.52893650881</c:v>
                </c:pt>
                <c:pt idx="31">
                  <c:v>615665.47994690062</c:v>
                </c:pt>
                <c:pt idx="32">
                  <c:v>636530.48024944938</c:v>
                </c:pt>
                <c:pt idx="33">
                  <c:v>658018.65519302059</c:v>
                </c:pt>
                <c:pt idx="34">
                  <c:v>681107.29447105178</c:v>
                </c:pt>
                <c:pt idx="35">
                  <c:v>706529.01882904919</c:v>
                </c:pt>
                <c:pt idx="36">
                  <c:v>733046.82731290522</c:v>
                </c:pt>
                <c:pt idx="37">
                  <c:v>761307.66742003744</c:v>
                </c:pt>
                <c:pt idx="38">
                  <c:v>791513.29355313175</c:v>
                </c:pt>
                <c:pt idx="39">
                  <c:v>825228.91158229182</c:v>
                </c:pt>
                <c:pt idx="40">
                  <c:v>859143.02845105191</c:v>
                </c:pt>
                <c:pt idx="41">
                  <c:v>900615.55822695175</c:v>
                </c:pt>
                <c:pt idx="42">
                  <c:v>943937.6507344956</c:v>
                </c:pt>
                <c:pt idx="43">
                  <c:v>988993.928477754</c:v>
                </c:pt>
                <c:pt idx="44">
                  <c:v>1035651.9379350937</c:v>
                </c:pt>
                <c:pt idx="45">
                  <c:v>1080286.5804421594</c:v>
                </c:pt>
                <c:pt idx="46">
                  <c:v>1127123.5481725801</c:v>
                </c:pt>
                <c:pt idx="47">
                  <c:v>1177276.6855524804</c:v>
                </c:pt>
                <c:pt idx="48">
                  <c:v>1230072.4026826019</c:v>
                </c:pt>
                <c:pt idx="49">
                  <c:v>1282763.6132389193</c:v>
                </c:pt>
                <c:pt idx="50">
                  <c:v>1336878.8011967759</c:v>
                </c:pt>
                <c:pt idx="51">
                  <c:v>1391649.6733908386</c:v>
                </c:pt>
                <c:pt idx="52">
                  <c:v>1449305.3944497309</c:v>
                </c:pt>
                <c:pt idx="53">
                  <c:v>1510443.3655106982</c:v>
                </c:pt>
                <c:pt idx="54">
                  <c:v>1574923.3281967361</c:v>
                </c:pt>
                <c:pt idx="55">
                  <c:v>1643970.2917960682</c:v>
                </c:pt>
                <c:pt idx="56">
                  <c:v>1717031.8120025897</c:v>
                </c:pt>
                <c:pt idx="57">
                  <c:v>1793680.4335620701</c:v>
                </c:pt>
                <c:pt idx="58">
                  <c:v>1870993.0285062527</c:v>
                </c:pt>
                <c:pt idx="59">
                  <c:v>1952236.6567621555</c:v>
                </c:pt>
                <c:pt idx="60">
                  <c:v>2038247.6855003031</c:v>
                </c:pt>
              </c:numCache>
            </c:numRef>
          </c:val>
          <c:extLst xmlns:c15="http://schemas.microsoft.com/office/drawing/2012/chart">
            <c:ext xmlns:c16="http://schemas.microsoft.com/office/drawing/2014/chart" uri="{C3380CC4-5D6E-409C-BE32-E72D297353CC}">
              <c16:uniqueId val="{00000007-3B16-45B8-89BE-5AE640BDA9C0}"/>
            </c:ext>
          </c:extLst>
        </c:ser>
        <c:dLbls>
          <c:showLegendKey val="0"/>
          <c:showVal val="0"/>
          <c:showCatName val="0"/>
          <c:showSerName val="0"/>
          <c:showPercent val="0"/>
          <c:showBubbleSize val="0"/>
        </c:dLbls>
        <c:axId val="789136943"/>
        <c:axId val="789159823"/>
        <c:extLst>
          <c:ext xmlns:c15="http://schemas.microsoft.com/office/drawing/2012/chart" uri="{02D57815-91ED-43cb-92C2-25804820EDAC}">
            <c15:filteredAreaSeries>
              <c15:ser>
                <c:idx val="8"/>
                <c:order val="6"/>
                <c:tx>
                  <c:strRef>
                    <c:extLst>
                      <c:ext uri="{02D57815-91ED-43cb-92C2-25804820EDAC}">
                        <c15:formulaRef>
                          <c15:sqref>'Activity data'!$D$11:$F$11</c15:sqref>
                        </c15:formulaRef>
                      </c:ext>
                    </c:extLst>
                    <c:strCache>
                      <c:ptCount val="3"/>
                      <c:pt idx="0">
                        <c:v>Commercial</c:v>
                      </c:pt>
                      <c:pt idx="1">
                        <c:v>Population</c:v>
                      </c:pt>
                      <c:pt idx="2">
                        <c:v>Head</c:v>
                      </c:pt>
                    </c:strCache>
                  </c:strRef>
                </c:tx>
                <c:spPr>
                  <a:solidFill>
                    <a:schemeClr val="accent3">
                      <a:lumMod val="60000"/>
                    </a:schemeClr>
                  </a:solidFill>
                  <a:ln>
                    <a:noFill/>
                  </a:ln>
                  <a:effectLst/>
                </c:spPr>
                <c:cat>
                  <c:numRef>
                    <c:extLst>
                      <c:ext uri="{02D57815-91ED-43cb-92C2-25804820EDAC}">
                        <c15:formulaRef>
                          <c15:sqref>'Activity data'!$H$3:$BP$3</c15:sqref>
                        </c15:formulaRef>
                      </c:ext>
                    </c:extLst>
                    <c:numCache>
                      <c:formatCode>General</c:formatCode>
                      <c:ptCount val="6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pt idx="32">
                        <c:v>2022</c:v>
                      </c:pt>
                      <c:pt idx="33">
                        <c:v>2023</c:v>
                      </c:pt>
                      <c:pt idx="34">
                        <c:v>2024</c:v>
                      </c:pt>
                      <c:pt idx="35">
                        <c:v>2025</c:v>
                      </c:pt>
                      <c:pt idx="36">
                        <c:v>2026</c:v>
                      </c:pt>
                      <c:pt idx="37">
                        <c:v>2027</c:v>
                      </c:pt>
                      <c:pt idx="38">
                        <c:v>2028</c:v>
                      </c:pt>
                      <c:pt idx="39">
                        <c:v>2029</c:v>
                      </c:pt>
                      <c:pt idx="40">
                        <c:v>2030</c:v>
                      </c:pt>
                      <c:pt idx="41">
                        <c:v>2031</c:v>
                      </c:pt>
                      <c:pt idx="42">
                        <c:v>2032</c:v>
                      </c:pt>
                      <c:pt idx="43">
                        <c:v>2033</c:v>
                      </c:pt>
                      <c:pt idx="44">
                        <c:v>2034</c:v>
                      </c:pt>
                      <c:pt idx="45">
                        <c:v>2035</c:v>
                      </c:pt>
                      <c:pt idx="46">
                        <c:v>2036</c:v>
                      </c:pt>
                      <c:pt idx="47">
                        <c:v>2037</c:v>
                      </c:pt>
                      <c:pt idx="48">
                        <c:v>2038</c:v>
                      </c:pt>
                      <c:pt idx="49">
                        <c:v>2039</c:v>
                      </c:pt>
                      <c:pt idx="50">
                        <c:v>2040</c:v>
                      </c:pt>
                      <c:pt idx="51">
                        <c:v>2041</c:v>
                      </c:pt>
                      <c:pt idx="52">
                        <c:v>2042</c:v>
                      </c:pt>
                      <c:pt idx="53">
                        <c:v>2043</c:v>
                      </c:pt>
                      <c:pt idx="54">
                        <c:v>2044</c:v>
                      </c:pt>
                      <c:pt idx="55">
                        <c:v>2045</c:v>
                      </c:pt>
                      <c:pt idx="56">
                        <c:v>2046</c:v>
                      </c:pt>
                      <c:pt idx="57">
                        <c:v>2047</c:v>
                      </c:pt>
                      <c:pt idx="58">
                        <c:v>2048</c:v>
                      </c:pt>
                      <c:pt idx="59">
                        <c:v>2049</c:v>
                      </c:pt>
                      <c:pt idx="60">
                        <c:v>2050</c:v>
                      </c:pt>
                    </c:numCache>
                  </c:numRef>
                </c:cat>
                <c:val>
                  <c:numRef>
                    <c:extLst>
                      <c:ext uri="{02D57815-91ED-43cb-92C2-25804820EDAC}">
                        <c15:formulaRef>
                          <c15:sqref>'Activity data'!$H$11:$BP$11</c15:sqref>
                        </c15:formulaRef>
                      </c:ext>
                    </c:extLst>
                    <c:numCache>
                      <c:formatCode>#,##0</c:formatCode>
                      <c:ptCount val="61"/>
                      <c:pt idx="0">
                        <c:v>29979000</c:v>
                      </c:pt>
                      <c:pt idx="1">
                        <c:v>28631000</c:v>
                      </c:pt>
                      <c:pt idx="2">
                        <c:v>27448000</c:v>
                      </c:pt>
                      <c:pt idx="3">
                        <c:v>25670000</c:v>
                      </c:pt>
                      <c:pt idx="4">
                        <c:v>25851000</c:v>
                      </c:pt>
                      <c:pt idx="5">
                        <c:v>25481000</c:v>
                      </c:pt>
                      <c:pt idx="6">
                        <c:v>25566000</c:v>
                      </c:pt>
                      <c:pt idx="7">
                        <c:v>25010000</c:v>
                      </c:pt>
                      <c:pt idx="8">
                        <c:v>25079000</c:v>
                      </c:pt>
                      <c:pt idx="9">
                        <c:v>24463000</c:v>
                      </c:pt>
                      <c:pt idx="10">
                        <c:v>23586000</c:v>
                      </c:pt>
                      <c:pt idx="11">
                        <c:v>22998000</c:v>
                      </c:pt>
                      <c:pt idx="12">
                        <c:v>22614000</c:v>
                      </c:pt>
                      <c:pt idx="13">
                        <c:v>22693000</c:v>
                      </c:pt>
                      <c:pt idx="14">
                        <c:v>22289000</c:v>
                      </c:pt>
                      <c:pt idx="15">
                        <c:v>22236000</c:v>
                      </c:pt>
                      <c:pt idx="16">
                        <c:v>21945000</c:v>
                      </c:pt>
                      <c:pt idx="17">
                        <c:v>21924000</c:v>
                      </c:pt>
                      <c:pt idx="18">
                        <c:v>21995000</c:v>
                      </c:pt>
                      <c:pt idx="19">
                        <c:v>21917000</c:v>
                      </c:pt>
                      <c:pt idx="20">
                        <c:v>21493000</c:v>
                      </c:pt>
                      <c:pt idx="21">
                        <c:v>21325000</c:v>
                      </c:pt>
                      <c:pt idx="22">
                        <c:v>19015076.41040441</c:v>
                      </c:pt>
                      <c:pt idx="23">
                        <c:v>19025380.368026402</c:v>
                      </c:pt>
                      <c:pt idx="24">
                        <c:v>19048817.362263631</c:v>
                      </c:pt>
                      <c:pt idx="25">
                        <c:v>19084708.997385543</c:v>
                      </c:pt>
                      <c:pt idx="26">
                        <c:v>19132390.395799868</c:v>
                      </c:pt>
                      <c:pt idx="27">
                        <c:v>19192371.015796937</c:v>
                      </c:pt>
                      <c:pt idx="28">
                        <c:v>19258851.414673623</c:v>
                      </c:pt>
                      <c:pt idx="29">
                        <c:v>19332008.652391259</c:v>
                      </c:pt>
                      <c:pt idx="30">
                        <c:v>19402537.281937174</c:v>
                      </c:pt>
                      <c:pt idx="31">
                        <c:v>19430496.26238849</c:v>
                      </c:pt>
                      <c:pt idx="32">
                        <c:v>19463151.13180723</c:v>
                      </c:pt>
                      <c:pt idx="33">
                        <c:v>19500369.861777421</c:v>
                      </c:pt>
                      <c:pt idx="34">
                        <c:v>19542012.637349878</c:v>
                      </c:pt>
                      <c:pt idx="35">
                        <c:v>19587936.927437693</c:v>
                      </c:pt>
                      <c:pt idx="36">
                        <c:v>19616139.240428608</c:v>
                      </c:pt>
                      <c:pt idx="37">
                        <c:v>19647928.56534468</c:v>
                      </c:pt>
                      <c:pt idx="38">
                        <c:v>19683155.000589993</c:v>
                      </c:pt>
                      <c:pt idx="39">
                        <c:v>19721841.644773193</c:v>
                      </c:pt>
                      <c:pt idx="40">
                        <c:v>19763467.010573816</c:v>
                      </c:pt>
                      <c:pt idx="41">
                        <c:v>19791007.357354656</c:v>
                      </c:pt>
                      <c:pt idx="42">
                        <c:v>19821242.624943525</c:v>
                      </c:pt>
                      <c:pt idx="43">
                        <c:v>19854047.973214451</c:v>
                      </c:pt>
                      <c:pt idx="44">
                        <c:v>19889306.880348381</c:v>
                      </c:pt>
                      <c:pt idx="45">
                        <c:v>19926533.29427414</c:v>
                      </c:pt>
                      <c:pt idx="46">
                        <c:v>19949613.939975332</c:v>
                      </c:pt>
                      <c:pt idx="47">
                        <c:v>19974950.588448111</c:v>
                      </c:pt>
                      <c:pt idx="48">
                        <c:v>20002390.177974951</c:v>
                      </c:pt>
                      <c:pt idx="49">
                        <c:v>20031571.331830245</c:v>
                      </c:pt>
                      <c:pt idx="50">
                        <c:v>20062591.398706682</c:v>
                      </c:pt>
                      <c:pt idx="51">
                        <c:v>20080130.549318913</c:v>
                      </c:pt>
                      <c:pt idx="52">
                        <c:v>20099455.539323125</c:v>
                      </c:pt>
                      <c:pt idx="53">
                        <c:v>20120568.020051677</c:v>
                      </c:pt>
                      <c:pt idx="54">
                        <c:v>20143397.491074674</c:v>
                      </c:pt>
                      <c:pt idx="55">
                        <c:v>20168013.948189612</c:v>
                      </c:pt>
                      <c:pt idx="56">
                        <c:v>20178800.18204638</c:v>
                      </c:pt>
                      <c:pt idx="57">
                        <c:v>20191104.145001031</c:v>
                      </c:pt>
                      <c:pt idx="58">
                        <c:v>20204592.935109455</c:v>
                      </c:pt>
                      <c:pt idx="59">
                        <c:v>20219546.163626585</c:v>
                      </c:pt>
                      <c:pt idx="60">
                        <c:v>20236002.361803632</c:v>
                      </c:pt>
                    </c:numCache>
                  </c:numRef>
                </c:val>
                <c:extLst>
                  <c:ext xmlns:c16="http://schemas.microsoft.com/office/drawing/2014/chart" uri="{C3380CC4-5D6E-409C-BE32-E72D297353CC}">
                    <c16:uniqueId val="{00000008-3B16-45B8-89BE-5AE640BDA9C0}"/>
                  </c:ext>
                </c:extLst>
              </c15:ser>
            </c15:filteredAreaSeries>
            <c15:filteredAreaSeries>
              <c15:ser>
                <c:idx val="9"/>
                <c:order val="7"/>
                <c:tx>
                  <c:strRef>
                    <c:extLst xmlns:c15="http://schemas.microsoft.com/office/drawing/2012/chart">
                      <c:ext xmlns:c15="http://schemas.microsoft.com/office/drawing/2012/chart" uri="{02D57815-91ED-43cb-92C2-25804820EDAC}">
                        <c15:formulaRef>
                          <c15:sqref>'Activity data'!$D$12:$F$12</c15:sqref>
                        </c15:formulaRef>
                      </c:ext>
                    </c:extLst>
                    <c:strCache>
                      <c:ptCount val="3"/>
                      <c:pt idx="0">
                        <c:v>Subsistence</c:v>
                      </c:pt>
                      <c:pt idx="1">
                        <c:v>Population</c:v>
                      </c:pt>
                      <c:pt idx="2">
                        <c:v>Head</c:v>
                      </c:pt>
                    </c:strCache>
                  </c:strRef>
                </c:tx>
                <c:spPr>
                  <a:solidFill>
                    <a:schemeClr val="accent4">
                      <a:lumMod val="60000"/>
                    </a:schemeClr>
                  </a:solidFill>
                  <a:ln>
                    <a:noFill/>
                  </a:ln>
                  <a:effectLst/>
                </c:spPr>
                <c:cat>
                  <c:numRef>
                    <c:extLst xmlns:c15="http://schemas.microsoft.com/office/drawing/2012/chart">
                      <c:ext xmlns:c15="http://schemas.microsoft.com/office/drawing/2012/chart" uri="{02D57815-91ED-43cb-92C2-25804820EDAC}">
                        <c15:formulaRef>
                          <c15:sqref>'Activity data'!$H$3:$BP$3</c15:sqref>
                        </c15:formulaRef>
                      </c:ext>
                    </c:extLst>
                    <c:numCache>
                      <c:formatCode>General</c:formatCode>
                      <c:ptCount val="6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pt idx="32">
                        <c:v>2022</c:v>
                      </c:pt>
                      <c:pt idx="33">
                        <c:v>2023</c:v>
                      </c:pt>
                      <c:pt idx="34">
                        <c:v>2024</c:v>
                      </c:pt>
                      <c:pt idx="35">
                        <c:v>2025</c:v>
                      </c:pt>
                      <c:pt idx="36">
                        <c:v>2026</c:v>
                      </c:pt>
                      <c:pt idx="37">
                        <c:v>2027</c:v>
                      </c:pt>
                      <c:pt idx="38">
                        <c:v>2028</c:v>
                      </c:pt>
                      <c:pt idx="39">
                        <c:v>2029</c:v>
                      </c:pt>
                      <c:pt idx="40">
                        <c:v>2030</c:v>
                      </c:pt>
                      <c:pt idx="41">
                        <c:v>2031</c:v>
                      </c:pt>
                      <c:pt idx="42">
                        <c:v>2032</c:v>
                      </c:pt>
                      <c:pt idx="43">
                        <c:v>2033</c:v>
                      </c:pt>
                      <c:pt idx="44">
                        <c:v>2034</c:v>
                      </c:pt>
                      <c:pt idx="45">
                        <c:v>2035</c:v>
                      </c:pt>
                      <c:pt idx="46">
                        <c:v>2036</c:v>
                      </c:pt>
                      <c:pt idx="47">
                        <c:v>2037</c:v>
                      </c:pt>
                      <c:pt idx="48">
                        <c:v>2038</c:v>
                      </c:pt>
                      <c:pt idx="49">
                        <c:v>2039</c:v>
                      </c:pt>
                      <c:pt idx="50">
                        <c:v>2040</c:v>
                      </c:pt>
                      <c:pt idx="51">
                        <c:v>2041</c:v>
                      </c:pt>
                      <c:pt idx="52">
                        <c:v>2042</c:v>
                      </c:pt>
                      <c:pt idx="53">
                        <c:v>2043</c:v>
                      </c:pt>
                      <c:pt idx="54">
                        <c:v>2044</c:v>
                      </c:pt>
                      <c:pt idx="55">
                        <c:v>2045</c:v>
                      </c:pt>
                      <c:pt idx="56">
                        <c:v>2046</c:v>
                      </c:pt>
                      <c:pt idx="57">
                        <c:v>2047</c:v>
                      </c:pt>
                      <c:pt idx="58">
                        <c:v>2048</c:v>
                      </c:pt>
                      <c:pt idx="59">
                        <c:v>2049</c:v>
                      </c:pt>
                      <c:pt idx="60">
                        <c:v>2050</c:v>
                      </c:pt>
                    </c:numCache>
                  </c:numRef>
                </c:cat>
                <c:val>
                  <c:numRef>
                    <c:extLst xmlns:c15="http://schemas.microsoft.com/office/drawing/2012/chart">
                      <c:ext xmlns:c15="http://schemas.microsoft.com/office/drawing/2012/chart" uri="{02D57815-91ED-43cb-92C2-25804820EDAC}">
                        <c15:formulaRef>
                          <c15:sqref>'Activity data'!$H$12:$BP$12</c15:sqref>
                        </c15:formulaRef>
                      </c:ext>
                    </c:extLst>
                    <c:numCache>
                      <c:formatCode>#,##0</c:formatCode>
                      <c:ptCount val="61"/>
                      <c:pt idx="0">
                        <c:v>4183862.7657327019</c:v>
                      </c:pt>
                      <c:pt idx="1">
                        <c:v>3995736.1768468926</c:v>
                      </c:pt>
                      <c:pt idx="2">
                        <c:v>3830636.9523276691</c:v>
                      </c:pt>
                      <c:pt idx="3">
                        <c:v>3582499.6563046952</c:v>
                      </c:pt>
                      <c:pt idx="4">
                        <c:v>3607759.9772159201</c:v>
                      </c:pt>
                      <c:pt idx="5">
                        <c:v>3556122.8571211509</c:v>
                      </c:pt>
                      <c:pt idx="6">
                        <c:v>3567985.4387645437</c:v>
                      </c:pt>
                      <c:pt idx="7">
                        <c:v>3490390.1988383494</c:v>
                      </c:pt>
                      <c:pt idx="8">
                        <c:v>3500019.8239371148</c:v>
                      </c:pt>
                      <c:pt idx="9">
                        <c:v>3414050.996968525</c:v>
                      </c:pt>
                      <c:pt idx="10">
                        <c:v>3291657.0663655167</c:v>
                      </c:pt>
                      <c:pt idx="11">
                        <c:v>3209595.9133500443</c:v>
                      </c:pt>
                      <c:pt idx="12">
                        <c:v>3156004.9562787157</c:v>
                      </c:pt>
                      <c:pt idx="13">
                        <c:v>3167030.1792178694</c:v>
                      </c:pt>
                      <c:pt idx="14">
                        <c:v>3110648.0264657419</c:v>
                      </c:pt>
                      <c:pt idx="15">
                        <c:v>3103251.3579116268</c:v>
                      </c:pt>
                      <c:pt idx="16">
                        <c:v>3062639.4607560104</c:v>
                      </c:pt>
                      <c:pt idx="17">
                        <c:v>3059708.705291172</c:v>
                      </c:pt>
                      <c:pt idx="18">
                        <c:v>3069617.4499580064</c:v>
                      </c:pt>
                      <c:pt idx="19">
                        <c:v>3058731.7868028926</c:v>
                      </c:pt>
                      <c:pt idx="20">
                        <c:v>2999558.4383699675</c:v>
                      </c:pt>
                      <c:pt idx="21">
                        <c:v>2976112.3946512612</c:v>
                      </c:pt>
                      <c:pt idx="22">
                        <c:v>2841333.2567270957</c:v>
                      </c:pt>
                      <c:pt idx="23">
                        <c:v>2842872.9285556697</c:v>
                      </c:pt>
                      <c:pt idx="24">
                        <c:v>2846375.0081543359</c:v>
                      </c:pt>
                      <c:pt idx="25">
                        <c:v>2851738.1260461155</c:v>
                      </c:pt>
                      <c:pt idx="26">
                        <c:v>2858862.9327057274</c:v>
                      </c:pt>
                      <c:pt idx="27">
                        <c:v>2867825.5540845999</c:v>
                      </c:pt>
                      <c:pt idx="28">
                        <c:v>2877759.4067903114</c:v>
                      </c:pt>
                      <c:pt idx="29">
                        <c:v>2888690.9480584641</c:v>
                      </c:pt>
                      <c:pt idx="30">
                        <c:v>2899229.7087952103</c:v>
                      </c:pt>
                      <c:pt idx="31">
                        <c:v>2903407.4874833375</c:v>
                      </c:pt>
                      <c:pt idx="32">
                        <c:v>2908286.9507298162</c:v>
                      </c:pt>
                      <c:pt idx="33">
                        <c:v>2913848.370150649</c:v>
                      </c:pt>
                      <c:pt idx="34">
                        <c:v>2920070.8538568788</c:v>
                      </c:pt>
                      <c:pt idx="35">
                        <c:v>2926933.1040998851</c:v>
                      </c:pt>
                      <c:pt idx="36">
                        <c:v>2931147.2428226657</c:v>
                      </c:pt>
                      <c:pt idx="37">
                        <c:v>2935897.371833113</c:v>
                      </c:pt>
                      <c:pt idx="38">
                        <c:v>2941161.0920421826</c:v>
                      </c:pt>
                      <c:pt idx="39">
                        <c:v>2946941.8549661096</c:v>
                      </c:pt>
                      <c:pt idx="40">
                        <c:v>2953161.7372121792</c:v>
                      </c:pt>
                      <c:pt idx="41">
                        <c:v>2957276.9614437995</c:v>
                      </c:pt>
                      <c:pt idx="42">
                        <c:v>2961794.8749915613</c:v>
                      </c:pt>
                      <c:pt idx="43">
                        <c:v>2966696.8235837691</c:v>
                      </c:pt>
                      <c:pt idx="44">
                        <c:v>2971965.3959141262</c:v>
                      </c:pt>
                      <c:pt idx="45">
                        <c:v>2977527.9635122279</c:v>
                      </c:pt>
                      <c:pt idx="46">
                        <c:v>2980976.7956284983</c:v>
                      </c:pt>
                      <c:pt idx="47">
                        <c:v>2984762.7316071889</c:v>
                      </c:pt>
                      <c:pt idx="48">
                        <c:v>2988862.9001571764</c:v>
                      </c:pt>
                      <c:pt idx="49">
                        <c:v>2993223.3024573927</c:v>
                      </c:pt>
                      <c:pt idx="50">
                        <c:v>2997858.4848642168</c:v>
                      </c:pt>
                      <c:pt idx="51">
                        <c:v>3000479.2774844356</c:v>
                      </c:pt>
                      <c:pt idx="52">
                        <c:v>3003366.919668973</c:v>
                      </c:pt>
                      <c:pt idx="53">
                        <c:v>3006521.6581686414</c:v>
                      </c:pt>
                      <c:pt idx="54">
                        <c:v>3009932.9584364453</c:v>
                      </c:pt>
                      <c:pt idx="55">
                        <c:v>3013611.2796145398</c:v>
                      </c:pt>
                      <c:pt idx="56">
                        <c:v>3015223.01570808</c:v>
                      </c:pt>
                      <c:pt idx="57">
                        <c:v>3017061.5389081999</c:v>
                      </c:pt>
                      <c:pt idx="58">
                        <c:v>3019077.1052462403</c:v>
                      </c:pt>
                      <c:pt idx="59">
                        <c:v>3021311.4957143175</c:v>
                      </c:pt>
                      <c:pt idx="60">
                        <c:v>3023770.4678557152</c:v>
                      </c:pt>
                    </c:numCache>
                  </c:numRef>
                </c:val>
                <c:extLst xmlns:c15="http://schemas.microsoft.com/office/drawing/2012/chart">
                  <c:ext xmlns:c16="http://schemas.microsoft.com/office/drawing/2014/chart" uri="{C3380CC4-5D6E-409C-BE32-E72D297353CC}">
                    <c16:uniqueId val="{00000009-3B16-45B8-89BE-5AE640BDA9C0}"/>
                  </c:ext>
                </c:extLst>
              </c15:ser>
            </c15:filteredAreaSeries>
            <c15:filteredAreaSeries>
              <c15:ser>
                <c:idx val="10"/>
                <c:order val="8"/>
                <c:tx>
                  <c:strRef>
                    <c:extLst xmlns:c15="http://schemas.microsoft.com/office/drawing/2012/chart">
                      <c:ext xmlns:c15="http://schemas.microsoft.com/office/drawing/2012/chart" uri="{02D57815-91ED-43cb-92C2-25804820EDAC}">
                        <c15:formulaRef>
                          <c15:sqref>'Activity data'!$D$13:$F$13</c15:sqref>
                        </c15:formulaRef>
                      </c:ext>
                    </c:extLst>
                    <c:strCache>
                      <c:ptCount val="3"/>
                      <c:pt idx="0">
                        <c:v>Commercial</c:v>
                      </c:pt>
                      <c:pt idx="1">
                        <c:v>Population</c:v>
                      </c:pt>
                      <c:pt idx="2">
                        <c:v>Head</c:v>
                      </c:pt>
                    </c:strCache>
                  </c:strRef>
                </c:tx>
                <c:spPr>
                  <a:solidFill>
                    <a:schemeClr val="accent5">
                      <a:lumMod val="60000"/>
                    </a:schemeClr>
                  </a:solidFill>
                  <a:ln>
                    <a:noFill/>
                  </a:ln>
                  <a:effectLst/>
                </c:spPr>
                <c:cat>
                  <c:numRef>
                    <c:extLst xmlns:c15="http://schemas.microsoft.com/office/drawing/2012/chart">
                      <c:ext xmlns:c15="http://schemas.microsoft.com/office/drawing/2012/chart" uri="{02D57815-91ED-43cb-92C2-25804820EDAC}">
                        <c15:formulaRef>
                          <c15:sqref>'Activity data'!$H$3:$BP$3</c15:sqref>
                        </c15:formulaRef>
                      </c:ext>
                    </c:extLst>
                    <c:numCache>
                      <c:formatCode>General</c:formatCode>
                      <c:ptCount val="6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pt idx="32">
                        <c:v>2022</c:v>
                      </c:pt>
                      <c:pt idx="33">
                        <c:v>2023</c:v>
                      </c:pt>
                      <c:pt idx="34">
                        <c:v>2024</c:v>
                      </c:pt>
                      <c:pt idx="35">
                        <c:v>2025</c:v>
                      </c:pt>
                      <c:pt idx="36">
                        <c:v>2026</c:v>
                      </c:pt>
                      <c:pt idx="37">
                        <c:v>2027</c:v>
                      </c:pt>
                      <c:pt idx="38">
                        <c:v>2028</c:v>
                      </c:pt>
                      <c:pt idx="39">
                        <c:v>2029</c:v>
                      </c:pt>
                      <c:pt idx="40">
                        <c:v>2030</c:v>
                      </c:pt>
                      <c:pt idx="41">
                        <c:v>2031</c:v>
                      </c:pt>
                      <c:pt idx="42">
                        <c:v>2032</c:v>
                      </c:pt>
                      <c:pt idx="43">
                        <c:v>2033</c:v>
                      </c:pt>
                      <c:pt idx="44">
                        <c:v>2034</c:v>
                      </c:pt>
                      <c:pt idx="45">
                        <c:v>2035</c:v>
                      </c:pt>
                      <c:pt idx="46">
                        <c:v>2036</c:v>
                      </c:pt>
                      <c:pt idx="47">
                        <c:v>2037</c:v>
                      </c:pt>
                      <c:pt idx="48">
                        <c:v>2038</c:v>
                      </c:pt>
                      <c:pt idx="49">
                        <c:v>2039</c:v>
                      </c:pt>
                      <c:pt idx="50">
                        <c:v>2040</c:v>
                      </c:pt>
                      <c:pt idx="51">
                        <c:v>2041</c:v>
                      </c:pt>
                      <c:pt idx="52">
                        <c:v>2042</c:v>
                      </c:pt>
                      <c:pt idx="53">
                        <c:v>2043</c:v>
                      </c:pt>
                      <c:pt idx="54">
                        <c:v>2044</c:v>
                      </c:pt>
                      <c:pt idx="55">
                        <c:v>2045</c:v>
                      </c:pt>
                      <c:pt idx="56">
                        <c:v>2046</c:v>
                      </c:pt>
                      <c:pt idx="57">
                        <c:v>2047</c:v>
                      </c:pt>
                      <c:pt idx="58">
                        <c:v>2048</c:v>
                      </c:pt>
                      <c:pt idx="59">
                        <c:v>2049</c:v>
                      </c:pt>
                      <c:pt idx="60">
                        <c:v>2050</c:v>
                      </c:pt>
                    </c:numCache>
                  </c:numRef>
                </c:cat>
                <c:val>
                  <c:numRef>
                    <c:extLst xmlns:c15="http://schemas.microsoft.com/office/drawing/2012/chart">
                      <c:ext xmlns:c15="http://schemas.microsoft.com/office/drawing/2012/chart" uri="{02D57815-91ED-43cb-92C2-25804820EDAC}">
                        <c15:formulaRef>
                          <c15:sqref>'Activity data'!$H$13:$BP$13</c15:sqref>
                        </c15:formulaRef>
                      </c:ext>
                    </c:extLst>
                    <c:numCache>
                      <c:formatCode>#,##0</c:formatCode>
                      <c:ptCount val="61"/>
                      <c:pt idx="0">
                        <c:v>2774000.0000000005</c:v>
                      </c:pt>
                      <c:pt idx="1">
                        <c:v>2453000.0000000009</c:v>
                      </c:pt>
                      <c:pt idx="2">
                        <c:v>2284999.9999999995</c:v>
                      </c:pt>
                      <c:pt idx="3">
                        <c:v>2158999.9999999995</c:v>
                      </c:pt>
                      <c:pt idx="4">
                        <c:v>2336999.9999999995</c:v>
                      </c:pt>
                      <c:pt idx="5">
                        <c:v>2369000</c:v>
                      </c:pt>
                      <c:pt idx="6">
                        <c:v>2405999.9999999995</c:v>
                      </c:pt>
                      <c:pt idx="7">
                        <c:v>2394000</c:v>
                      </c:pt>
                      <c:pt idx="8">
                        <c:v>2360000</c:v>
                      </c:pt>
                      <c:pt idx="9">
                        <c:v>2325000.0000000005</c:v>
                      </c:pt>
                      <c:pt idx="10">
                        <c:v>2355000</c:v>
                      </c:pt>
                      <c:pt idx="11">
                        <c:v>2427000.0000000005</c:v>
                      </c:pt>
                      <c:pt idx="12">
                        <c:v>2216000.0000000005</c:v>
                      </c:pt>
                      <c:pt idx="13">
                        <c:v>2160000</c:v>
                      </c:pt>
                      <c:pt idx="14">
                        <c:v>2164000.0000000005</c:v>
                      </c:pt>
                      <c:pt idx="15">
                        <c:v>2136000</c:v>
                      </c:pt>
                      <c:pt idx="16">
                        <c:v>2181000</c:v>
                      </c:pt>
                      <c:pt idx="17">
                        <c:v>2116000</c:v>
                      </c:pt>
                      <c:pt idx="18">
                        <c:v>2114000.0000000005</c:v>
                      </c:pt>
                      <c:pt idx="19">
                        <c:v>2077000</c:v>
                      </c:pt>
                      <c:pt idx="20">
                        <c:v>2052000.0000000002</c:v>
                      </c:pt>
                      <c:pt idx="21">
                        <c:v>2033000.0000000002</c:v>
                      </c:pt>
                      <c:pt idx="22">
                        <c:v>2067458.9354186491</c:v>
                      </c:pt>
                      <c:pt idx="23">
                        <c:v>2072840.6657784102</c:v>
                      </c:pt>
                      <c:pt idx="24">
                        <c:v>2080061.4779437648</c:v>
                      </c:pt>
                      <c:pt idx="25">
                        <c:v>2089036.8170734884</c:v>
                      </c:pt>
                      <c:pt idx="26">
                        <c:v>2099678.43749724</c:v>
                      </c:pt>
                      <c:pt idx="27">
                        <c:v>2112093.2201888389</c:v>
                      </c:pt>
                      <c:pt idx="28">
                        <c:v>2125313.1783247138</c:v>
                      </c:pt>
                      <c:pt idx="29">
                        <c:v>2139387.6800199593</c:v>
                      </c:pt>
                      <c:pt idx="30">
                        <c:v>2152763.9251345973</c:v>
                      </c:pt>
                      <c:pt idx="31">
                        <c:v>2158751.8645352237</c:v>
                      </c:pt>
                      <c:pt idx="32">
                        <c:v>2165351.3999638623</c:v>
                      </c:pt>
                      <c:pt idx="33">
                        <c:v>2172549.7278229245</c:v>
                      </c:pt>
                      <c:pt idx="34">
                        <c:v>2180331.4463785933</c:v>
                      </c:pt>
                      <c:pt idx="35">
                        <c:v>2188679.6447351002</c:v>
                      </c:pt>
                      <c:pt idx="36">
                        <c:v>2193945.0686634537</c:v>
                      </c:pt>
                      <c:pt idx="37">
                        <c:v>2199689.1395176924</c:v>
                      </c:pt>
                      <c:pt idx="38">
                        <c:v>2205891.4353405046</c:v>
                      </c:pt>
                      <c:pt idx="39">
                        <c:v>2212559.6258286922</c:v>
                      </c:pt>
                      <c:pt idx="40">
                        <c:v>2219611.0839872318</c:v>
                      </c:pt>
                      <c:pt idx="41">
                        <c:v>2224251.5118566672</c:v>
                      </c:pt>
                      <c:pt idx="42">
                        <c:v>2229252.7053817464</c:v>
                      </c:pt>
                      <c:pt idx="43">
                        <c:v>2234596.5542389555</c:v>
                      </c:pt>
                      <c:pt idx="44">
                        <c:v>2240266.1283060093</c:v>
                      </c:pt>
                      <c:pt idx="45">
                        <c:v>2246184.0962797729</c:v>
                      </c:pt>
                      <c:pt idx="46">
                        <c:v>2249730.5312539567</c:v>
                      </c:pt>
                      <c:pt idx="47">
                        <c:v>2253585.9670473156</c:v>
                      </c:pt>
                      <c:pt idx="48">
                        <c:v>2257726.6928999033</c:v>
                      </c:pt>
                      <c:pt idx="49">
                        <c:v>2262095.2887907065</c:v>
                      </c:pt>
                      <c:pt idx="50">
                        <c:v>2266708.6908088843</c:v>
                      </c:pt>
                      <c:pt idx="51">
                        <c:v>2269097.5365828103</c:v>
                      </c:pt>
                      <c:pt idx="52">
                        <c:v>2271733.056127198</c:v>
                      </c:pt>
                      <c:pt idx="53">
                        <c:v>2274616.077688837</c:v>
                      </c:pt>
                      <c:pt idx="54">
                        <c:v>2277735.7511015423</c:v>
                      </c:pt>
                      <c:pt idx="55">
                        <c:v>2281103.7111612358</c:v>
                      </c:pt>
                      <c:pt idx="56">
                        <c:v>2282223.2510226816</c:v>
                      </c:pt>
                      <c:pt idx="57">
                        <c:v>2283556.754526474</c:v>
                      </c:pt>
                      <c:pt idx="58">
                        <c:v>2285051.3562245434</c:v>
                      </c:pt>
                      <c:pt idx="59">
                        <c:v>2286751.9302304969</c:v>
                      </c:pt>
                      <c:pt idx="60">
                        <c:v>2288664.7117831726</c:v>
                      </c:pt>
                    </c:numCache>
                  </c:numRef>
                </c:val>
                <c:extLst xmlns:c15="http://schemas.microsoft.com/office/drawing/2012/chart">
                  <c:ext xmlns:c16="http://schemas.microsoft.com/office/drawing/2014/chart" uri="{C3380CC4-5D6E-409C-BE32-E72D297353CC}">
                    <c16:uniqueId val="{0000000A-3B16-45B8-89BE-5AE640BDA9C0}"/>
                  </c:ext>
                </c:extLst>
              </c15:ser>
            </c15:filteredAreaSeries>
            <c15:filteredAreaSeries>
              <c15:ser>
                <c:idx val="11"/>
                <c:order val="9"/>
                <c:tx>
                  <c:strRef>
                    <c:extLst xmlns:c15="http://schemas.microsoft.com/office/drawing/2012/chart">
                      <c:ext xmlns:c15="http://schemas.microsoft.com/office/drawing/2012/chart" uri="{02D57815-91ED-43cb-92C2-25804820EDAC}">
                        <c15:formulaRef>
                          <c15:sqref>'Activity data'!$D$14:$F$14</c15:sqref>
                        </c15:formulaRef>
                      </c:ext>
                    </c:extLst>
                    <c:strCache>
                      <c:ptCount val="3"/>
                      <c:pt idx="0">
                        <c:v>Subsistence</c:v>
                      </c:pt>
                      <c:pt idx="1">
                        <c:v>Population</c:v>
                      </c:pt>
                      <c:pt idx="2">
                        <c:v>Head</c:v>
                      </c:pt>
                    </c:strCache>
                  </c:strRef>
                </c:tx>
                <c:spPr>
                  <a:solidFill>
                    <a:schemeClr val="accent6">
                      <a:lumMod val="60000"/>
                    </a:schemeClr>
                  </a:solidFill>
                  <a:ln>
                    <a:noFill/>
                  </a:ln>
                  <a:effectLst/>
                </c:spPr>
                <c:cat>
                  <c:numRef>
                    <c:extLst xmlns:c15="http://schemas.microsoft.com/office/drawing/2012/chart">
                      <c:ext xmlns:c15="http://schemas.microsoft.com/office/drawing/2012/chart" uri="{02D57815-91ED-43cb-92C2-25804820EDAC}">
                        <c15:formulaRef>
                          <c15:sqref>'Activity data'!$H$3:$BP$3</c15:sqref>
                        </c15:formulaRef>
                      </c:ext>
                    </c:extLst>
                    <c:numCache>
                      <c:formatCode>General</c:formatCode>
                      <c:ptCount val="6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pt idx="32">
                        <c:v>2022</c:v>
                      </c:pt>
                      <c:pt idx="33">
                        <c:v>2023</c:v>
                      </c:pt>
                      <c:pt idx="34">
                        <c:v>2024</c:v>
                      </c:pt>
                      <c:pt idx="35">
                        <c:v>2025</c:v>
                      </c:pt>
                      <c:pt idx="36">
                        <c:v>2026</c:v>
                      </c:pt>
                      <c:pt idx="37">
                        <c:v>2027</c:v>
                      </c:pt>
                      <c:pt idx="38">
                        <c:v>2028</c:v>
                      </c:pt>
                      <c:pt idx="39">
                        <c:v>2029</c:v>
                      </c:pt>
                      <c:pt idx="40">
                        <c:v>2030</c:v>
                      </c:pt>
                      <c:pt idx="41">
                        <c:v>2031</c:v>
                      </c:pt>
                      <c:pt idx="42">
                        <c:v>2032</c:v>
                      </c:pt>
                      <c:pt idx="43">
                        <c:v>2033</c:v>
                      </c:pt>
                      <c:pt idx="44">
                        <c:v>2034</c:v>
                      </c:pt>
                      <c:pt idx="45">
                        <c:v>2035</c:v>
                      </c:pt>
                      <c:pt idx="46">
                        <c:v>2036</c:v>
                      </c:pt>
                      <c:pt idx="47">
                        <c:v>2037</c:v>
                      </c:pt>
                      <c:pt idx="48">
                        <c:v>2038</c:v>
                      </c:pt>
                      <c:pt idx="49">
                        <c:v>2039</c:v>
                      </c:pt>
                      <c:pt idx="50">
                        <c:v>2040</c:v>
                      </c:pt>
                      <c:pt idx="51">
                        <c:v>2041</c:v>
                      </c:pt>
                      <c:pt idx="52">
                        <c:v>2042</c:v>
                      </c:pt>
                      <c:pt idx="53">
                        <c:v>2043</c:v>
                      </c:pt>
                      <c:pt idx="54">
                        <c:v>2044</c:v>
                      </c:pt>
                      <c:pt idx="55">
                        <c:v>2045</c:v>
                      </c:pt>
                      <c:pt idx="56">
                        <c:v>2046</c:v>
                      </c:pt>
                      <c:pt idx="57">
                        <c:v>2047</c:v>
                      </c:pt>
                      <c:pt idx="58">
                        <c:v>2048</c:v>
                      </c:pt>
                      <c:pt idx="59">
                        <c:v>2049</c:v>
                      </c:pt>
                      <c:pt idx="60">
                        <c:v>2050</c:v>
                      </c:pt>
                    </c:numCache>
                  </c:numRef>
                </c:cat>
                <c:val>
                  <c:numRef>
                    <c:extLst xmlns:c15="http://schemas.microsoft.com/office/drawing/2012/chart">
                      <c:ext xmlns:c15="http://schemas.microsoft.com/office/drawing/2012/chart" uri="{02D57815-91ED-43cb-92C2-25804820EDAC}">
                        <c15:formulaRef>
                          <c15:sqref>'Activity data'!$H$14:$BP$14</c15:sqref>
                        </c15:formulaRef>
                      </c:ext>
                    </c:extLst>
                    <c:numCache>
                      <c:formatCode>#,##0</c:formatCode>
                      <c:ptCount val="61"/>
                      <c:pt idx="0">
                        <c:v>5479284.9120494025</c:v>
                      </c:pt>
                      <c:pt idx="1">
                        <c:v>4845236.4416932901</c:v>
                      </c:pt>
                      <c:pt idx="2">
                        <c:v>4513397.9899181286</c:v>
                      </c:pt>
                      <c:pt idx="3">
                        <c:v>4264519.151086757</c:v>
                      </c:pt>
                      <c:pt idx="4">
                        <c:v>4616109.8916580593</c:v>
                      </c:pt>
                      <c:pt idx="5">
                        <c:v>4679317.2158057094</c:v>
                      </c:pt>
                      <c:pt idx="6">
                        <c:v>4752400.6843514293</c:v>
                      </c:pt>
                      <c:pt idx="7">
                        <c:v>4728697.9377960609</c:v>
                      </c:pt>
                      <c:pt idx="8">
                        <c:v>4661540.1558891824</c:v>
                      </c:pt>
                      <c:pt idx="9">
                        <c:v>4592407.1451026909</c:v>
                      </c:pt>
                      <c:pt idx="10">
                        <c:v>4651664.0114911124</c:v>
                      </c:pt>
                      <c:pt idx="11">
                        <c:v>4793880.4908233248</c:v>
                      </c:pt>
                      <c:pt idx="12">
                        <c:v>4377107.1972247576</c:v>
                      </c:pt>
                      <c:pt idx="13">
                        <c:v>4266494.3799663708</c:v>
                      </c:pt>
                      <c:pt idx="14">
                        <c:v>4274395.2954848269</c:v>
                      </c:pt>
                      <c:pt idx="15">
                        <c:v>4219088.886855633</c:v>
                      </c:pt>
                      <c:pt idx="16">
                        <c:v>4307974.1864382662</c:v>
                      </c:pt>
                      <c:pt idx="17">
                        <c:v>4179584.3092633518</c:v>
                      </c:pt>
                      <c:pt idx="18">
                        <c:v>4175633.8515041238</c:v>
                      </c:pt>
                      <c:pt idx="19">
                        <c:v>4102550.3829584038</c:v>
                      </c:pt>
                      <c:pt idx="20">
                        <c:v>4053169.6609680522</c:v>
                      </c:pt>
                      <c:pt idx="21">
                        <c:v>4015640.3122553849</c:v>
                      </c:pt>
                      <c:pt idx="22">
                        <c:v>4013302.6393420827</c:v>
                      </c:pt>
                      <c:pt idx="23">
                        <c:v>4023749.5276875012</c:v>
                      </c:pt>
                      <c:pt idx="24">
                        <c:v>4037766.3983614249</c:v>
                      </c:pt>
                      <c:pt idx="25">
                        <c:v>4055189.1154955942</c:v>
                      </c:pt>
                      <c:pt idx="26">
                        <c:v>4075846.378671112</c:v>
                      </c:pt>
                      <c:pt idx="27">
                        <c:v>4099945.6627195105</c:v>
                      </c:pt>
                      <c:pt idx="28">
                        <c:v>4125607.934395032</c:v>
                      </c:pt>
                      <c:pt idx="29">
                        <c:v>4152929.0259210966</c:v>
                      </c:pt>
                      <c:pt idx="30">
                        <c:v>4178894.6782024526</c:v>
                      </c:pt>
                      <c:pt idx="31">
                        <c:v>4190518.3252742575</c:v>
                      </c:pt>
                      <c:pt idx="32">
                        <c:v>4203329.1881651441</c:v>
                      </c:pt>
                      <c:pt idx="33">
                        <c:v>4217302.4128327351</c:v>
                      </c:pt>
                      <c:pt idx="34">
                        <c:v>4232408.101793739</c:v>
                      </c:pt>
                      <c:pt idx="35">
                        <c:v>4248613.4280151939</c:v>
                      </c:pt>
                      <c:pt idx="36">
                        <c:v>4258834.5450525861</c:v>
                      </c:pt>
                      <c:pt idx="37">
                        <c:v>4269984.8002402252</c:v>
                      </c:pt>
                      <c:pt idx="38">
                        <c:v>4282024.5509550963</c:v>
                      </c:pt>
                      <c:pt idx="39">
                        <c:v>4294968.6854321668</c:v>
                      </c:pt>
                      <c:pt idx="40">
                        <c:v>4308656.8100928608</c:v>
                      </c:pt>
                      <c:pt idx="41">
                        <c:v>4317664.6994864708</c:v>
                      </c:pt>
                      <c:pt idx="42">
                        <c:v>4327372.8986822125</c:v>
                      </c:pt>
                      <c:pt idx="43">
                        <c:v>4337746.2523462074</c:v>
                      </c:pt>
                      <c:pt idx="44">
                        <c:v>4348751.8961234288</c:v>
                      </c:pt>
                      <c:pt idx="45">
                        <c:v>4360239.7163077937</c:v>
                      </c:pt>
                      <c:pt idx="46">
                        <c:v>4367123.972434151</c:v>
                      </c:pt>
                      <c:pt idx="47">
                        <c:v>4374608.0536800819</c:v>
                      </c:pt>
                      <c:pt idx="48">
                        <c:v>4382645.9332762826</c:v>
                      </c:pt>
                      <c:pt idx="49">
                        <c:v>4391126.1488290178</c:v>
                      </c:pt>
                      <c:pt idx="50">
                        <c:v>4400081.5762760686</c:v>
                      </c:pt>
                      <c:pt idx="51">
                        <c:v>4404718.7474842779</c:v>
                      </c:pt>
                      <c:pt idx="52">
                        <c:v>4409834.7560116192</c:v>
                      </c:pt>
                      <c:pt idx="53">
                        <c:v>4415431.2096312707</c:v>
                      </c:pt>
                      <c:pt idx="54">
                        <c:v>4421487.0462559341</c:v>
                      </c:pt>
                      <c:pt idx="55">
                        <c:v>4428024.8510776917</c:v>
                      </c:pt>
                      <c:pt idx="56">
                        <c:v>4430198.0755146164</c:v>
                      </c:pt>
                      <c:pt idx="57">
                        <c:v>4432786.6411396246</c:v>
                      </c:pt>
                      <c:pt idx="58">
                        <c:v>4435687.926788819</c:v>
                      </c:pt>
                      <c:pt idx="59">
                        <c:v>4438989.0410356699</c:v>
                      </c:pt>
                      <c:pt idx="60">
                        <c:v>4442702.0875790995</c:v>
                      </c:pt>
                    </c:numCache>
                  </c:numRef>
                </c:val>
                <c:extLst xmlns:c15="http://schemas.microsoft.com/office/drawing/2012/chart">
                  <c:ext xmlns:c16="http://schemas.microsoft.com/office/drawing/2014/chart" uri="{C3380CC4-5D6E-409C-BE32-E72D297353CC}">
                    <c16:uniqueId val="{0000000B-3B16-45B8-89BE-5AE640BDA9C0}"/>
                  </c:ext>
                </c:extLst>
              </c15:ser>
            </c15:filteredAreaSeries>
            <c15:filteredAreaSeries>
              <c15:ser>
                <c:idx val="12"/>
                <c:order val="10"/>
                <c:tx>
                  <c:strRef>
                    <c:extLst xmlns:c15="http://schemas.microsoft.com/office/drawing/2012/chart">
                      <c:ext xmlns:c15="http://schemas.microsoft.com/office/drawing/2012/chart" uri="{02D57815-91ED-43cb-92C2-25804820EDAC}">
                        <c15:formulaRef>
                          <c15:sqref>'Activity data'!$D$15:$F$15</c15:sqref>
                        </c15:formulaRef>
                      </c:ext>
                    </c:extLst>
                    <c:strCache>
                      <c:ptCount val="3"/>
                      <c:pt idx="0">
                        <c:v>Horses</c:v>
                      </c:pt>
                      <c:pt idx="1">
                        <c:v>Population</c:v>
                      </c:pt>
                      <c:pt idx="2">
                        <c:v>Head</c:v>
                      </c:pt>
                    </c:strCache>
                  </c:strRef>
                </c:tx>
                <c:spPr>
                  <a:solidFill>
                    <a:schemeClr val="accent1">
                      <a:lumMod val="80000"/>
                      <a:lumOff val="20000"/>
                    </a:schemeClr>
                  </a:solidFill>
                  <a:ln>
                    <a:noFill/>
                  </a:ln>
                  <a:effectLst/>
                </c:spPr>
                <c:cat>
                  <c:numRef>
                    <c:extLst xmlns:c15="http://schemas.microsoft.com/office/drawing/2012/chart">
                      <c:ext xmlns:c15="http://schemas.microsoft.com/office/drawing/2012/chart" uri="{02D57815-91ED-43cb-92C2-25804820EDAC}">
                        <c15:formulaRef>
                          <c15:sqref>'Activity data'!$H$3:$BP$3</c15:sqref>
                        </c15:formulaRef>
                      </c:ext>
                    </c:extLst>
                    <c:numCache>
                      <c:formatCode>General</c:formatCode>
                      <c:ptCount val="6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pt idx="32">
                        <c:v>2022</c:v>
                      </c:pt>
                      <c:pt idx="33">
                        <c:v>2023</c:v>
                      </c:pt>
                      <c:pt idx="34">
                        <c:v>2024</c:v>
                      </c:pt>
                      <c:pt idx="35">
                        <c:v>2025</c:v>
                      </c:pt>
                      <c:pt idx="36">
                        <c:v>2026</c:v>
                      </c:pt>
                      <c:pt idx="37">
                        <c:v>2027</c:v>
                      </c:pt>
                      <c:pt idx="38">
                        <c:v>2028</c:v>
                      </c:pt>
                      <c:pt idx="39">
                        <c:v>2029</c:v>
                      </c:pt>
                      <c:pt idx="40">
                        <c:v>2030</c:v>
                      </c:pt>
                      <c:pt idx="41">
                        <c:v>2031</c:v>
                      </c:pt>
                      <c:pt idx="42">
                        <c:v>2032</c:v>
                      </c:pt>
                      <c:pt idx="43">
                        <c:v>2033</c:v>
                      </c:pt>
                      <c:pt idx="44">
                        <c:v>2034</c:v>
                      </c:pt>
                      <c:pt idx="45">
                        <c:v>2035</c:v>
                      </c:pt>
                      <c:pt idx="46">
                        <c:v>2036</c:v>
                      </c:pt>
                      <c:pt idx="47">
                        <c:v>2037</c:v>
                      </c:pt>
                      <c:pt idx="48">
                        <c:v>2038</c:v>
                      </c:pt>
                      <c:pt idx="49">
                        <c:v>2039</c:v>
                      </c:pt>
                      <c:pt idx="50">
                        <c:v>2040</c:v>
                      </c:pt>
                      <c:pt idx="51">
                        <c:v>2041</c:v>
                      </c:pt>
                      <c:pt idx="52">
                        <c:v>2042</c:v>
                      </c:pt>
                      <c:pt idx="53">
                        <c:v>2043</c:v>
                      </c:pt>
                      <c:pt idx="54">
                        <c:v>2044</c:v>
                      </c:pt>
                      <c:pt idx="55">
                        <c:v>2045</c:v>
                      </c:pt>
                      <c:pt idx="56">
                        <c:v>2046</c:v>
                      </c:pt>
                      <c:pt idx="57">
                        <c:v>2047</c:v>
                      </c:pt>
                      <c:pt idx="58">
                        <c:v>2048</c:v>
                      </c:pt>
                      <c:pt idx="59">
                        <c:v>2049</c:v>
                      </c:pt>
                      <c:pt idx="60">
                        <c:v>2050</c:v>
                      </c:pt>
                    </c:numCache>
                  </c:numRef>
                </c:cat>
                <c:val>
                  <c:numRef>
                    <c:extLst xmlns:c15="http://schemas.microsoft.com/office/drawing/2012/chart">
                      <c:ext xmlns:c15="http://schemas.microsoft.com/office/drawing/2012/chart" uri="{02D57815-91ED-43cb-92C2-25804820EDAC}">
                        <c15:formulaRef>
                          <c15:sqref>'Activity data'!$H$15:$BP$15</c15:sqref>
                        </c15:formulaRef>
                      </c:ext>
                    </c:extLst>
                    <c:numCache>
                      <c:formatCode>#,##0</c:formatCode>
                      <c:ptCount val="61"/>
                      <c:pt idx="0">
                        <c:v>230000</c:v>
                      </c:pt>
                      <c:pt idx="1">
                        <c:v>230000</c:v>
                      </c:pt>
                      <c:pt idx="2">
                        <c:v>230000</c:v>
                      </c:pt>
                      <c:pt idx="3">
                        <c:v>235000</c:v>
                      </c:pt>
                      <c:pt idx="4">
                        <c:v>240000</c:v>
                      </c:pt>
                      <c:pt idx="5">
                        <c:v>245000</c:v>
                      </c:pt>
                      <c:pt idx="6">
                        <c:v>250000</c:v>
                      </c:pt>
                      <c:pt idx="7">
                        <c:v>255000</c:v>
                      </c:pt>
                      <c:pt idx="8">
                        <c:v>260000</c:v>
                      </c:pt>
                      <c:pt idx="9">
                        <c:v>258000</c:v>
                      </c:pt>
                      <c:pt idx="10">
                        <c:v>270000</c:v>
                      </c:pt>
                      <c:pt idx="11">
                        <c:v>270000</c:v>
                      </c:pt>
                      <c:pt idx="12">
                        <c:v>270000</c:v>
                      </c:pt>
                      <c:pt idx="13">
                        <c:v>270000</c:v>
                      </c:pt>
                      <c:pt idx="14">
                        <c:v>270000</c:v>
                      </c:pt>
                      <c:pt idx="15">
                        <c:v>270000</c:v>
                      </c:pt>
                      <c:pt idx="16">
                        <c:v>280000</c:v>
                      </c:pt>
                      <c:pt idx="17">
                        <c:v>290000</c:v>
                      </c:pt>
                      <c:pt idx="18">
                        <c:v>298000</c:v>
                      </c:pt>
                      <c:pt idx="19">
                        <c:v>300000</c:v>
                      </c:pt>
                      <c:pt idx="20">
                        <c:v>300000</c:v>
                      </c:pt>
                      <c:pt idx="21">
                        <c:v>305000</c:v>
                      </c:pt>
                      <c:pt idx="22">
                        <c:v>308524.5503754922</c:v>
                      </c:pt>
                      <c:pt idx="23">
                        <c:v>310900.33686838136</c:v>
                      </c:pt>
                      <c:pt idx="24">
                        <c:v>311955.45642045024</c:v>
                      </c:pt>
                      <c:pt idx="25">
                        <c:v>312002.23938949523</c:v>
                      </c:pt>
                      <c:pt idx="26">
                        <c:v>311011.20969215012</c:v>
                      </c:pt>
                      <c:pt idx="27">
                        <c:v>311120.4189320344</c:v>
                      </c:pt>
                      <c:pt idx="28">
                        <c:v>310949.20330409106</c:v>
                      </c:pt>
                      <c:pt idx="29">
                        <c:v>310654.57924097718</c:v>
                      </c:pt>
                      <c:pt idx="30">
                        <c:v>292102.93442772917</c:v>
                      </c:pt>
                      <c:pt idx="31">
                        <c:v>295097.85695593245</c:v>
                      </c:pt>
                      <c:pt idx="32">
                        <c:v>297813.52762443485</c:v>
                      </c:pt>
                      <c:pt idx="33">
                        <c:v>300569.90142023831</c:v>
                      </c:pt>
                      <c:pt idx="34">
                        <c:v>303594.71112881502</c:v>
                      </c:pt>
                      <c:pt idx="35">
                        <c:v>307045.71424199187</c:v>
                      </c:pt>
                      <c:pt idx="36">
                        <c:v>310928.42239388742</c:v>
                      </c:pt>
                      <c:pt idx="37">
                        <c:v>315084.99703662377</c:v>
                      </c:pt>
                      <c:pt idx="38">
                        <c:v>319548.64202173206</c:v>
                      </c:pt>
                      <c:pt idx="39">
                        <c:v>324653.52368269378</c:v>
                      </c:pt>
                      <c:pt idx="40">
                        <c:v>329647.07923769811</c:v>
                      </c:pt>
                      <c:pt idx="41">
                        <c:v>335891.81761594221</c:v>
                      </c:pt>
                      <c:pt idx="42">
                        <c:v>342328.24921026954</c:v>
                      </c:pt>
                      <c:pt idx="43">
                        <c:v>348920.93674144841</c:v>
                      </c:pt>
                      <c:pt idx="44">
                        <c:v>355632.59238106571</c:v>
                      </c:pt>
                      <c:pt idx="45">
                        <c:v>361712.19934516679</c:v>
                      </c:pt>
                      <c:pt idx="46">
                        <c:v>368331.35040016391</c:v>
                      </c:pt>
                      <c:pt idx="47">
                        <c:v>375420.20209181483</c:v>
                      </c:pt>
                      <c:pt idx="48">
                        <c:v>382825.70173359098</c:v>
                      </c:pt>
                      <c:pt idx="49">
                        <c:v>389997.61587562214</c:v>
                      </c:pt>
                      <c:pt idx="50">
                        <c:v>397235.82732167386</c:v>
                      </c:pt>
                      <c:pt idx="51">
                        <c:v>405029.65396368544</c:v>
                      </c:pt>
                      <c:pt idx="52">
                        <c:v>413191.30021622876</c:v>
                      </c:pt>
                      <c:pt idx="53">
                        <c:v>421819.43795325304</c:v>
                      </c:pt>
                      <c:pt idx="54">
                        <c:v>430872.09928357042</c:v>
                      </c:pt>
                      <c:pt idx="55">
                        <c:v>440558.95158605115</c:v>
                      </c:pt>
                      <c:pt idx="56">
                        <c:v>451119.63374053134</c:v>
                      </c:pt>
                      <c:pt idx="57">
                        <c:v>462122.38085888</c:v>
                      </c:pt>
                      <c:pt idx="58">
                        <c:v>473031.64334623067</c:v>
                      </c:pt>
                      <c:pt idx="59">
                        <c:v>484425.89583189634</c:v>
                      </c:pt>
                      <c:pt idx="60">
                        <c:v>496437.08159989625</c:v>
                      </c:pt>
                    </c:numCache>
                  </c:numRef>
                </c:val>
                <c:extLst xmlns:c15="http://schemas.microsoft.com/office/drawing/2012/chart">
                  <c:ext xmlns:c16="http://schemas.microsoft.com/office/drawing/2014/chart" uri="{C3380CC4-5D6E-409C-BE32-E72D297353CC}">
                    <c16:uniqueId val="{0000000C-3B16-45B8-89BE-5AE640BDA9C0}"/>
                  </c:ext>
                </c:extLst>
              </c15:ser>
            </c15:filteredAreaSeries>
            <c15:filteredAreaSeries>
              <c15:ser>
                <c:idx val="13"/>
                <c:order val="11"/>
                <c:tx>
                  <c:strRef>
                    <c:extLst xmlns:c15="http://schemas.microsoft.com/office/drawing/2012/chart">
                      <c:ext xmlns:c15="http://schemas.microsoft.com/office/drawing/2012/chart" uri="{02D57815-91ED-43cb-92C2-25804820EDAC}">
                        <c15:formulaRef>
                          <c15:sqref>'Activity data'!$D$16:$F$16</c15:sqref>
                        </c15:formulaRef>
                      </c:ext>
                    </c:extLst>
                    <c:strCache>
                      <c:ptCount val="3"/>
                      <c:pt idx="0">
                        <c:v>Mules &amp; Asses</c:v>
                      </c:pt>
                      <c:pt idx="1">
                        <c:v>Population</c:v>
                      </c:pt>
                      <c:pt idx="2">
                        <c:v>Head</c:v>
                      </c:pt>
                    </c:strCache>
                  </c:strRef>
                </c:tx>
                <c:spPr>
                  <a:solidFill>
                    <a:schemeClr val="accent2">
                      <a:lumMod val="80000"/>
                      <a:lumOff val="20000"/>
                    </a:schemeClr>
                  </a:solidFill>
                  <a:ln>
                    <a:noFill/>
                  </a:ln>
                  <a:effectLst/>
                </c:spPr>
                <c:cat>
                  <c:numRef>
                    <c:extLst xmlns:c15="http://schemas.microsoft.com/office/drawing/2012/chart">
                      <c:ext xmlns:c15="http://schemas.microsoft.com/office/drawing/2012/chart" uri="{02D57815-91ED-43cb-92C2-25804820EDAC}">
                        <c15:formulaRef>
                          <c15:sqref>'Activity data'!$H$3:$BP$3</c15:sqref>
                        </c15:formulaRef>
                      </c:ext>
                    </c:extLst>
                    <c:numCache>
                      <c:formatCode>General</c:formatCode>
                      <c:ptCount val="6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pt idx="32">
                        <c:v>2022</c:v>
                      </c:pt>
                      <c:pt idx="33">
                        <c:v>2023</c:v>
                      </c:pt>
                      <c:pt idx="34">
                        <c:v>2024</c:v>
                      </c:pt>
                      <c:pt idx="35">
                        <c:v>2025</c:v>
                      </c:pt>
                      <c:pt idx="36">
                        <c:v>2026</c:v>
                      </c:pt>
                      <c:pt idx="37">
                        <c:v>2027</c:v>
                      </c:pt>
                      <c:pt idx="38">
                        <c:v>2028</c:v>
                      </c:pt>
                      <c:pt idx="39">
                        <c:v>2029</c:v>
                      </c:pt>
                      <c:pt idx="40">
                        <c:v>2030</c:v>
                      </c:pt>
                      <c:pt idx="41">
                        <c:v>2031</c:v>
                      </c:pt>
                      <c:pt idx="42">
                        <c:v>2032</c:v>
                      </c:pt>
                      <c:pt idx="43">
                        <c:v>2033</c:v>
                      </c:pt>
                      <c:pt idx="44">
                        <c:v>2034</c:v>
                      </c:pt>
                      <c:pt idx="45">
                        <c:v>2035</c:v>
                      </c:pt>
                      <c:pt idx="46">
                        <c:v>2036</c:v>
                      </c:pt>
                      <c:pt idx="47">
                        <c:v>2037</c:v>
                      </c:pt>
                      <c:pt idx="48">
                        <c:v>2038</c:v>
                      </c:pt>
                      <c:pt idx="49">
                        <c:v>2039</c:v>
                      </c:pt>
                      <c:pt idx="50">
                        <c:v>2040</c:v>
                      </c:pt>
                      <c:pt idx="51">
                        <c:v>2041</c:v>
                      </c:pt>
                      <c:pt idx="52">
                        <c:v>2042</c:v>
                      </c:pt>
                      <c:pt idx="53">
                        <c:v>2043</c:v>
                      </c:pt>
                      <c:pt idx="54">
                        <c:v>2044</c:v>
                      </c:pt>
                      <c:pt idx="55">
                        <c:v>2045</c:v>
                      </c:pt>
                      <c:pt idx="56">
                        <c:v>2046</c:v>
                      </c:pt>
                      <c:pt idx="57">
                        <c:v>2047</c:v>
                      </c:pt>
                      <c:pt idx="58">
                        <c:v>2048</c:v>
                      </c:pt>
                      <c:pt idx="59">
                        <c:v>2049</c:v>
                      </c:pt>
                      <c:pt idx="60">
                        <c:v>2050</c:v>
                      </c:pt>
                    </c:numCache>
                  </c:numRef>
                </c:cat>
                <c:val>
                  <c:numRef>
                    <c:extLst xmlns:c15="http://schemas.microsoft.com/office/drawing/2012/chart">
                      <c:ext xmlns:c15="http://schemas.microsoft.com/office/drawing/2012/chart" uri="{02D57815-91ED-43cb-92C2-25804820EDAC}">
                        <c15:formulaRef>
                          <c15:sqref>'Activity data'!$H$16:$BP$16</c15:sqref>
                        </c15:formulaRef>
                      </c:ext>
                    </c:extLst>
                    <c:numCache>
                      <c:formatCode>#,##0</c:formatCode>
                      <c:ptCount val="61"/>
                      <c:pt idx="0">
                        <c:v>224000</c:v>
                      </c:pt>
                      <c:pt idx="1">
                        <c:v>224000</c:v>
                      </c:pt>
                      <c:pt idx="2">
                        <c:v>224000</c:v>
                      </c:pt>
                      <c:pt idx="3">
                        <c:v>224000</c:v>
                      </c:pt>
                      <c:pt idx="4">
                        <c:v>224000</c:v>
                      </c:pt>
                      <c:pt idx="5">
                        <c:v>224000</c:v>
                      </c:pt>
                      <c:pt idx="6">
                        <c:v>224000</c:v>
                      </c:pt>
                      <c:pt idx="7">
                        <c:v>224000</c:v>
                      </c:pt>
                      <c:pt idx="8">
                        <c:v>224000</c:v>
                      </c:pt>
                      <c:pt idx="9">
                        <c:v>224000</c:v>
                      </c:pt>
                      <c:pt idx="10">
                        <c:v>164000</c:v>
                      </c:pt>
                      <c:pt idx="11">
                        <c:v>164000</c:v>
                      </c:pt>
                      <c:pt idx="12">
                        <c:v>164000</c:v>
                      </c:pt>
                      <c:pt idx="13">
                        <c:v>164000</c:v>
                      </c:pt>
                      <c:pt idx="14">
                        <c:v>164000</c:v>
                      </c:pt>
                      <c:pt idx="15">
                        <c:v>164000</c:v>
                      </c:pt>
                      <c:pt idx="16">
                        <c:v>164050</c:v>
                      </c:pt>
                      <c:pt idx="17">
                        <c:v>164600</c:v>
                      </c:pt>
                      <c:pt idx="18">
                        <c:v>164700</c:v>
                      </c:pt>
                      <c:pt idx="19">
                        <c:v>164800</c:v>
                      </c:pt>
                      <c:pt idx="20">
                        <c:v>166300</c:v>
                      </c:pt>
                      <c:pt idx="21">
                        <c:v>167000</c:v>
                      </c:pt>
                      <c:pt idx="22">
                        <c:v>167000</c:v>
                      </c:pt>
                      <c:pt idx="23">
                        <c:v>167000</c:v>
                      </c:pt>
                      <c:pt idx="24">
                        <c:v>167000</c:v>
                      </c:pt>
                      <c:pt idx="25">
                        <c:v>167000</c:v>
                      </c:pt>
                      <c:pt idx="26">
                        <c:v>167000</c:v>
                      </c:pt>
                      <c:pt idx="27">
                        <c:v>167000</c:v>
                      </c:pt>
                      <c:pt idx="28">
                        <c:v>167000</c:v>
                      </c:pt>
                      <c:pt idx="29">
                        <c:v>167000</c:v>
                      </c:pt>
                      <c:pt idx="30">
                        <c:v>167000</c:v>
                      </c:pt>
                      <c:pt idx="31">
                        <c:v>167000</c:v>
                      </c:pt>
                      <c:pt idx="32">
                        <c:v>167000</c:v>
                      </c:pt>
                      <c:pt idx="33">
                        <c:v>167000</c:v>
                      </c:pt>
                      <c:pt idx="34">
                        <c:v>167000</c:v>
                      </c:pt>
                      <c:pt idx="35">
                        <c:v>167000</c:v>
                      </c:pt>
                      <c:pt idx="36">
                        <c:v>167000</c:v>
                      </c:pt>
                      <c:pt idx="37">
                        <c:v>167000</c:v>
                      </c:pt>
                      <c:pt idx="38">
                        <c:v>167000</c:v>
                      </c:pt>
                      <c:pt idx="39">
                        <c:v>167000</c:v>
                      </c:pt>
                      <c:pt idx="40">
                        <c:v>167000</c:v>
                      </c:pt>
                      <c:pt idx="41">
                        <c:v>167000</c:v>
                      </c:pt>
                      <c:pt idx="42">
                        <c:v>167000</c:v>
                      </c:pt>
                      <c:pt idx="43">
                        <c:v>167000</c:v>
                      </c:pt>
                      <c:pt idx="44">
                        <c:v>167000</c:v>
                      </c:pt>
                      <c:pt idx="45">
                        <c:v>167000</c:v>
                      </c:pt>
                      <c:pt idx="46">
                        <c:v>167000</c:v>
                      </c:pt>
                      <c:pt idx="47">
                        <c:v>167000</c:v>
                      </c:pt>
                      <c:pt idx="48">
                        <c:v>167000</c:v>
                      </c:pt>
                      <c:pt idx="49">
                        <c:v>167000</c:v>
                      </c:pt>
                      <c:pt idx="50">
                        <c:v>167000</c:v>
                      </c:pt>
                      <c:pt idx="51">
                        <c:v>167000</c:v>
                      </c:pt>
                      <c:pt idx="52">
                        <c:v>167000</c:v>
                      </c:pt>
                      <c:pt idx="53">
                        <c:v>167000</c:v>
                      </c:pt>
                      <c:pt idx="54">
                        <c:v>167000</c:v>
                      </c:pt>
                      <c:pt idx="55">
                        <c:v>167000</c:v>
                      </c:pt>
                      <c:pt idx="56">
                        <c:v>167000</c:v>
                      </c:pt>
                      <c:pt idx="57">
                        <c:v>167000</c:v>
                      </c:pt>
                      <c:pt idx="58">
                        <c:v>167000</c:v>
                      </c:pt>
                      <c:pt idx="59">
                        <c:v>167000</c:v>
                      </c:pt>
                      <c:pt idx="60">
                        <c:v>167000</c:v>
                      </c:pt>
                    </c:numCache>
                  </c:numRef>
                </c:val>
                <c:extLst xmlns:c15="http://schemas.microsoft.com/office/drawing/2012/chart">
                  <c:ext xmlns:c16="http://schemas.microsoft.com/office/drawing/2014/chart" uri="{C3380CC4-5D6E-409C-BE32-E72D297353CC}">
                    <c16:uniqueId val="{0000000D-3B16-45B8-89BE-5AE640BDA9C0}"/>
                  </c:ext>
                </c:extLst>
              </c15:ser>
            </c15:filteredAreaSeries>
            <c15:filteredAreaSeries>
              <c15:ser>
                <c:idx val="14"/>
                <c:order val="12"/>
                <c:tx>
                  <c:strRef>
                    <c:extLst xmlns:c15="http://schemas.microsoft.com/office/drawing/2012/chart">
                      <c:ext xmlns:c15="http://schemas.microsoft.com/office/drawing/2012/chart" uri="{02D57815-91ED-43cb-92C2-25804820EDAC}">
                        <c15:formulaRef>
                          <c15:sqref>'Activity data'!$D$17:$F$17</c15:sqref>
                        </c15:formulaRef>
                      </c:ext>
                    </c:extLst>
                    <c:strCache>
                      <c:ptCount val="3"/>
                      <c:pt idx="0">
                        <c:v>Commercial</c:v>
                      </c:pt>
                      <c:pt idx="1">
                        <c:v>Population</c:v>
                      </c:pt>
                      <c:pt idx="2">
                        <c:v>Head</c:v>
                      </c:pt>
                    </c:strCache>
                  </c:strRef>
                </c:tx>
                <c:spPr>
                  <a:solidFill>
                    <a:schemeClr val="accent3">
                      <a:lumMod val="80000"/>
                      <a:lumOff val="20000"/>
                    </a:schemeClr>
                  </a:solidFill>
                  <a:ln>
                    <a:noFill/>
                  </a:ln>
                  <a:effectLst/>
                </c:spPr>
                <c:cat>
                  <c:numRef>
                    <c:extLst xmlns:c15="http://schemas.microsoft.com/office/drawing/2012/chart">
                      <c:ext xmlns:c15="http://schemas.microsoft.com/office/drawing/2012/chart" uri="{02D57815-91ED-43cb-92C2-25804820EDAC}">
                        <c15:formulaRef>
                          <c15:sqref>'Activity data'!$H$3:$BP$3</c15:sqref>
                        </c15:formulaRef>
                      </c:ext>
                    </c:extLst>
                    <c:numCache>
                      <c:formatCode>General</c:formatCode>
                      <c:ptCount val="6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pt idx="32">
                        <c:v>2022</c:v>
                      </c:pt>
                      <c:pt idx="33">
                        <c:v>2023</c:v>
                      </c:pt>
                      <c:pt idx="34">
                        <c:v>2024</c:v>
                      </c:pt>
                      <c:pt idx="35">
                        <c:v>2025</c:v>
                      </c:pt>
                      <c:pt idx="36">
                        <c:v>2026</c:v>
                      </c:pt>
                      <c:pt idx="37">
                        <c:v>2027</c:v>
                      </c:pt>
                      <c:pt idx="38">
                        <c:v>2028</c:v>
                      </c:pt>
                      <c:pt idx="39">
                        <c:v>2029</c:v>
                      </c:pt>
                      <c:pt idx="40">
                        <c:v>2030</c:v>
                      </c:pt>
                      <c:pt idx="41">
                        <c:v>2031</c:v>
                      </c:pt>
                      <c:pt idx="42">
                        <c:v>2032</c:v>
                      </c:pt>
                      <c:pt idx="43">
                        <c:v>2033</c:v>
                      </c:pt>
                      <c:pt idx="44">
                        <c:v>2034</c:v>
                      </c:pt>
                      <c:pt idx="45">
                        <c:v>2035</c:v>
                      </c:pt>
                      <c:pt idx="46">
                        <c:v>2036</c:v>
                      </c:pt>
                      <c:pt idx="47">
                        <c:v>2037</c:v>
                      </c:pt>
                      <c:pt idx="48">
                        <c:v>2038</c:v>
                      </c:pt>
                      <c:pt idx="49">
                        <c:v>2039</c:v>
                      </c:pt>
                      <c:pt idx="50">
                        <c:v>2040</c:v>
                      </c:pt>
                      <c:pt idx="51">
                        <c:v>2041</c:v>
                      </c:pt>
                      <c:pt idx="52">
                        <c:v>2042</c:v>
                      </c:pt>
                      <c:pt idx="53">
                        <c:v>2043</c:v>
                      </c:pt>
                      <c:pt idx="54">
                        <c:v>2044</c:v>
                      </c:pt>
                      <c:pt idx="55">
                        <c:v>2045</c:v>
                      </c:pt>
                      <c:pt idx="56">
                        <c:v>2046</c:v>
                      </c:pt>
                      <c:pt idx="57">
                        <c:v>2047</c:v>
                      </c:pt>
                      <c:pt idx="58">
                        <c:v>2048</c:v>
                      </c:pt>
                      <c:pt idx="59">
                        <c:v>2049</c:v>
                      </c:pt>
                      <c:pt idx="60">
                        <c:v>2050</c:v>
                      </c:pt>
                    </c:numCache>
                  </c:numRef>
                </c:cat>
                <c:val>
                  <c:numRef>
                    <c:extLst xmlns:c15="http://schemas.microsoft.com/office/drawing/2012/chart">
                      <c:ext xmlns:c15="http://schemas.microsoft.com/office/drawing/2012/chart" uri="{02D57815-91ED-43cb-92C2-25804820EDAC}">
                        <c15:formulaRef>
                          <c15:sqref>'Activity data'!$H$17:$BP$17</c15:sqref>
                        </c15:formulaRef>
                      </c:ext>
                    </c:extLst>
                    <c:numCache>
                      <c:formatCode>#,##0</c:formatCode>
                      <c:ptCount val="61"/>
                      <c:pt idx="0">
                        <c:v>1524000</c:v>
                      </c:pt>
                      <c:pt idx="1">
                        <c:v>1665000</c:v>
                      </c:pt>
                      <c:pt idx="2">
                        <c:v>1654000</c:v>
                      </c:pt>
                      <c:pt idx="3">
                        <c:v>1653000</c:v>
                      </c:pt>
                      <c:pt idx="4">
                        <c:v>1570000</c:v>
                      </c:pt>
                      <c:pt idx="5">
                        <c:v>1585000</c:v>
                      </c:pt>
                      <c:pt idx="6">
                        <c:v>1707000</c:v>
                      </c:pt>
                      <c:pt idx="7">
                        <c:v>1699000</c:v>
                      </c:pt>
                      <c:pt idx="8">
                        <c:v>1736000</c:v>
                      </c:pt>
                      <c:pt idx="9">
                        <c:v>1780000</c:v>
                      </c:pt>
                      <c:pt idx="10">
                        <c:v>1647000</c:v>
                      </c:pt>
                      <c:pt idx="11">
                        <c:v>1678000</c:v>
                      </c:pt>
                      <c:pt idx="12">
                        <c:v>1710000</c:v>
                      </c:pt>
                      <c:pt idx="13">
                        <c:v>1663000</c:v>
                      </c:pt>
                      <c:pt idx="14">
                        <c:v>1663000</c:v>
                      </c:pt>
                      <c:pt idx="15">
                        <c:v>1651000</c:v>
                      </c:pt>
                      <c:pt idx="16">
                        <c:v>1622000</c:v>
                      </c:pt>
                      <c:pt idx="17">
                        <c:v>1651000</c:v>
                      </c:pt>
                      <c:pt idx="18">
                        <c:v>1615000</c:v>
                      </c:pt>
                      <c:pt idx="19">
                        <c:v>1613000</c:v>
                      </c:pt>
                      <c:pt idx="20">
                        <c:v>1594000</c:v>
                      </c:pt>
                      <c:pt idx="21">
                        <c:v>1584000</c:v>
                      </c:pt>
                      <c:pt idx="22">
                        <c:v>1656460.7305104209</c:v>
                      </c:pt>
                      <c:pt idx="23">
                        <c:v>1656336.0413098084</c:v>
                      </c:pt>
                      <c:pt idx="24">
                        <c:v>1644892.0084516716</c:v>
                      </c:pt>
                      <c:pt idx="25">
                        <c:v>1625486.1316714154</c:v>
                      </c:pt>
                      <c:pt idx="26">
                        <c:v>1597957.7710381686</c:v>
                      </c:pt>
                      <c:pt idx="27">
                        <c:v>1583043.739987073</c:v>
                      </c:pt>
                      <c:pt idx="28">
                        <c:v>1566522.5265637732</c:v>
                      </c:pt>
                      <c:pt idx="29">
                        <c:v>1549897.806273042</c:v>
                      </c:pt>
                      <c:pt idx="30">
                        <c:v>1362199.9891051946</c:v>
                      </c:pt>
                      <c:pt idx="31">
                        <c:v>1373467.1306455508</c:v>
                      </c:pt>
                      <c:pt idx="32">
                        <c:v>1382327.3591001588</c:v>
                      </c:pt>
                      <c:pt idx="33">
                        <c:v>1391751.3606220926</c:v>
                      </c:pt>
                      <c:pt idx="34">
                        <c:v>1403753.1688664192</c:v>
                      </c:pt>
                      <c:pt idx="35">
                        <c:v>1419643.6607996966</c:v>
                      </c:pt>
                      <c:pt idx="36">
                        <c:v>1437086.8566860643</c:v>
                      </c:pt>
                      <c:pt idx="37">
                        <c:v>1456759.525611806</c:v>
                      </c:pt>
                      <c:pt idx="38">
                        <c:v>1478863.3267463099</c:v>
                      </c:pt>
                      <c:pt idx="39">
                        <c:v>1506164.5650998261</c:v>
                      </c:pt>
                      <c:pt idx="40">
                        <c:v>1532128.4802163565</c:v>
                      </c:pt>
                      <c:pt idx="41">
                        <c:v>1566236.6213585059</c:v>
                      </c:pt>
                      <c:pt idx="42">
                        <c:v>1601255.1833535125</c:v>
                      </c:pt>
                      <c:pt idx="43">
                        <c:v>1636854.0771716854</c:v>
                      </c:pt>
                      <c:pt idx="44">
                        <c:v>1672702.1748073229</c:v>
                      </c:pt>
                      <c:pt idx="45">
                        <c:v>1702774.9341828479</c:v>
                      </c:pt>
                      <c:pt idx="46">
                        <c:v>1734495.4518749258</c:v>
                      </c:pt>
                      <c:pt idx="47">
                        <c:v>1769117.7385376655</c:v>
                      </c:pt>
                      <c:pt idx="48">
                        <c:v>1805343.686071024</c:v>
                      </c:pt>
                      <c:pt idx="49">
                        <c:v>1838903.2020876089</c:v>
                      </c:pt>
                      <c:pt idx="50">
                        <c:v>1872131.8243370159</c:v>
                      </c:pt>
                      <c:pt idx="51">
                        <c:v>1906627.3132459107</c:v>
                      </c:pt>
                      <c:pt idx="52">
                        <c:v>1942834.741256881</c:v>
                      </c:pt>
                      <c:pt idx="53">
                        <c:v>1981385.5433236763</c:v>
                      </c:pt>
                      <c:pt idx="54">
                        <c:v>2021868.7634575411</c:v>
                      </c:pt>
                      <c:pt idx="55">
                        <c:v>2065675.2585895262</c:v>
                      </c:pt>
                      <c:pt idx="56">
                        <c:v>2112065.6126023917</c:v>
                      </c:pt>
                      <c:pt idx="57">
                        <c:v>2160007.1866023694</c:v>
                      </c:pt>
                      <c:pt idx="58">
                        <c:v>2205753.4584026444</c:v>
                      </c:pt>
                      <c:pt idx="59">
                        <c:v>2253243.4483684944</c:v>
                      </c:pt>
                      <c:pt idx="60">
                        <c:v>2303246.3196297283</c:v>
                      </c:pt>
                    </c:numCache>
                  </c:numRef>
                </c:val>
                <c:extLst xmlns:c15="http://schemas.microsoft.com/office/drawing/2012/chart">
                  <c:ext xmlns:c16="http://schemas.microsoft.com/office/drawing/2014/chart" uri="{C3380CC4-5D6E-409C-BE32-E72D297353CC}">
                    <c16:uniqueId val="{0000000E-3B16-45B8-89BE-5AE640BDA9C0}"/>
                  </c:ext>
                </c:extLst>
              </c15:ser>
            </c15:filteredAreaSeries>
            <c15:filteredAreaSeries>
              <c15:ser>
                <c:idx val="15"/>
                <c:order val="13"/>
                <c:tx>
                  <c:strRef>
                    <c:extLst xmlns:c15="http://schemas.microsoft.com/office/drawing/2012/chart">
                      <c:ext xmlns:c15="http://schemas.microsoft.com/office/drawing/2012/chart" uri="{02D57815-91ED-43cb-92C2-25804820EDAC}">
                        <c15:formulaRef>
                          <c15:sqref>'Activity data'!$D$18:$F$18</c15:sqref>
                        </c15:formulaRef>
                      </c:ext>
                    </c:extLst>
                    <c:strCache>
                      <c:ptCount val="3"/>
                      <c:pt idx="0">
                        <c:v>Subsistence</c:v>
                      </c:pt>
                      <c:pt idx="1">
                        <c:v>Population</c:v>
                      </c:pt>
                      <c:pt idx="2">
                        <c:v>Head</c:v>
                      </c:pt>
                    </c:strCache>
                  </c:strRef>
                </c:tx>
                <c:spPr>
                  <a:solidFill>
                    <a:schemeClr val="accent4">
                      <a:lumMod val="80000"/>
                      <a:lumOff val="20000"/>
                    </a:schemeClr>
                  </a:solidFill>
                  <a:ln>
                    <a:noFill/>
                  </a:ln>
                  <a:effectLst/>
                </c:spPr>
                <c:cat>
                  <c:numRef>
                    <c:extLst xmlns:c15="http://schemas.microsoft.com/office/drawing/2012/chart">
                      <c:ext xmlns:c15="http://schemas.microsoft.com/office/drawing/2012/chart" uri="{02D57815-91ED-43cb-92C2-25804820EDAC}">
                        <c15:formulaRef>
                          <c15:sqref>'Activity data'!$H$3:$BP$3</c15:sqref>
                        </c15:formulaRef>
                      </c:ext>
                    </c:extLst>
                    <c:numCache>
                      <c:formatCode>General</c:formatCode>
                      <c:ptCount val="6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pt idx="32">
                        <c:v>2022</c:v>
                      </c:pt>
                      <c:pt idx="33">
                        <c:v>2023</c:v>
                      </c:pt>
                      <c:pt idx="34">
                        <c:v>2024</c:v>
                      </c:pt>
                      <c:pt idx="35">
                        <c:v>2025</c:v>
                      </c:pt>
                      <c:pt idx="36">
                        <c:v>2026</c:v>
                      </c:pt>
                      <c:pt idx="37">
                        <c:v>2027</c:v>
                      </c:pt>
                      <c:pt idx="38">
                        <c:v>2028</c:v>
                      </c:pt>
                      <c:pt idx="39">
                        <c:v>2029</c:v>
                      </c:pt>
                      <c:pt idx="40">
                        <c:v>2030</c:v>
                      </c:pt>
                      <c:pt idx="41">
                        <c:v>2031</c:v>
                      </c:pt>
                      <c:pt idx="42">
                        <c:v>2032</c:v>
                      </c:pt>
                      <c:pt idx="43">
                        <c:v>2033</c:v>
                      </c:pt>
                      <c:pt idx="44">
                        <c:v>2034</c:v>
                      </c:pt>
                      <c:pt idx="45">
                        <c:v>2035</c:v>
                      </c:pt>
                      <c:pt idx="46">
                        <c:v>2036</c:v>
                      </c:pt>
                      <c:pt idx="47">
                        <c:v>2037</c:v>
                      </c:pt>
                      <c:pt idx="48">
                        <c:v>2038</c:v>
                      </c:pt>
                      <c:pt idx="49">
                        <c:v>2039</c:v>
                      </c:pt>
                      <c:pt idx="50">
                        <c:v>2040</c:v>
                      </c:pt>
                      <c:pt idx="51">
                        <c:v>2041</c:v>
                      </c:pt>
                      <c:pt idx="52">
                        <c:v>2042</c:v>
                      </c:pt>
                      <c:pt idx="53">
                        <c:v>2043</c:v>
                      </c:pt>
                      <c:pt idx="54">
                        <c:v>2044</c:v>
                      </c:pt>
                      <c:pt idx="55">
                        <c:v>2045</c:v>
                      </c:pt>
                      <c:pt idx="56">
                        <c:v>2046</c:v>
                      </c:pt>
                      <c:pt idx="57">
                        <c:v>2047</c:v>
                      </c:pt>
                      <c:pt idx="58">
                        <c:v>2048</c:v>
                      </c:pt>
                      <c:pt idx="59">
                        <c:v>2049</c:v>
                      </c:pt>
                      <c:pt idx="60">
                        <c:v>2050</c:v>
                      </c:pt>
                    </c:numCache>
                  </c:numRef>
                </c:cat>
                <c:val>
                  <c:numRef>
                    <c:extLst xmlns:c15="http://schemas.microsoft.com/office/drawing/2012/chart">
                      <c:ext xmlns:c15="http://schemas.microsoft.com/office/drawing/2012/chart" uri="{02D57815-91ED-43cb-92C2-25804820EDAC}">
                        <c15:formulaRef>
                          <c15:sqref>'Activity data'!$H$18:$BP$18</c15:sqref>
                        </c15:formulaRef>
                      </c:ext>
                    </c:extLst>
                    <c:numCache>
                      <c:formatCode>#,##0</c:formatCode>
                      <c:ptCount val="61"/>
                      <c:pt idx="0">
                        <c:v>199009.99166888703</c:v>
                      </c:pt>
                      <c:pt idx="1">
                        <c:v>217422.33341778014</c:v>
                      </c:pt>
                      <c:pt idx="2">
                        <c:v>215985.90959339839</c:v>
                      </c:pt>
                      <c:pt idx="3">
                        <c:v>215855.3256093637</c:v>
                      </c:pt>
                      <c:pt idx="4">
                        <c:v>205016.85493448336</c:v>
                      </c:pt>
                      <c:pt idx="5">
                        <c:v>206975.6146950039</c:v>
                      </c:pt>
                      <c:pt idx="6">
                        <c:v>222906.86074723766</c:v>
                      </c:pt>
                      <c:pt idx="7">
                        <c:v>221862.18887496003</c:v>
                      </c:pt>
                      <c:pt idx="8">
                        <c:v>226693.79628424402</c:v>
                      </c:pt>
                      <c:pt idx="9">
                        <c:v>232439.49158177094</c:v>
                      </c:pt>
                      <c:pt idx="10">
                        <c:v>215071.82170515548</c:v>
                      </c:pt>
                      <c:pt idx="11">
                        <c:v>219119.92521023127</c:v>
                      </c:pt>
                      <c:pt idx="12">
                        <c:v>223298.61269934176</c:v>
                      </c:pt>
                      <c:pt idx="13">
                        <c:v>217161.16544971074</c:v>
                      </c:pt>
                      <c:pt idx="14">
                        <c:v>217161.16544971074</c:v>
                      </c:pt>
                      <c:pt idx="15">
                        <c:v>215594.1576412943</c:v>
                      </c:pt>
                      <c:pt idx="16">
                        <c:v>211807.22210428791</c:v>
                      </c:pt>
                      <c:pt idx="17">
                        <c:v>215594.1576412943</c:v>
                      </c:pt>
                      <c:pt idx="18">
                        <c:v>210893.134216045</c:v>
                      </c:pt>
                      <c:pt idx="19">
                        <c:v>210631.96624797559</c:v>
                      </c:pt>
                      <c:pt idx="20">
                        <c:v>208150.87055131624</c:v>
                      </c:pt>
                      <c:pt idx="21">
                        <c:v>206845.03071096921</c:v>
                      </c:pt>
                      <c:pt idx="22">
                        <c:v>225881.00870596647</c:v>
                      </c:pt>
                      <c:pt idx="23">
                        <c:v>225864.00563315567</c:v>
                      </c:pt>
                      <c:pt idx="24">
                        <c:v>224303.45569795521</c:v>
                      </c:pt>
                      <c:pt idx="25">
                        <c:v>221657.19977337483</c:v>
                      </c:pt>
                      <c:pt idx="26">
                        <c:v>217903.3324142957</c:v>
                      </c:pt>
                      <c:pt idx="27">
                        <c:v>215869.60090732813</c:v>
                      </c:pt>
                      <c:pt idx="28">
                        <c:v>213616.70816778723</c:v>
                      </c:pt>
                      <c:pt idx="29">
                        <c:v>211349.70085541482</c:v>
                      </c:pt>
                      <c:pt idx="30">
                        <c:v>185754.54396889015</c:v>
                      </c:pt>
                      <c:pt idx="31">
                        <c:v>187290.97236075692</c:v>
                      </c:pt>
                      <c:pt idx="32">
                        <c:v>188499.18533183984</c:v>
                      </c:pt>
                      <c:pt idx="33">
                        <c:v>189784.27644846719</c:v>
                      </c:pt>
                      <c:pt idx="34">
                        <c:v>191420.88666360261</c:v>
                      </c:pt>
                      <c:pt idx="35">
                        <c:v>193587.77192723134</c:v>
                      </c:pt>
                      <c:pt idx="36">
                        <c:v>195966.38954809966</c:v>
                      </c:pt>
                      <c:pt idx="37">
                        <c:v>198649.0262197917</c:v>
                      </c:pt>
                      <c:pt idx="38">
                        <c:v>201663.18091995132</c:v>
                      </c:pt>
                      <c:pt idx="39">
                        <c:v>205386.07705906717</c:v>
                      </c:pt>
                      <c:pt idx="40">
                        <c:v>208926.61093859404</c:v>
                      </c:pt>
                      <c:pt idx="41">
                        <c:v>213577.72109434172</c:v>
                      </c:pt>
                      <c:pt idx="42">
                        <c:v>218352.97954820626</c:v>
                      </c:pt>
                      <c:pt idx="43">
                        <c:v>223207.37415977527</c:v>
                      </c:pt>
                      <c:pt idx="44">
                        <c:v>228095.75111008948</c:v>
                      </c:pt>
                      <c:pt idx="45">
                        <c:v>232196.5819340247</c:v>
                      </c:pt>
                      <c:pt idx="46">
                        <c:v>236522.10707385349</c:v>
                      </c:pt>
                      <c:pt idx="47">
                        <c:v>241243.32798240893</c:v>
                      </c:pt>
                      <c:pt idx="48">
                        <c:v>246183.22991877599</c:v>
                      </c:pt>
                      <c:pt idx="49">
                        <c:v>250759.52755740119</c:v>
                      </c:pt>
                      <c:pt idx="50">
                        <c:v>255290.70331868395</c:v>
                      </c:pt>
                      <c:pt idx="51">
                        <c:v>259994.63362444236</c:v>
                      </c:pt>
                      <c:pt idx="52">
                        <c:v>264932.01017139287</c:v>
                      </c:pt>
                      <c:pt idx="53">
                        <c:v>270188.93772595585</c:v>
                      </c:pt>
                      <c:pt idx="54">
                        <c:v>275709.37683511921</c:v>
                      </c:pt>
                      <c:pt idx="55">
                        <c:v>281682.98980766261</c:v>
                      </c:pt>
                      <c:pt idx="56">
                        <c:v>288008.9471730534</c:v>
                      </c:pt>
                      <c:pt idx="57">
                        <c:v>294546.43453668669</c:v>
                      </c:pt>
                      <c:pt idx="58">
                        <c:v>300784.56250945147</c:v>
                      </c:pt>
                      <c:pt idx="59">
                        <c:v>307260.47023206746</c:v>
                      </c:pt>
                      <c:pt idx="60">
                        <c:v>314079.04358587199</c:v>
                      </c:pt>
                    </c:numCache>
                  </c:numRef>
                </c:val>
                <c:extLst xmlns:c15="http://schemas.microsoft.com/office/drawing/2012/chart">
                  <c:ext xmlns:c16="http://schemas.microsoft.com/office/drawing/2014/chart" uri="{C3380CC4-5D6E-409C-BE32-E72D297353CC}">
                    <c16:uniqueId val="{0000000F-3B16-45B8-89BE-5AE640BDA9C0}"/>
                  </c:ext>
                </c:extLst>
              </c15:ser>
            </c15:filteredAreaSeries>
            <c15:filteredAreaSeries>
              <c15:ser>
                <c:idx val="16"/>
                <c:order val="14"/>
                <c:tx>
                  <c:strRef>
                    <c:extLst xmlns:c15="http://schemas.microsoft.com/office/drawing/2012/chart">
                      <c:ext xmlns:c15="http://schemas.microsoft.com/office/drawing/2012/chart" uri="{02D57815-91ED-43cb-92C2-25804820EDAC}">
                        <c15:formulaRef>
                          <c15:sqref>'Activity data'!$D$19:$F$19</c15:sqref>
                        </c15:formulaRef>
                      </c:ext>
                    </c:extLst>
                    <c:strCache>
                      <c:ptCount val="3"/>
                      <c:pt idx="0">
                        <c:v>Commercial layers</c:v>
                      </c:pt>
                      <c:pt idx="1">
                        <c:v>Population</c:v>
                      </c:pt>
                      <c:pt idx="2">
                        <c:v>Head</c:v>
                      </c:pt>
                    </c:strCache>
                  </c:strRef>
                </c:tx>
                <c:spPr>
                  <a:solidFill>
                    <a:schemeClr val="accent5">
                      <a:lumMod val="80000"/>
                      <a:lumOff val="20000"/>
                    </a:schemeClr>
                  </a:solidFill>
                  <a:ln>
                    <a:noFill/>
                  </a:ln>
                  <a:effectLst/>
                </c:spPr>
                <c:cat>
                  <c:numRef>
                    <c:extLst xmlns:c15="http://schemas.microsoft.com/office/drawing/2012/chart">
                      <c:ext xmlns:c15="http://schemas.microsoft.com/office/drawing/2012/chart" uri="{02D57815-91ED-43cb-92C2-25804820EDAC}">
                        <c15:formulaRef>
                          <c15:sqref>'Activity data'!$H$3:$BP$3</c15:sqref>
                        </c15:formulaRef>
                      </c:ext>
                    </c:extLst>
                    <c:numCache>
                      <c:formatCode>General</c:formatCode>
                      <c:ptCount val="6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pt idx="32">
                        <c:v>2022</c:v>
                      </c:pt>
                      <c:pt idx="33">
                        <c:v>2023</c:v>
                      </c:pt>
                      <c:pt idx="34">
                        <c:v>2024</c:v>
                      </c:pt>
                      <c:pt idx="35">
                        <c:v>2025</c:v>
                      </c:pt>
                      <c:pt idx="36">
                        <c:v>2026</c:v>
                      </c:pt>
                      <c:pt idx="37">
                        <c:v>2027</c:v>
                      </c:pt>
                      <c:pt idx="38">
                        <c:v>2028</c:v>
                      </c:pt>
                      <c:pt idx="39">
                        <c:v>2029</c:v>
                      </c:pt>
                      <c:pt idx="40">
                        <c:v>2030</c:v>
                      </c:pt>
                      <c:pt idx="41">
                        <c:v>2031</c:v>
                      </c:pt>
                      <c:pt idx="42">
                        <c:v>2032</c:v>
                      </c:pt>
                      <c:pt idx="43">
                        <c:v>2033</c:v>
                      </c:pt>
                      <c:pt idx="44">
                        <c:v>2034</c:v>
                      </c:pt>
                      <c:pt idx="45">
                        <c:v>2035</c:v>
                      </c:pt>
                      <c:pt idx="46">
                        <c:v>2036</c:v>
                      </c:pt>
                      <c:pt idx="47">
                        <c:v>2037</c:v>
                      </c:pt>
                      <c:pt idx="48">
                        <c:v>2038</c:v>
                      </c:pt>
                      <c:pt idx="49">
                        <c:v>2039</c:v>
                      </c:pt>
                      <c:pt idx="50">
                        <c:v>2040</c:v>
                      </c:pt>
                      <c:pt idx="51">
                        <c:v>2041</c:v>
                      </c:pt>
                      <c:pt idx="52">
                        <c:v>2042</c:v>
                      </c:pt>
                      <c:pt idx="53">
                        <c:v>2043</c:v>
                      </c:pt>
                      <c:pt idx="54">
                        <c:v>2044</c:v>
                      </c:pt>
                      <c:pt idx="55">
                        <c:v>2045</c:v>
                      </c:pt>
                      <c:pt idx="56">
                        <c:v>2046</c:v>
                      </c:pt>
                      <c:pt idx="57">
                        <c:v>2047</c:v>
                      </c:pt>
                      <c:pt idx="58">
                        <c:v>2048</c:v>
                      </c:pt>
                      <c:pt idx="59">
                        <c:v>2049</c:v>
                      </c:pt>
                      <c:pt idx="60">
                        <c:v>2050</c:v>
                      </c:pt>
                    </c:numCache>
                  </c:numRef>
                </c:cat>
                <c:val>
                  <c:numRef>
                    <c:extLst xmlns:c15="http://schemas.microsoft.com/office/drawing/2012/chart">
                      <c:ext xmlns:c15="http://schemas.microsoft.com/office/drawing/2012/chart" uri="{02D57815-91ED-43cb-92C2-25804820EDAC}">
                        <c15:formulaRef>
                          <c15:sqref>'Activity data'!$H$19:$BP$19</c15:sqref>
                        </c15:formulaRef>
                      </c:ext>
                    </c:extLst>
                    <c:numCache>
                      <c:formatCode>#,##0</c:formatCode>
                      <c:ptCount val="61"/>
                      <c:pt idx="0">
                        <c:v>14643674.931267885</c:v>
                      </c:pt>
                      <c:pt idx="1">
                        <c:v>14226110.812328145</c:v>
                      </c:pt>
                      <c:pt idx="2">
                        <c:v>13492476.52712371</c:v>
                      </c:pt>
                      <c:pt idx="3">
                        <c:v>13280331.082668224</c:v>
                      </c:pt>
                      <c:pt idx="4">
                        <c:v>12702684.496371185</c:v>
                      </c:pt>
                      <c:pt idx="5">
                        <c:v>13860209.809151115</c:v>
                      </c:pt>
                      <c:pt idx="6">
                        <c:v>14640611.562802857</c:v>
                      </c:pt>
                      <c:pt idx="7">
                        <c:v>14688755.298092401</c:v>
                      </c:pt>
                      <c:pt idx="8">
                        <c:v>16538299.007411262</c:v>
                      </c:pt>
                      <c:pt idx="9">
                        <c:v>17730716.13950536</c:v>
                      </c:pt>
                      <c:pt idx="10">
                        <c:v>17355030.714458548</c:v>
                      </c:pt>
                      <c:pt idx="11">
                        <c:v>17818001.024886843</c:v>
                      </c:pt>
                      <c:pt idx="12">
                        <c:v>17678155.288284503</c:v>
                      </c:pt>
                      <c:pt idx="13">
                        <c:v>16972399.104253348</c:v>
                      </c:pt>
                      <c:pt idx="14">
                        <c:v>17587835.89054852</c:v>
                      </c:pt>
                      <c:pt idx="15">
                        <c:v>18648391.6209228</c:v>
                      </c:pt>
                      <c:pt idx="16">
                        <c:v>20580691.805783488</c:v>
                      </c:pt>
                      <c:pt idx="17">
                        <c:v>22776081.657241259</c:v>
                      </c:pt>
                      <c:pt idx="18">
                        <c:v>23076039.863330547</c:v>
                      </c:pt>
                      <c:pt idx="19">
                        <c:v>22225308.649488669</c:v>
                      </c:pt>
                      <c:pt idx="20">
                        <c:v>23091061.215630483</c:v>
                      </c:pt>
                      <c:pt idx="21">
                        <c:v>24156882.687047753</c:v>
                      </c:pt>
                      <c:pt idx="22">
                        <c:v>23656062.153755136</c:v>
                      </c:pt>
                      <c:pt idx="23">
                        <c:v>24208845.411962353</c:v>
                      </c:pt>
                      <c:pt idx="24">
                        <c:v>24671346.552571923</c:v>
                      </c:pt>
                      <c:pt idx="25">
                        <c:v>25065596.135520827</c:v>
                      </c:pt>
                      <c:pt idx="26">
                        <c:v>25385720.504399143</c:v>
                      </c:pt>
                      <c:pt idx="27">
                        <c:v>25813847.962556787</c:v>
                      </c:pt>
                      <c:pt idx="28">
                        <c:v>26223072.531355023</c:v>
                      </c:pt>
                      <c:pt idx="29">
                        <c:v>26627563.718929257</c:v>
                      </c:pt>
                      <c:pt idx="30">
                        <c:v>25372557.923396409</c:v>
                      </c:pt>
                      <c:pt idx="31">
                        <c:v>25946116.666185383</c:v>
                      </c:pt>
                      <c:pt idx="32">
                        <c:v>26503387.787201893</c:v>
                      </c:pt>
                      <c:pt idx="33">
                        <c:v>27073831.116274778</c:v>
                      </c:pt>
                      <c:pt idx="34">
                        <c:v>27679473.805133615</c:v>
                      </c:pt>
                      <c:pt idx="35">
                        <c:v>28336591.128331948</c:v>
                      </c:pt>
                      <c:pt idx="36">
                        <c:v>28998798.436734486</c:v>
                      </c:pt>
                      <c:pt idx="37">
                        <c:v>29698242.636208747</c:v>
                      </c:pt>
                      <c:pt idx="38">
                        <c:v>30439164.948247753</c:v>
                      </c:pt>
                      <c:pt idx="39">
                        <c:v>31256197.528286949</c:v>
                      </c:pt>
                      <c:pt idx="40">
                        <c:v>32075036.379239038</c:v>
                      </c:pt>
                      <c:pt idx="41">
                        <c:v>32991747.629328243</c:v>
                      </c:pt>
                      <c:pt idx="42">
                        <c:v>33941536.04018604</c:v>
                      </c:pt>
                      <c:pt idx="43">
                        <c:v>34921380.244372427</c:v>
                      </c:pt>
                      <c:pt idx="44">
                        <c:v>35927948.734720677</c:v>
                      </c:pt>
                      <c:pt idx="45">
                        <c:v>36882204.818045989</c:v>
                      </c:pt>
                      <c:pt idx="46">
                        <c:v>37861688.009419069</c:v>
                      </c:pt>
                      <c:pt idx="47">
                        <c:v>38903995.617757298</c:v>
                      </c:pt>
                      <c:pt idx="48">
                        <c:v>39993800.154568322</c:v>
                      </c:pt>
                      <c:pt idx="49">
                        <c:v>41071997.693097062</c:v>
                      </c:pt>
                      <c:pt idx="50">
                        <c:v>42171110.444473885</c:v>
                      </c:pt>
                      <c:pt idx="51">
                        <c:v>43297395.339766257</c:v>
                      </c:pt>
                      <c:pt idx="52">
                        <c:v>44476946.193880372</c:v>
                      </c:pt>
                      <c:pt idx="53">
                        <c:v>45721678.547593988</c:v>
                      </c:pt>
                      <c:pt idx="54">
                        <c:v>47027957.390872538</c:v>
                      </c:pt>
                      <c:pt idx="55">
                        <c:v>48420553.19096259</c:v>
                      </c:pt>
                      <c:pt idx="56">
                        <c:v>49872962.448235527</c:v>
                      </c:pt>
                      <c:pt idx="57">
                        <c:v>51389547.971842438</c:v>
                      </c:pt>
                      <c:pt idx="58">
                        <c:v>52909573.080331892</c:v>
                      </c:pt>
                      <c:pt idx="59">
                        <c:v>54499870.812401213</c:v>
                      </c:pt>
                      <c:pt idx="60">
                        <c:v>56176742.782821409</c:v>
                      </c:pt>
                    </c:numCache>
                  </c:numRef>
                </c:val>
                <c:extLst xmlns:c15="http://schemas.microsoft.com/office/drawing/2012/chart">
                  <c:ext xmlns:c16="http://schemas.microsoft.com/office/drawing/2014/chart" uri="{C3380CC4-5D6E-409C-BE32-E72D297353CC}">
                    <c16:uniqueId val="{00000010-3B16-45B8-89BE-5AE640BDA9C0}"/>
                  </c:ext>
                </c:extLst>
              </c15:ser>
            </c15:filteredAreaSeries>
            <c15:filteredAreaSeries>
              <c15:ser>
                <c:idx val="17"/>
                <c:order val="15"/>
                <c:tx>
                  <c:strRef>
                    <c:extLst xmlns:c15="http://schemas.microsoft.com/office/drawing/2012/chart">
                      <c:ext xmlns:c15="http://schemas.microsoft.com/office/drawing/2012/chart" uri="{02D57815-91ED-43cb-92C2-25804820EDAC}">
                        <c15:formulaRef>
                          <c15:sqref>'Activity data'!$D$20:$F$20</c15:sqref>
                        </c15:formulaRef>
                      </c:ext>
                    </c:extLst>
                    <c:strCache>
                      <c:ptCount val="3"/>
                      <c:pt idx="0">
                        <c:v>Commercial broilers</c:v>
                      </c:pt>
                      <c:pt idx="1">
                        <c:v>Population</c:v>
                      </c:pt>
                      <c:pt idx="2">
                        <c:v>Head</c:v>
                      </c:pt>
                    </c:strCache>
                  </c:strRef>
                </c:tx>
                <c:spPr>
                  <a:solidFill>
                    <a:schemeClr val="accent6">
                      <a:lumMod val="80000"/>
                      <a:lumOff val="20000"/>
                    </a:schemeClr>
                  </a:solidFill>
                  <a:ln>
                    <a:noFill/>
                  </a:ln>
                  <a:effectLst/>
                </c:spPr>
                <c:cat>
                  <c:numRef>
                    <c:extLst xmlns:c15="http://schemas.microsoft.com/office/drawing/2012/chart">
                      <c:ext xmlns:c15="http://schemas.microsoft.com/office/drawing/2012/chart" uri="{02D57815-91ED-43cb-92C2-25804820EDAC}">
                        <c15:formulaRef>
                          <c15:sqref>'Activity data'!$H$3:$BP$3</c15:sqref>
                        </c15:formulaRef>
                      </c:ext>
                    </c:extLst>
                    <c:numCache>
                      <c:formatCode>General</c:formatCode>
                      <c:ptCount val="6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pt idx="32">
                        <c:v>2022</c:v>
                      </c:pt>
                      <c:pt idx="33">
                        <c:v>2023</c:v>
                      </c:pt>
                      <c:pt idx="34">
                        <c:v>2024</c:v>
                      </c:pt>
                      <c:pt idx="35">
                        <c:v>2025</c:v>
                      </c:pt>
                      <c:pt idx="36">
                        <c:v>2026</c:v>
                      </c:pt>
                      <c:pt idx="37">
                        <c:v>2027</c:v>
                      </c:pt>
                      <c:pt idx="38">
                        <c:v>2028</c:v>
                      </c:pt>
                      <c:pt idx="39">
                        <c:v>2029</c:v>
                      </c:pt>
                      <c:pt idx="40">
                        <c:v>2030</c:v>
                      </c:pt>
                      <c:pt idx="41">
                        <c:v>2031</c:v>
                      </c:pt>
                      <c:pt idx="42">
                        <c:v>2032</c:v>
                      </c:pt>
                      <c:pt idx="43">
                        <c:v>2033</c:v>
                      </c:pt>
                      <c:pt idx="44">
                        <c:v>2034</c:v>
                      </c:pt>
                      <c:pt idx="45">
                        <c:v>2035</c:v>
                      </c:pt>
                      <c:pt idx="46">
                        <c:v>2036</c:v>
                      </c:pt>
                      <c:pt idx="47">
                        <c:v>2037</c:v>
                      </c:pt>
                      <c:pt idx="48">
                        <c:v>2038</c:v>
                      </c:pt>
                      <c:pt idx="49">
                        <c:v>2039</c:v>
                      </c:pt>
                      <c:pt idx="50">
                        <c:v>2040</c:v>
                      </c:pt>
                      <c:pt idx="51">
                        <c:v>2041</c:v>
                      </c:pt>
                      <c:pt idx="52">
                        <c:v>2042</c:v>
                      </c:pt>
                      <c:pt idx="53">
                        <c:v>2043</c:v>
                      </c:pt>
                      <c:pt idx="54">
                        <c:v>2044</c:v>
                      </c:pt>
                      <c:pt idx="55">
                        <c:v>2045</c:v>
                      </c:pt>
                      <c:pt idx="56">
                        <c:v>2046</c:v>
                      </c:pt>
                      <c:pt idx="57">
                        <c:v>2047</c:v>
                      </c:pt>
                      <c:pt idx="58">
                        <c:v>2048</c:v>
                      </c:pt>
                      <c:pt idx="59">
                        <c:v>2049</c:v>
                      </c:pt>
                      <c:pt idx="60">
                        <c:v>2050</c:v>
                      </c:pt>
                    </c:numCache>
                  </c:numRef>
                </c:cat>
                <c:val>
                  <c:numRef>
                    <c:extLst xmlns:c15="http://schemas.microsoft.com/office/drawing/2012/chart">
                      <c:ext xmlns:c15="http://schemas.microsoft.com/office/drawing/2012/chart" uri="{02D57815-91ED-43cb-92C2-25804820EDAC}">
                        <c15:formulaRef>
                          <c15:sqref>'Activity data'!$H$20:$BP$20</c15:sqref>
                        </c15:formulaRef>
                      </c:ext>
                    </c:extLst>
                    <c:numCache>
                      <c:formatCode>#,##0</c:formatCode>
                      <c:ptCount val="61"/>
                      <c:pt idx="0">
                        <c:v>40304488.125775687</c:v>
                      </c:pt>
                      <c:pt idx="1">
                        <c:v>37886218.887128815</c:v>
                      </c:pt>
                      <c:pt idx="2">
                        <c:v>35805187.036307976</c:v>
                      </c:pt>
                      <c:pt idx="3">
                        <c:v>40268107.368938237</c:v>
                      </c:pt>
                      <c:pt idx="4">
                        <c:v>39890443.299430735</c:v>
                      </c:pt>
                      <c:pt idx="5">
                        <c:v>45660443.796231762</c:v>
                      </c:pt>
                      <c:pt idx="6">
                        <c:v>53091326.838711366</c:v>
                      </c:pt>
                      <c:pt idx="7">
                        <c:v>54040901.985378392</c:v>
                      </c:pt>
                      <c:pt idx="8">
                        <c:v>59214394.697576575</c:v>
                      </c:pt>
                      <c:pt idx="9">
                        <c:v>61819163.842046939</c:v>
                      </c:pt>
                      <c:pt idx="10">
                        <c:v>66512864.907880791</c:v>
                      </c:pt>
                      <c:pt idx="11">
                        <c:v>64225159.968942329</c:v>
                      </c:pt>
                      <c:pt idx="12">
                        <c:v>71182309.580183759</c:v>
                      </c:pt>
                      <c:pt idx="13">
                        <c:v>67705122.244331256</c:v>
                      </c:pt>
                      <c:pt idx="14">
                        <c:v>69339582.95804137</c:v>
                      </c:pt>
                      <c:pt idx="15">
                        <c:v>76722494.212373629</c:v>
                      </c:pt>
                      <c:pt idx="16">
                        <c:v>82061878.307196394</c:v>
                      </c:pt>
                      <c:pt idx="17">
                        <c:v>85859218.536646262</c:v>
                      </c:pt>
                      <c:pt idx="18">
                        <c:v>91416754.470852047</c:v>
                      </c:pt>
                      <c:pt idx="19">
                        <c:v>86261715.79298</c:v>
                      </c:pt>
                      <c:pt idx="20">
                        <c:v>88431266.728296682</c:v>
                      </c:pt>
                      <c:pt idx="21">
                        <c:v>91461113.859690607</c:v>
                      </c:pt>
                      <c:pt idx="22">
                        <c:v>94092762.580055237</c:v>
                      </c:pt>
                      <c:pt idx="23">
                        <c:v>96077568.228083029</c:v>
                      </c:pt>
                      <c:pt idx="24">
                        <c:v>97042056.344136983</c:v>
                      </c:pt>
                      <c:pt idx="25">
                        <c:v>97240112.133953497</c:v>
                      </c:pt>
                      <c:pt idx="26">
                        <c:v>96633156.238297045</c:v>
                      </c:pt>
                      <c:pt idx="27">
                        <c:v>97039852.488621905</c:v>
                      </c:pt>
                      <c:pt idx="28">
                        <c:v>97246396.148570761</c:v>
                      </c:pt>
                      <c:pt idx="29">
                        <c:v>97385754.169579551</c:v>
                      </c:pt>
                      <c:pt idx="30">
                        <c:v>81609608.007041141</c:v>
                      </c:pt>
                      <c:pt idx="31">
                        <c:v>84266752.57492736</c:v>
                      </c:pt>
                      <c:pt idx="32">
                        <c:v>86716457.073193893</c:v>
                      </c:pt>
                      <c:pt idx="33">
                        <c:v>89238801.299814567</c:v>
                      </c:pt>
                      <c:pt idx="34">
                        <c:v>92035256.805545047</c:v>
                      </c:pt>
                      <c:pt idx="35">
                        <c:v>95247894.577978864</c:v>
                      </c:pt>
                      <c:pt idx="36">
                        <c:v>98739204.225288242</c:v>
                      </c:pt>
                      <c:pt idx="37">
                        <c:v>102507148.9556611</c:v>
                      </c:pt>
                      <c:pt idx="38">
                        <c:v>106583627.45238651</c:v>
                      </c:pt>
                      <c:pt idx="39">
                        <c:v>111269270.01977392</c:v>
                      </c:pt>
                      <c:pt idx="40">
                        <c:v>115897010.00371882</c:v>
                      </c:pt>
                      <c:pt idx="41">
                        <c:v>121542026.2672362</c:v>
                      </c:pt>
                      <c:pt idx="42">
                        <c:v>127393372.73784178</c:v>
                      </c:pt>
                      <c:pt idx="43">
                        <c:v>133421704.4695321</c:v>
                      </c:pt>
                      <c:pt idx="44">
                        <c:v>139595876.9954814</c:v>
                      </c:pt>
                      <c:pt idx="45">
                        <c:v>145242101.85738522</c:v>
                      </c:pt>
                      <c:pt idx="46">
                        <c:v>151244304.68195772</c:v>
                      </c:pt>
                      <c:pt idx="47">
                        <c:v>157698823.42507789</c:v>
                      </c:pt>
                      <c:pt idx="48">
                        <c:v>164470122.95786309</c:v>
                      </c:pt>
                      <c:pt idx="49">
                        <c:v>171063465.67557558</c:v>
                      </c:pt>
                      <c:pt idx="50">
                        <c:v>177750808.99629036</c:v>
                      </c:pt>
                      <c:pt idx="51">
                        <c:v>184782921.01671153</c:v>
                      </c:pt>
                      <c:pt idx="52">
                        <c:v>192170260.35041821</c:v>
                      </c:pt>
                      <c:pt idx="53">
                        <c:v>200003871.61719081</c:v>
                      </c:pt>
                      <c:pt idx="54">
                        <c:v>208247712.3244909</c:v>
                      </c:pt>
                      <c:pt idx="55">
                        <c:v>217093887.23452228</c:v>
                      </c:pt>
                      <c:pt idx="56">
                        <c:v>226522637.62721509</c:v>
                      </c:pt>
                      <c:pt idx="57">
                        <c:v>236363055.56006154</c:v>
                      </c:pt>
                      <c:pt idx="58">
                        <c:v>246131531.00598502</c:v>
                      </c:pt>
                      <c:pt idx="59">
                        <c:v>256353361.4611887</c:v>
                      </c:pt>
                      <c:pt idx="60">
                        <c:v>267149331.41186896</c:v>
                      </c:pt>
                    </c:numCache>
                  </c:numRef>
                </c:val>
                <c:extLst xmlns:c15="http://schemas.microsoft.com/office/drawing/2012/chart">
                  <c:ext xmlns:c16="http://schemas.microsoft.com/office/drawing/2014/chart" uri="{C3380CC4-5D6E-409C-BE32-E72D297353CC}">
                    <c16:uniqueId val="{00000011-3B16-45B8-89BE-5AE640BDA9C0}"/>
                  </c:ext>
                </c:extLst>
              </c15:ser>
            </c15:filteredAreaSeries>
            <c15:filteredAreaSeries>
              <c15:ser>
                <c:idx val="18"/>
                <c:order val="16"/>
                <c:tx>
                  <c:strRef>
                    <c:extLst xmlns:c15="http://schemas.microsoft.com/office/drawing/2012/chart">
                      <c:ext xmlns:c15="http://schemas.microsoft.com/office/drawing/2012/chart" uri="{02D57815-91ED-43cb-92C2-25804820EDAC}">
                        <c15:formulaRef>
                          <c15:sqref>'Activity data'!$D$21:$F$21</c15:sqref>
                        </c15:formulaRef>
                      </c:ext>
                    </c:extLst>
                    <c:strCache>
                      <c:ptCount val="3"/>
                      <c:pt idx="0">
                        <c:v>Subsistence layers</c:v>
                      </c:pt>
                      <c:pt idx="1">
                        <c:v>Population</c:v>
                      </c:pt>
                      <c:pt idx="2">
                        <c:v>Head</c:v>
                      </c:pt>
                    </c:strCache>
                  </c:strRef>
                </c:tx>
                <c:spPr>
                  <a:solidFill>
                    <a:schemeClr val="accent1">
                      <a:lumMod val="80000"/>
                    </a:schemeClr>
                  </a:solidFill>
                  <a:ln>
                    <a:noFill/>
                  </a:ln>
                  <a:effectLst/>
                </c:spPr>
                <c:cat>
                  <c:numRef>
                    <c:extLst xmlns:c15="http://schemas.microsoft.com/office/drawing/2012/chart">
                      <c:ext xmlns:c15="http://schemas.microsoft.com/office/drawing/2012/chart" uri="{02D57815-91ED-43cb-92C2-25804820EDAC}">
                        <c15:formulaRef>
                          <c15:sqref>'Activity data'!$H$3:$BP$3</c15:sqref>
                        </c15:formulaRef>
                      </c:ext>
                    </c:extLst>
                    <c:numCache>
                      <c:formatCode>General</c:formatCode>
                      <c:ptCount val="6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pt idx="32">
                        <c:v>2022</c:v>
                      </c:pt>
                      <c:pt idx="33">
                        <c:v>2023</c:v>
                      </c:pt>
                      <c:pt idx="34">
                        <c:v>2024</c:v>
                      </c:pt>
                      <c:pt idx="35">
                        <c:v>2025</c:v>
                      </c:pt>
                      <c:pt idx="36">
                        <c:v>2026</c:v>
                      </c:pt>
                      <c:pt idx="37">
                        <c:v>2027</c:v>
                      </c:pt>
                      <c:pt idx="38">
                        <c:v>2028</c:v>
                      </c:pt>
                      <c:pt idx="39">
                        <c:v>2029</c:v>
                      </c:pt>
                      <c:pt idx="40">
                        <c:v>2030</c:v>
                      </c:pt>
                      <c:pt idx="41">
                        <c:v>2031</c:v>
                      </c:pt>
                      <c:pt idx="42">
                        <c:v>2032</c:v>
                      </c:pt>
                      <c:pt idx="43">
                        <c:v>2033</c:v>
                      </c:pt>
                      <c:pt idx="44">
                        <c:v>2034</c:v>
                      </c:pt>
                      <c:pt idx="45">
                        <c:v>2035</c:v>
                      </c:pt>
                      <c:pt idx="46">
                        <c:v>2036</c:v>
                      </c:pt>
                      <c:pt idx="47">
                        <c:v>2037</c:v>
                      </c:pt>
                      <c:pt idx="48">
                        <c:v>2038</c:v>
                      </c:pt>
                      <c:pt idx="49">
                        <c:v>2039</c:v>
                      </c:pt>
                      <c:pt idx="50">
                        <c:v>2040</c:v>
                      </c:pt>
                      <c:pt idx="51">
                        <c:v>2041</c:v>
                      </c:pt>
                      <c:pt idx="52">
                        <c:v>2042</c:v>
                      </c:pt>
                      <c:pt idx="53">
                        <c:v>2043</c:v>
                      </c:pt>
                      <c:pt idx="54">
                        <c:v>2044</c:v>
                      </c:pt>
                      <c:pt idx="55">
                        <c:v>2045</c:v>
                      </c:pt>
                      <c:pt idx="56">
                        <c:v>2046</c:v>
                      </c:pt>
                      <c:pt idx="57">
                        <c:v>2047</c:v>
                      </c:pt>
                      <c:pt idx="58">
                        <c:v>2048</c:v>
                      </c:pt>
                      <c:pt idx="59">
                        <c:v>2049</c:v>
                      </c:pt>
                      <c:pt idx="60">
                        <c:v>2050</c:v>
                      </c:pt>
                    </c:numCache>
                  </c:numRef>
                </c:cat>
                <c:val>
                  <c:numRef>
                    <c:extLst xmlns:c15="http://schemas.microsoft.com/office/drawing/2012/chart">
                      <c:ext xmlns:c15="http://schemas.microsoft.com/office/drawing/2012/chart" uri="{02D57815-91ED-43cb-92C2-25804820EDAC}">
                        <c15:formulaRef>
                          <c15:sqref>'Activity data'!$H$21:$BP$21</c15:sqref>
                        </c15:formulaRef>
                      </c:ext>
                    </c:extLst>
                    <c:numCache>
                      <c:formatCode>#,##0</c:formatCode>
                      <c:ptCount val="61"/>
                      <c:pt idx="0">
                        <c:v>615034.34711325122</c:v>
                      </c:pt>
                      <c:pt idx="1">
                        <c:v>597496.65411778213</c:v>
                      </c:pt>
                      <c:pt idx="2">
                        <c:v>566684.0141391959</c:v>
                      </c:pt>
                      <c:pt idx="3">
                        <c:v>557773.90547206544</c:v>
                      </c:pt>
                      <c:pt idx="4">
                        <c:v>533512.74884758983</c:v>
                      </c:pt>
                      <c:pt idx="5">
                        <c:v>582128.81198434683</c:v>
                      </c:pt>
                      <c:pt idx="6">
                        <c:v>614905.68563772005</c:v>
                      </c:pt>
                      <c:pt idx="7">
                        <c:v>616927.72251988086</c:v>
                      </c:pt>
                      <c:pt idx="8">
                        <c:v>694608.55831127299</c:v>
                      </c:pt>
                      <c:pt idx="9">
                        <c:v>744690.07785922522</c:v>
                      </c:pt>
                      <c:pt idx="10">
                        <c:v>728911.290007259</c:v>
                      </c:pt>
                      <c:pt idx="11">
                        <c:v>748356.04304524744</c:v>
                      </c:pt>
                      <c:pt idx="12">
                        <c:v>742482.52210794913</c:v>
                      </c:pt>
                      <c:pt idx="13">
                        <c:v>712840.76237864071</c:v>
                      </c:pt>
                      <c:pt idx="14">
                        <c:v>738689.10740303784</c:v>
                      </c:pt>
                      <c:pt idx="15">
                        <c:v>783232.44807875762</c:v>
                      </c:pt>
                      <c:pt idx="16">
                        <c:v>864389.05584290659</c:v>
                      </c:pt>
                      <c:pt idx="17">
                        <c:v>956595.42960413289</c:v>
                      </c:pt>
                      <c:pt idx="18">
                        <c:v>969193.674259883</c:v>
                      </c:pt>
                      <c:pt idx="19">
                        <c:v>933462.96327852411</c:v>
                      </c:pt>
                      <c:pt idx="20">
                        <c:v>969824.57105648029</c:v>
                      </c:pt>
                      <c:pt idx="21">
                        <c:v>1014589.0728560057</c:v>
                      </c:pt>
                      <c:pt idx="22">
                        <c:v>985669.25640646485</c:v>
                      </c:pt>
                      <c:pt idx="23">
                        <c:v>1008701.8921650989</c:v>
                      </c:pt>
                      <c:pt idx="24">
                        <c:v>1027972.7730238311</c:v>
                      </c:pt>
                      <c:pt idx="25">
                        <c:v>1044399.8389800354</c:v>
                      </c:pt>
                      <c:pt idx="26">
                        <c:v>1057738.3543499652</c:v>
                      </c:pt>
                      <c:pt idx="27">
                        <c:v>1075576.998439867</c:v>
                      </c:pt>
                      <c:pt idx="28">
                        <c:v>1092628.0221397937</c:v>
                      </c:pt>
                      <c:pt idx="29">
                        <c:v>1109481.8216220534</c:v>
                      </c:pt>
                      <c:pt idx="30">
                        <c:v>1057189.9134748513</c:v>
                      </c:pt>
                      <c:pt idx="31">
                        <c:v>1081088.194424392</c:v>
                      </c:pt>
                      <c:pt idx="32">
                        <c:v>1104307.8244667465</c:v>
                      </c:pt>
                      <c:pt idx="33">
                        <c:v>1128076.2965114501</c:v>
                      </c:pt>
                      <c:pt idx="34">
                        <c:v>1153311.408547235</c:v>
                      </c:pt>
                      <c:pt idx="35">
                        <c:v>1180691.2970138323</c:v>
                      </c:pt>
                      <c:pt idx="36">
                        <c:v>1208283.2681972715</c:v>
                      </c:pt>
                      <c:pt idx="37">
                        <c:v>1237426.7765086989</c:v>
                      </c:pt>
                      <c:pt idx="38">
                        <c:v>1268298.5395103241</c:v>
                      </c:pt>
                      <c:pt idx="39">
                        <c:v>1302341.5636786241</c:v>
                      </c:pt>
                      <c:pt idx="40">
                        <c:v>1336459.8491349611</c:v>
                      </c:pt>
                      <c:pt idx="41">
                        <c:v>1374656.1512220115</c:v>
                      </c:pt>
                      <c:pt idx="42">
                        <c:v>1414230.6683410862</c:v>
                      </c:pt>
                      <c:pt idx="43">
                        <c:v>1455057.5101821858</c:v>
                      </c:pt>
                      <c:pt idx="44">
                        <c:v>1496997.8639466963</c:v>
                      </c:pt>
                      <c:pt idx="45">
                        <c:v>1536758.5340852509</c:v>
                      </c:pt>
                      <c:pt idx="46">
                        <c:v>1577570.3337257958</c:v>
                      </c:pt>
                      <c:pt idx="47">
                        <c:v>1620999.8174065556</c:v>
                      </c:pt>
                      <c:pt idx="48">
                        <c:v>1666408.3397736817</c:v>
                      </c:pt>
                      <c:pt idx="49">
                        <c:v>1711333.2372123792</c:v>
                      </c:pt>
                      <c:pt idx="50">
                        <c:v>1757129.6018530801</c:v>
                      </c:pt>
                      <c:pt idx="51">
                        <c:v>1804058.139156929</c:v>
                      </c:pt>
                      <c:pt idx="52">
                        <c:v>1853206.0914116839</c:v>
                      </c:pt>
                      <c:pt idx="53">
                        <c:v>1905069.9394830845</c:v>
                      </c:pt>
                      <c:pt idx="54">
                        <c:v>1959498.224619691</c:v>
                      </c:pt>
                      <c:pt idx="55">
                        <c:v>2017523.0496234433</c:v>
                      </c:pt>
                      <c:pt idx="56">
                        <c:v>2078040.1020098156</c:v>
                      </c:pt>
                      <c:pt idx="57">
                        <c:v>2141231.1654934371</c:v>
                      </c:pt>
                      <c:pt idx="58">
                        <c:v>2204565.545013831</c:v>
                      </c:pt>
                      <c:pt idx="59">
                        <c:v>2270827.9505167194</c:v>
                      </c:pt>
                      <c:pt idx="60">
                        <c:v>2340697.6159508945</c:v>
                      </c:pt>
                    </c:numCache>
                  </c:numRef>
                </c:val>
                <c:extLst xmlns:c15="http://schemas.microsoft.com/office/drawing/2012/chart">
                  <c:ext xmlns:c16="http://schemas.microsoft.com/office/drawing/2014/chart" uri="{C3380CC4-5D6E-409C-BE32-E72D297353CC}">
                    <c16:uniqueId val="{00000012-3B16-45B8-89BE-5AE640BDA9C0}"/>
                  </c:ext>
                </c:extLst>
              </c15:ser>
            </c15:filteredAreaSeries>
            <c15:filteredAreaSeries>
              <c15:ser>
                <c:idx val="19"/>
                <c:order val="17"/>
                <c:tx>
                  <c:strRef>
                    <c:extLst xmlns:c15="http://schemas.microsoft.com/office/drawing/2012/chart">
                      <c:ext xmlns:c15="http://schemas.microsoft.com/office/drawing/2012/chart" uri="{02D57815-91ED-43cb-92C2-25804820EDAC}">
                        <c15:formulaRef>
                          <c15:sqref>'Activity data'!$D$22:$F$22</c15:sqref>
                        </c15:formulaRef>
                      </c:ext>
                    </c:extLst>
                    <c:strCache>
                      <c:ptCount val="3"/>
                      <c:pt idx="0">
                        <c:v>Subsistence broilers</c:v>
                      </c:pt>
                      <c:pt idx="1">
                        <c:v>Population</c:v>
                      </c:pt>
                      <c:pt idx="2">
                        <c:v>Head</c:v>
                      </c:pt>
                    </c:strCache>
                  </c:strRef>
                </c:tx>
                <c:spPr>
                  <a:solidFill>
                    <a:schemeClr val="accent2">
                      <a:lumMod val="80000"/>
                    </a:schemeClr>
                  </a:solidFill>
                  <a:ln>
                    <a:noFill/>
                  </a:ln>
                  <a:effectLst/>
                </c:spPr>
                <c:cat>
                  <c:numRef>
                    <c:extLst xmlns:c15="http://schemas.microsoft.com/office/drawing/2012/chart">
                      <c:ext xmlns:c15="http://schemas.microsoft.com/office/drawing/2012/chart" uri="{02D57815-91ED-43cb-92C2-25804820EDAC}">
                        <c15:formulaRef>
                          <c15:sqref>'Activity data'!$H$3:$BP$3</c15:sqref>
                        </c15:formulaRef>
                      </c:ext>
                    </c:extLst>
                    <c:numCache>
                      <c:formatCode>General</c:formatCode>
                      <c:ptCount val="6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pt idx="32">
                        <c:v>2022</c:v>
                      </c:pt>
                      <c:pt idx="33">
                        <c:v>2023</c:v>
                      </c:pt>
                      <c:pt idx="34">
                        <c:v>2024</c:v>
                      </c:pt>
                      <c:pt idx="35">
                        <c:v>2025</c:v>
                      </c:pt>
                      <c:pt idx="36">
                        <c:v>2026</c:v>
                      </c:pt>
                      <c:pt idx="37">
                        <c:v>2027</c:v>
                      </c:pt>
                      <c:pt idx="38">
                        <c:v>2028</c:v>
                      </c:pt>
                      <c:pt idx="39">
                        <c:v>2029</c:v>
                      </c:pt>
                      <c:pt idx="40">
                        <c:v>2030</c:v>
                      </c:pt>
                      <c:pt idx="41">
                        <c:v>2031</c:v>
                      </c:pt>
                      <c:pt idx="42">
                        <c:v>2032</c:v>
                      </c:pt>
                      <c:pt idx="43">
                        <c:v>2033</c:v>
                      </c:pt>
                      <c:pt idx="44">
                        <c:v>2034</c:v>
                      </c:pt>
                      <c:pt idx="45">
                        <c:v>2035</c:v>
                      </c:pt>
                      <c:pt idx="46">
                        <c:v>2036</c:v>
                      </c:pt>
                      <c:pt idx="47">
                        <c:v>2037</c:v>
                      </c:pt>
                      <c:pt idx="48">
                        <c:v>2038</c:v>
                      </c:pt>
                      <c:pt idx="49">
                        <c:v>2039</c:v>
                      </c:pt>
                      <c:pt idx="50">
                        <c:v>2040</c:v>
                      </c:pt>
                      <c:pt idx="51">
                        <c:v>2041</c:v>
                      </c:pt>
                      <c:pt idx="52">
                        <c:v>2042</c:v>
                      </c:pt>
                      <c:pt idx="53">
                        <c:v>2043</c:v>
                      </c:pt>
                      <c:pt idx="54">
                        <c:v>2044</c:v>
                      </c:pt>
                      <c:pt idx="55">
                        <c:v>2045</c:v>
                      </c:pt>
                      <c:pt idx="56">
                        <c:v>2046</c:v>
                      </c:pt>
                      <c:pt idx="57">
                        <c:v>2047</c:v>
                      </c:pt>
                      <c:pt idx="58">
                        <c:v>2048</c:v>
                      </c:pt>
                      <c:pt idx="59">
                        <c:v>2049</c:v>
                      </c:pt>
                      <c:pt idx="60">
                        <c:v>2050</c:v>
                      </c:pt>
                    </c:numCache>
                  </c:numRef>
                </c:cat>
                <c:val>
                  <c:numRef>
                    <c:extLst xmlns:c15="http://schemas.microsoft.com/office/drawing/2012/chart">
                      <c:ext xmlns:c15="http://schemas.microsoft.com/office/drawing/2012/chart" uri="{02D57815-91ED-43cb-92C2-25804820EDAC}">
                        <c15:formulaRef>
                          <c15:sqref>'Activity data'!$H$22:$BP$22</c15:sqref>
                        </c15:formulaRef>
                      </c:ext>
                    </c:extLst>
                    <c:numCache>
                      <c:formatCode>#,##0</c:formatCode>
                      <c:ptCount val="61"/>
                      <c:pt idx="0">
                        <c:v>1692788.501282579</c:v>
                      </c:pt>
                      <c:pt idx="1">
                        <c:v>1591221.1932594103</c:v>
                      </c:pt>
                      <c:pt idx="2">
                        <c:v>1503817.8555249351</c:v>
                      </c:pt>
                      <c:pt idx="3">
                        <c:v>1691260.5094954062</c:v>
                      </c:pt>
                      <c:pt idx="4">
                        <c:v>1675398.618576091</c:v>
                      </c:pt>
                      <c:pt idx="5">
                        <c:v>1917738.6394417342</c:v>
                      </c:pt>
                      <c:pt idx="6">
                        <c:v>2229835.7272258773</c:v>
                      </c:pt>
                      <c:pt idx="7">
                        <c:v>2269717.8833858925</c:v>
                      </c:pt>
                      <c:pt idx="8">
                        <c:v>2487004.5772982165</c:v>
                      </c:pt>
                      <c:pt idx="9">
                        <c:v>2596404.8813659716</c:v>
                      </c:pt>
                      <c:pt idx="10">
                        <c:v>2793540.3261309932</c:v>
                      </c:pt>
                      <c:pt idx="11">
                        <c:v>2697456.7186955782</c:v>
                      </c:pt>
                      <c:pt idx="12">
                        <c:v>2989657.0023677181</c:v>
                      </c:pt>
                      <c:pt idx="13">
                        <c:v>2843615.1342619131</c:v>
                      </c:pt>
                      <c:pt idx="14">
                        <c:v>2912262.4842377375</c:v>
                      </c:pt>
                      <c:pt idx="15">
                        <c:v>3222344.7569196927</c:v>
                      </c:pt>
                      <c:pt idx="16">
                        <c:v>3446598.8889022488</c:v>
                      </c:pt>
                      <c:pt idx="17">
                        <c:v>3606087.1785391434</c:v>
                      </c:pt>
                      <c:pt idx="18">
                        <c:v>3839503.687775786</c:v>
                      </c:pt>
                      <c:pt idx="19">
                        <c:v>3622992.06330516</c:v>
                      </c:pt>
                      <c:pt idx="20">
                        <c:v>3714113.2025884609</c:v>
                      </c:pt>
                      <c:pt idx="21">
                        <c:v>3841366.7821070058</c:v>
                      </c:pt>
                      <c:pt idx="22">
                        <c:v>3920531.7741689715</c:v>
                      </c:pt>
                      <c:pt idx="23">
                        <c:v>4003232.0095034633</c:v>
                      </c:pt>
                      <c:pt idx="24">
                        <c:v>4043419.0143390447</c:v>
                      </c:pt>
                      <c:pt idx="25">
                        <c:v>4051671.3389147329</c:v>
                      </c:pt>
                      <c:pt idx="26">
                        <c:v>4026381.5099290474</c:v>
                      </c:pt>
                      <c:pt idx="27">
                        <c:v>4043327.1870259168</c:v>
                      </c:pt>
                      <c:pt idx="28">
                        <c:v>4051933.1728571188</c:v>
                      </c:pt>
                      <c:pt idx="29">
                        <c:v>4057739.7570658182</c:v>
                      </c:pt>
                      <c:pt idx="30">
                        <c:v>3400400.3336267173</c:v>
                      </c:pt>
                      <c:pt idx="31">
                        <c:v>3511114.6906219763</c:v>
                      </c:pt>
                      <c:pt idx="32">
                        <c:v>3613185.711383082</c:v>
                      </c:pt>
                      <c:pt idx="33">
                        <c:v>3718283.3874922772</c:v>
                      </c:pt>
                      <c:pt idx="34">
                        <c:v>3834802.3668977139</c:v>
                      </c:pt>
                      <c:pt idx="35">
                        <c:v>3968662.2740824562</c:v>
                      </c:pt>
                      <c:pt idx="36">
                        <c:v>4114133.509387014</c:v>
                      </c:pt>
                      <c:pt idx="37">
                        <c:v>4271131.2064858833</c:v>
                      </c:pt>
                      <c:pt idx="38">
                        <c:v>4440984.4771827757</c:v>
                      </c:pt>
                      <c:pt idx="39">
                        <c:v>4636219.5841572508</c:v>
                      </c:pt>
                      <c:pt idx="40">
                        <c:v>4829042.0834882883</c:v>
                      </c:pt>
                      <c:pt idx="41">
                        <c:v>5064251.0944681801</c:v>
                      </c:pt>
                      <c:pt idx="42">
                        <c:v>5308057.1974100797</c:v>
                      </c:pt>
                      <c:pt idx="43">
                        <c:v>5559237.6862305095</c:v>
                      </c:pt>
                      <c:pt idx="44">
                        <c:v>5816494.8748117303</c:v>
                      </c:pt>
                      <c:pt idx="45">
                        <c:v>6051754.2440577224</c:v>
                      </c:pt>
                      <c:pt idx="46">
                        <c:v>6301846.0284149107</c:v>
                      </c:pt>
                      <c:pt idx="47">
                        <c:v>6570784.3093782524</c:v>
                      </c:pt>
                      <c:pt idx="48">
                        <c:v>6852921.7899109684</c:v>
                      </c:pt>
                      <c:pt idx="49">
                        <c:v>7127644.4031489892</c:v>
                      </c:pt>
                      <c:pt idx="50">
                        <c:v>7406283.7081787707</c:v>
                      </c:pt>
                      <c:pt idx="51">
                        <c:v>7699288.375696321</c:v>
                      </c:pt>
                      <c:pt idx="52">
                        <c:v>8007094.1812674329</c:v>
                      </c:pt>
                      <c:pt idx="53">
                        <c:v>8333494.6507162917</c:v>
                      </c:pt>
                      <c:pt idx="54">
                        <c:v>8676988.0135204624</c:v>
                      </c:pt>
                      <c:pt idx="55">
                        <c:v>9045578.6347717699</c:v>
                      </c:pt>
                      <c:pt idx="56">
                        <c:v>9438443.2344673034</c:v>
                      </c:pt>
                      <c:pt idx="57">
                        <c:v>9848460.6483359057</c:v>
                      </c:pt>
                      <c:pt idx="58">
                        <c:v>10255480.45858272</c:v>
                      </c:pt>
                      <c:pt idx="59">
                        <c:v>10681390.060882872</c:v>
                      </c:pt>
                      <c:pt idx="60">
                        <c:v>11131222.142161217</c:v>
                      </c:pt>
                    </c:numCache>
                  </c:numRef>
                </c:val>
                <c:extLst xmlns:c15="http://schemas.microsoft.com/office/drawing/2012/chart">
                  <c:ext xmlns:c16="http://schemas.microsoft.com/office/drawing/2014/chart" uri="{C3380CC4-5D6E-409C-BE32-E72D297353CC}">
                    <c16:uniqueId val="{00000013-3B16-45B8-89BE-5AE640BDA9C0}"/>
                  </c:ext>
                </c:extLst>
              </c15:ser>
            </c15:filteredAreaSeries>
          </c:ext>
        </c:extLst>
      </c:areaChart>
      <c:catAx>
        <c:axId val="7891369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9159823"/>
        <c:crosses val="autoZero"/>
        <c:auto val="1"/>
        <c:lblAlgn val="ctr"/>
        <c:lblOffset val="100"/>
        <c:noMultiLvlLbl val="0"/>
      </c:catAx>
      <c:valAx>
        <c:axId val="78915982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9136943"/>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areaChart>
        <c:grouping val="stacked"/>
        <c:varyColors val="0"/>
        <c:ser>
          <c:idx val="0"/>
          <c:order val="0"/>
          <c:tx>
            <c:strRef>
              <c:f>'Emissions summary'!$C$58</c:f>
              <c:strCache>
                <c:ptCount val="1"/>
                <c:pt idx="0">
                  <c:v>Enteric</c:v>
                </c:pt>
              </c:strCache>
            </c:strRef>
          </c:tx>
          <c:spPr>
            <a:solidFill>
              <a:schemeClr val="accent1"/>
            </a:solidFill>
            <a:ln>
              <a:noFill/>
            </a:ln>
            <a:effectLst/>
          </c:spPr>
          <c:cat>
            <c:numRef>
              <c:extLst>
                <c:ext xmlns:c15="http://schemas.microsoft.com/office/drawing/2012/chart" uri="{02D57815-91ED-43cb-92C2-25804820EDAC}">
                  <c15:fullRef>
                    <c15:sqref>'Emissions summary'!$F$57:$BN$57</c15:sqref>
                  </c15:fullRef>
                </c:ext>
              </c:extLst>
              <c:f>'Emissions summary'!$P$57:$BN$57</c:f>
              <c:numCache>
                <c:formatCode>General</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extLst>
                <c:ext xmlns:c15="http://schemas.microsoft.com/office/drawing/2012/chart" uri="{02D57815-91ED-43cb-92C2-25804820EDAC}">
                  <c15:fullRef>
                    <c15:sqref>'Emissions summary'!$F$58:$BN$58</c15:sqref>
                  </c15:fullRef>
                </c:ext>
              </c:extLst>
              <c:f>'Emissions summary'!$P$58:$BN$58</c:f>
              <c:numCache>
                <c:formatCode>General</c:formatCode>
                <c:ptCount val="51"/>
                <c:pt idx="0">
                  <c:v>25777.048269375533</c:v>
                </c:pt>
                <c:pt idx="1">
                  <c:v>25591.757983541553</c:v>
                </c:pt>
                <c:pt idx="2">
                  <c:v>25147.122199522513</c:v>
                </c:pt>
                <c:pt idx="3">
                  <c:v>25249.466602835961</c:v>
                </c:pt>
                <c:pt idx="4">
                  <c:v>25051.703011381145</c:v>
                </c:pt>
                <c:pt idx="5">
                  <c:v>25106.486522987332</c:v>
                </c:pt>
                <c:pt idx="6">
                  <c:v>25009.71607093593</c:v>
                </c:pt>
                <c:pt idx="7">
                  <c:v>25554.935614001963</c:v>
                </c:pt>
                <c:pt idx="8">
                  <c:v>25721.077232963253</c:v>
                </c:pt>
                <c:pt idx="9">
                  <c:v>25553.033374236744</c:v>
                </c:pt>
                <c:pt idx="10">
                  <c:v>25338.814721466922</c:v>
                </c:pt>
                <c:pt idx="11">
                  <c:v>25260.558978491663</c:v>
                </c:pt>
                <c:pt idx="12">
                  <c:v>24599.289440567427</c:v>
                </c:pt>
                <c:pt idx="13">
                  <c:v>24598.313615813877</c:v>
                </c:pt>
                <c:pt idx="14">
                  <c:v>24468.689274409106</c:v>
                </c:pt>
                <c:pt idx="15">
                  <c:v>24249.019036246784</c:v>
                </c:pt>
                <c:pt idx="16">
                  <c:v>23939.031297480375</c:v>
                </c:pt>
                <c:pt idx="17">
                  <c:v>23766.181355791086</c:v>
                </c:pt>
                <c:pt idx="18">
                  <c:v>23571.995004679993</c:v>
                </c:pt>
                <c:pt idx="19">
                  <c:v>23373.612289776876</c:v>
                </c:pt>
                <c:pt idx="20">
                  <c:v>21338.184168669955</c:v>
                </c:pt>
                <c:pt idx="21">
                  <c:v>21559.783973458696</c:v>
                </c:pt>
                <c:pt idx="22">
                  <c:v>21756.034384438135</c:v>
                </c:pt>
                <c:pt idx="23">
                  <c:v>21958.90461147164</c:v>
                </c:pt>
                <c:pt idx="24">
                  <c:v>22190.460266521983</c:v>
                </c:pt>
                <c:pt idx="25">
                  <c:v>22465.413240807669</c:v>
                </c:pt>
                <c:pt idx="26">
                  <c:v>22746.223327712982</c:v>
                </c:pt>
                <c:pt idx="27">
                  <c:v>23052.986839703783</c:v>
                </c:pt>
                <c:pt idx="28">
                  <c:v>23388.234417856129</c:v>
                </c:pt>
                <c:pt idx="29">
                  <c:v>23783.010783673784</c:v>
                </c:pt>
                <c:pt idx="30">
                  <c:v>24165.130993905077</c:v>
                </c:pt>
                <c:pt idx="31">
                  <c:v>24503.17673725681</c:v>
                </c:pt>
                <c:pt idx="32">
                  <c:v>24846.225228228242</c:v>
                </c:pt>
                <c:pt idx="33">
                  <c:v>25190.364741786521</c:v>
                </c:pt>
                <c:pt idx="34">
                  <c:v>25531.719849528461</c:v>
                </c:pt>
                <c:pt idx="35">
                  <c:v>25804.191081967136</c:v>
                </c:pt>
                <c:pt idx="36">
                  <c:v>26080.467739446201</c:v>
                </c:pt>
                <c:pt idx="37">
                  <c:v>26382.639742708918</c:v>
                </c:pt>
                <c:pt idx="38">
                  <c:v>26696.10580012999</c:v>
                </c:pt>
                <c:pt idx="39">
                  <c:v>26974.571667957945</c:v>
                </c:pt>
                <c:pt idx="40">
                  <c:v>27243.243579974773</c:v>
                </c:pt>
                <c:pt idx="41">
                  <c:v>27596.141306970516</c:v>
                </c:pt>
                <c:pt idx="42">
                  <c:v>27965.311298506913</c:v>
                </c:pt>
                <c:pt idx="43">
                  <c:v>28357.348409319588</c:v>
                </c:pt>
                <c:pt idx="44">
                  <c:v>28767.714280817308</c:v>
                </c:pt>
                <c:pt idx="45">
                  <c:v>29211.031525233302</c:v>
                </c:pt>
                <c:pt idx="46">
                  <c:v>29671.52471252497</c:v>
                </c:pt>
                <c:pt idx="47">
                  <c:v>30145.810111347251</c:v>
                </c:pt>
                <c:pt idx="48">
                  <c:v>30594.079984115844</c:v>
                </c:pt>
                <c:pt idx="49">
                  <c:v>31057.95757641449</c:v>
                </c:pt>
                <c:pt idx="50">
                  <c:v>31545.369468291457</c:v>
                </c:pt>
              </c:numCache>
            </c:numRef>
          </c:val>
          <c:extLst>
            <c:ext xmlns:c16="http://schemas.microsoft.com/office/drawing/2014/chart" uri="{C3380CC4-5D6E-409C-BE32-E72D297353CC}">
              <c16:uniqueId val="{00000000-2D26-4177-8A16-4D1FE8C89A7C}"/>
            </c:ext>
          </c:extLst>
        </c:ser>
        <c:ser>
          <c:idx val="1"/>
          <c:order val="1"/>
          <c:tx>
            <c:strRef>
              <c:f>'Emissions summary'!$C$59</c:f>
              <c:strCache>
                <c:ptCount val="1"/>
                <c:pt idx="0">
                  <c:v>Manure CH4</c:v>
                </c:pt>
              </c:strCache>
            </c:strRef>
          </c:tx>
          <c:spPr>
            <a:solidFill>
              <a:schemeClr val="accent2"/>
            </a:solidFill>
            <a:ln>
              <a:noFill/>
            </a:ln>
            <a:effectLst/>
          </c:spPr>
          <c:cat>
            <c:numRef>
              <c:extLst>
                <c:ext xmlns:c15="http://schemas.microsoft.com/office/drawing/2012/chart" uri="{02D57815-91ED-43cb-92C2-25804820EDAC}">
                  <c15:fullRef>
                    <c15:sqref>'Emissions summary'!$F$57:$BN$57</c15:sqref>
                  </c15:fullRef>
                </c:ext>
              </c:extLst>
              <c:f>'Emissions summary'!$P$57:$BN$57</c:f>
              <c:numCache>
                <c:formatCode>General</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extLst>
                <c:ext xmlns:c15="http://schemas.microsoft.com/office/drawing/2012/chart" uri="{02D57815-91ED-43cb-92C2-25804820EDAC}">
                  <c15:fullRef>
                    <c15:sqref>'Emissions summary'!$F$59:$BN$59</c15:sqref>
                  </c15:fullRef>
                </c:ext>
              </c:extLst>
              <c:f>'Emissions summary'!$P$59:$BN$59</c:f>
              <c:numCache>
                <c:formatCode>General</c:formatCode>
                <c:ptCount val="51"/>
                <c:pt idx="0">
                  <c:v>762.23830549258651</c:v>
                </c:pt>
                <c:pt idx="1">
                  <c:v>769.66043942752947</c:v>
                </c:pt>
                <c:pt idx="2">
                  <c:v>755.24670561009475</c:v>
                </c:pt>
                <c:pt idx="3">
                  <c:v>721.45490015224073</c:v>
                </c:pt>
                <c:pt idx="4">
                  <c:v>716.39216959899204</c:v>
                </c:pt>
                <c:pt idx="5">
                  <c:v>729.01852866445677</c:v>
                </c:pt>
                <c:pt idx="6">
                  <c:v>720.39066924724523</c:v>
                </c:pt>
                <c:pt idx="7">
                  <c:v>731.06474952281167</c:v>
                </c:pt>
                <c:pt idx="8">
                  <c:v>761.20306942751586</c:v>
                </c:pt>
                <c:pt idx="9">
                  <c:v>763.02344219117026</c:v>
                </c:pt>
                <c:pt idx="10">
                  <c:v>758.88138838781094</c:v>
                </c:pt>
                <c:pt idx="11">
                  <c:v>751.05641756570367</c:v>
                </c:pt>
                <c:pt idx="12">
                  <c:v>773.79124598892474</c:v>
                </c:pt>
                <c:pt idx="13">
                  <c:v>776.96238278948465</c:v>
                </c:pt>
                <c:pt idx="14">
                  <c:v>775.73506637710193</c:v>
                </c:pt>
                <c:pt idx="15">
                  <c:v>771.38127397172786</c:v>
                </c:pt>
                <c:pt idx="16">
                  <c:v>763.79650640050841</c:v>
                </c:pt>
                <c:pt idx="17">
                  <c:v>761.23282634439693</c:v>
                </c:pt>
                <c:pt idx="18">
                  <c:v>758.01442212486722</c:v>
                </c:pt>
                <c:pt idx="19">
                  <c:v>754.74387610643169</c:v>
                </c:pt>
                <c:pt idx="20">
                  <c:v>682.13543217636538</c:v>
                </c:pt>
                <c:pt idx="21">
                  <c:v>689.4808911680974</c:v>
                </c:pt>
                <c:pt idx="22">
                  <c:v>695.9227365564509</c:v>
                </c:pt>
                <c:pt idx="23">
                  <c:v>702.66861888003075</c:v>
                </c:pt>
                <c:pt idx="24">
                  <c:v>710.55308703233288</c:v>
                </c:pt>
                <c:pt idx="25">
                  <c:v>720.13421773481775</c:v>
                </c:pt>
                <c:pt idx="26">
                  <c:v>730.31436146105329</c:v>
                </c:pt>
                <c:pt idx="27">
                  <c:v>741.53268283913269</c:v>
                </c:pt>
                <c:pt idx="28">
                  <c:v>753.88794665013927</c:v>
                </c:pt>
                <c:pt idx="29">
                  <c:v>768.56216498062258</c:v>
                </c:pt>
                <c:pt idx="30">
                  <c:v>782.81937670772231</c:v>
                </c:pt>
                <c:pt idx="31">
                  <c:v>800.58383135986765</c:v>
                </c:pt>
                <c:pt idx="32">
                  <c:v>818.91907827943737</c:v>
                </c:pt>
                <c:pt idx="33">
                  <c:v>837.69226654992542</c:v>
                </c:pt>
                <c:pt idx="34">
                  <c:v>856.76780379193451</c:v>
                </c:pt>
                <c:pt idx="35">
                  <c:v>873.54023765964678</c:v>
                </c:pt>
                <c:pt idx="36">
                  <c:v>891.0960686725748</c:v>
                </c:pt>
                <c:pt idx="37">
                  <c:v>910.11164817419774</c:v>
                </c:pt>
                <c:pt idx="38">
                  <c:v>930.03893307163082</c:v>
                </c:pt>
                <c:pt idx="39">
                  <c:v>949.00671063466416</c:v>
                </c:pt>
                <c:pt idx="40">
                  <c:v>968.0396325138953</c:v>
                </c:pt>
                <c:pt idx="41">
                  <c:v>987.73250560720521</c:v>
                </c:pt>
                <c:pt idx="42">
                  <c:v>1008.4173770451076</c:v>
                </c:pt>
                <c:pt idx="43">
                  <c:v>1030.3960044782559</c:v>
                </c:pt>
                <c:pt idx="44">
                  <c:v>1053.5045128230779</c:v>
                </c:pt>
                <c:pt idx="45">
                  <c:v>1078.3961418823992</c:v>
                </c:pt>
                <c:pt idx="46">
                  <c:v>1104.6542056974608</c:v>
                </c:pt>
                <c:pt idx="47">
                  <c:v>1131.938716360743</c:v>
                </c:pt>
                <c:pt idx="48">
                  <c:v>1158.5373178848338</c:v>
                </c:pt>
                <c:pt idx="49">
                  <c:v>1186.2739715179196</c:v>
                </c:pt>
                <c:pt idx="50">
                  <c:v>1215.5307703356702</c:v>
                </c:pt>
              </c:numCache>
            </c:numRef>
          </c:val>
          <c:extLst>
            <c:ext xmlns:c16="http://schemas.microsoft.com/office/drawing/2014/chart" uri="{C3380CC4-5D6E-409C-BE32-E72D297353CC}">
              <c16:uniqueId val="{00000001-2D26-4177-8A16-4D1FE8C89A7C}"/>
            </c:ext>
          </c:extLst>
        </c:ser>
        <c:ser>
          <c:idx val="2"/>
          <c:order val="2"/>
          <c:tx>
            <c:strRef>
              <c:f>'Emissions summary'!$C$60</c:f>
              <c:strCache>
                <c:ptCount val="1"/>
                <c:pt idx="0">
                  <c:v>Manure N2O</c:v>
                </c:pt>
              </c:strCache>
            </c:strRef>
          </c:tx>
          <c:spPr>
            <a:solidFill>
              <a:schemeClr val="accent3"/>
            </a:solidFill>
            <a:ln>
              <a:noFill/>
            </a:ln>
            <a:effectLst/>
          </c:spPr>
          <c:cat>
            <c:numRef>
              <c:extLst>
                <c:ext xmlns:c15="http://schemas.microsoft.com/office/drawing/2012/chart" uri="{02D57815-91ED-43cb-92C2-25804820EDAC}">
                  <c15:fullRef>
                    <c15:sqref>'Emissions summary'!$F$57:$BN$57</c15:sqref>
                  </c15:fullRef>
                </c:ext>
              </c:extLst>
              <c:f>'Emissions summary'!$P$57:$BN$57</c:f>
              <c:numCache>
                <c:formatCode>General</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extLst>
                <c:ext xmlns:c15="http://schemas.microsoft.com/office/drawing/2012/chart" uri="{02D57815-91ED-43cb-92C2-25804820EDAC}">
                  <c15:fullRef>
                    <c15:sqref>'Emissions summary'!$F$60:$BN$60</c15:sqref>
                  </c15:fullRef>
                </c:ext>
              </c:extLst>
              <c:f>'Emissions summary'!$P$60:$BN$60</c:f>
              <c:numCache>
                <c:formatCode>General</c:formatCode>
                <c:ptCount val="51"/>
                <c:pt idx="0">
                  <c:v>1372.4487383044614</c:v>
                </c:pt>
                <c:pt idx="1">
                  <c:v>1356.5221314435626</c:v>
                </c:pt>
                <c:pt idx="2">
                  <c:v>1396.8463052232266</c:v>
                </c:pt>
                <c:pt idx="3">
                  <c:v>1373.0665004626433</c:v>
                </c:pt>
                <c:pt idx="4">
                  <c:v>1378.5802594390798</c:v>
                </c:pt>
                <c:pt idx="5">
                  <c:v>1425.1971500061302</c:v>
                </c:pt>
                <c:pt idx="6">
                  <c:v>1466.623959325211</c:v>
                </c:pt>
                <c:pt idx="7">
                  <c:v>1512.7966811111032</c:v>
                </c:pt>
                <c:pt idx="8">
                  <c:v>1539.5804780764847</c:v>
                </c:pt>
                <c:pt idx="9">
                  <c:v>1507.0434874225361</c:v>
                </c:pt>
                <c:pt idx="10">
                  <c:v>1516.5605848321243</c:v>
                </c:pt>
                <c:pt idx="11">
                  <c:v>1570.0225026545761</c:v>
                </c:pt>
                <c:pt idx="12">
                  <c:v>1612.1664621993448</c:v>
                </c:pt>
                <c:pt idx="13">
                  <c:v>1637.638561233151</c:v>
                </c:pt>
                <c:pt idx="14">
                  <c:v>1651.2535712791498</c:v>
                </c:pt>
                <c:pt idx="15">
                  <c:v>1656.0895223911207</c:v>
                </c:pt>
                <c:pt idx="16">
                  <c:v>1651.7097045684916</c:v>
                </c:pt>
                <c:pt idx="17">
                  <c:v>1659.891189589501</c:v>
                </c:pt>
                <c:pt idx="18">
                  <c:v>1665.8518341339941</c:v>
                </c:pt>
                <c:pt idx="19">
                  <c:v>1671.206580090161</c:v>
                </c:pt>
                <c:pt idx="20">
                  <c:v>1487.1292748606763</c:v>
                </c:pt>
                <c:pt idx="21">
                  <c:v>1522.6184777841961</c:v>
                </c:pt>
                <c:pt idx="22">
                  <c:v>1555.7758544349881</c:v>
                </c:pt>
                <c:pt idx="23">
                  <c:v>1589.9341310424729</c:v>
                </c:pt>
                <c:pt idx="24">
                  <c:v>1627.4936765417754</c:v>
                </c:pt>
                <c:pt idx="25">
                  <c:v>1670.1498329536751</c:v>
                </c:pt>
                <c:pt idx="26">
                  <c:v>1715.2041443294261</c:v>
                </c:pt>
                <c:pt idx="27">
                  <c:v>1763.6822673087927</c:v>
                </c:pt>
                <c:pt idx="28">
                  <c:v>1815.9657180363897</c:v>
                </c:pt>
                <c:pt idx="29">
                  <c:v>1875.6487514283649</c:v>
                </c:pt>
                <c:pt idx="30">
                  <c:v>1934.761254764155</c:v>
                </c:pt>
                <c:pt idx="31">
                  <c:v>2003.386952420125</c:v>
                </c:pt>
                <c:pt idx="32">
                  <c:v>2074.5068251184071</c:v>
                </c:pt>
                <c:pt idx="33">
                  <c:v>2147.7680121377116</c:v>
                </c:pt>
                <c:pt idx="34">
                  <c:v>2222.7974903634363</c:v>
                </c:pt>
                <c:pt idx="35">
                  <c:v>2291.5613828897003</c:v>
                </c:pt>
                <c:pt idx="36">
                  <c:v>2363.8137468726463</c:v>
                </c:pt>
                <c:pt idx="37">
                  <c:v>2441.4870045662569</c:v>
                </c:pt>
                <c:pt idx="38">
                  <c:v>2522.9626081801971</c:v>
                </c:pt>
                <c:pt idx="39">
                  <c:v>2602.3508690371432</c:v>
                </c:pt>
                <c:pt idx="40">
                  <c:v>2682.8928638165462</c:v>
                </c:pt>
                <c:pt idx="41">
                  <c:v>2768.0383938379655</c:v>
                </c:pt>
                <c:pt idx="42">
                  <c:v>2857.493130099017</c:v>
                </c:pt>
                <c:pt idx="43">
                  <c:v>2952.3427242152288</c:v>
                </c:pt>
                <c:pt idx="44">
                  <c:v>3052.1614612663811</c:v>
                </c:pt>
                <c:pt idx="45">
                  <c:v>3159.2386295633237</c:v>
                </c:pt>
                <c:pt idx="46">
                  <c:v>3272.6107041402406</c:v>
                </c:pt>
                <c:pt idx="47">
                  <c:v>3390.9799792924796</c:v>
                </c:pt>
                <c:pt idx="48">
                  <c:v>3508.5953818783287</c:v>
                </c:pt>
                <c:pt idx="49">
                  <c:v>3631.7129908716497</c:v>
                </c:pt>
                <c:pt idx="50">
                  <c:v>3761.7764968380484</c:v>
                </c:pt>
              </c:numCache>
            </c:numRef>
          </c:val>
          <c:extLst>
            <c:ext xmlns:c16="http://schemas.microsoft.com/office/drawing/2014/chart" uri="{C3380CC4-5D6E-409C-BE32-E72D297353CC}">
              <c16:uniqueId val="{00000002-2D26-4177-8A16-4D1FE8C89A7C}"/>
            </c:ext>
          </c:extLst>
        </c:ser>
        <c:ser>
          <c:idx val="3"/>
          <c:order val="3"/>
          <c:tx>
            <c:strRef>
              <c:f>'Emissions summary'!$C$61</c:f>
              <c:strCache>
                <c:ptCount val="1"/>
                <c:pt idx="0">
                  <c:v>Biomass burning CH4</c:v>
                </c:pt>
              </c:strCache>
            </c:strRef>
          </c:tx>
          <c:spPr>
            <a:solidFill>
              <a:schemeClr val="accent4"/>
            </a:solidFill>
            <a:ln>
              <a:noFill/>
            </a:ln>
            <a:effectLst/>
          </c:spPr>
          <c:cat>
            <c:numRef>
              <c:extLst>
                <c:ext xmlns:c15="http://schemas.microsoft.com/office/drawing/2012/chart" uri="{02D57815-91ED-43cb-92C2-25804820EDAC}">
                  <c15:fullRef>
                    <c15:sqref>'Emissions summary'!$F$57:$BN$57</c15:sqref>
                  </c15:fullRef>
                </c:ext>
              </c:extLst>
              <c:f>'Emissions summary'!$P$57:$BN$57</c:f>
              <c:numCache>
                <c:formatCode>General</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extLst>
                <c:ext xmlns:c15="http://schemas.microsoft.com/office/drawing/2012/chart" uri="{02D57815-91ED-43cb-92C2-25804820EDAC}">
                  <c15:fullRef>
                    <c15:sqref>'Emissions summary'!$F$61:$BN$61</c15:sqref>
                  </c15:fullRef>
                </c:ext>
              </c:extLst>
              <c:f>'Emissions summary'!$P$61:$BN$61</c:f>
              <c:numCache>
                <c:formatCode>General</c:formatCode>
                <c:ptCount val="51"/>
                <c:pt idx="0">
                  <c:v>1103.4776992955053</c:v>
                </c:pt>
                <c:pt idx="1">
                  <c:v>1282.5517441798665</c:v>
                </c:pt>
                <c:pt idx="2">
                  <c:v>1288.9176046937982</c:v>
                </c:pt>
                <c:pt idx="3">
                  <c:v>1011.4345809085878</c:v>
                </c:pt>
                <c:pt idx="4">
                  <c:v>883.38003872679235</c:v>
                </c:pt>
                <c:pt idx="5">
                  <c:v>1412.334298727088</c:v>
                </c:pt>
                <c:pt idx="6">
                  <c:v>1236.8838978672777</c:v>
                </c:pt>
                <c:pt idx="7">
                  <c:v>1218.5771221263838</c:v>
                </c:pt>
                <c:pt idx="8">
                  <c:v>1139.8644942847</c:v>
                </c:pt>
                <c:pt idx="9">
                  <c:v>1078.8713756473658</c:v>
                </c:pt>
                <c:pt idx="10">
                  <c:v>1107.055106514</c:v>
                </c:pt>
                <c:pt idx="11">
                  <c:v>1093.3943713178221</c:v>
                </c:pt>
                <c:pt idx="12">
                  <c:v>916.39904428073066</c:v>
                </c:pt>
                <c:pt idx="13">
                  <c:v>957.70927900519757</c:v>
                </c:pt>
                <c:pt idx="14">
                  <c:v>944.27038684966465</c:v>
                </c:pt>
                <c:pt idx="15">
                  <c:v>931.78327853413111</c:v>
                </c:pt>
                <c:pt idx="16">
                  <c:v>941.79408509859809</c:v>
                </c:pt>
                <c:pt idx="17">
                  <c:v>950.68729182306481</c:v>
                </c:pt>
                <c:pt idx="18">
                  <c:v>953.20321518753167</c:v>
                </c:pt>
                <c:pt idx="19">
                  <c:v>956.763261286947</c:v>
                </c:pt>
                <c:pt idx="20">
                  <c:v>960.32330738636199</c:v>
                </c:pt>
                <c:pt idx="21">
                  <c:v>963.88335348577709</c:v>
                </c:pt>
                <c:pt idx="22">
                  <c:v>967.44339958519208</c:v>
                </c:pt>
                <c:pt idx="23">
                  <c:v>971.0034456846073</c:v>
                </c:pt>
                <c:pt idx="24">
                  <c:v>974.56349178402229</c:v>
                </c:pt>
                <c:pt idx="25">
                  <c:v>978.12353788343751</c:v>
                </c:pt>
                <c:pt idx="26">
                  <c:v>981.68358398285261</c:v>
                </c:pt>
                <c:pt idx="27">
                  <c:v>985.2436300822676</c:v>
                </c:pt>
                <c:pt idx="28">
                  <c:v>988.8036761816827</c:v>
                </c:pt>
                <c:pt idx="29">
                  <c:v>992.36372228109781</c:v>
                </c:pt>
                <c:pt idx="30">
                  <c:v>995.92376838051302</c:v>
                </c:pt>
                <c:pt idx="31">
                  <c:v>999.27215253115673</c:v>
                </c:pt>
                <c:pt idx="32">
                  <c:v>1002.6205366818004</c:v>
                </c:pt>
                <c:pt idx="33">
                  <c:v>1005.9689208324443</c:v>
                </c:pt>
                <c:pt idx="34">
                  <c:v>1009.317304983088</c:v>
                </c:pt>
                <c:pt idx="35">
                  <c:v>1012.6656891337318</c:v>
                </c:pt>
                <c:pt idx="36">
                  <c:v>1016.0140732843756</c:v>
                </c:pt>
                <c:pt idx="37">
                  <c:v>1019.3624574350195</c:v>
                </c:pt>
                <c:pt idx="38">
                  <c:v>1022.710841585663</c:v>
                </c:pt>
                <c:pt idx="39">
                  <c:v>1025.7736963097952</c:v>
                </c:pt>
                <c:pt idx="40">
                  <c:v>1028.836551033927</c:v>
                </c:pt>
                <c:pt idx="41">
                  <c:v>1031.8994057580592</c:v>
                </c:pt>
                <c:pt idx="42">
                  <c:v>1034.9622604821907</c:v>
                </c:pt>
                <c:pt idx="43">
                  <c:v>1038.0251152063229</c:v>
                </c:pt>
                <c:pt idx="44">
                  <c:v>1041.0879699304548</c:v>
                </c:pt>
                <c:pt idx="45">
                  <c:v>1044.1508246545868</c:v>
                </c:pt>
                <c:pt idx="46">
                  <c:v>1047.2136793787188</c:v>
                </c:pt>
                <c:pt idx="47">
                  <c:v>1050.2765341028507</c:v>
                </c:pt>
                <c:pt idx="48">
                  <c:v>1053.3393888269827</c:v>
                </c:pt>
                <c:pt idx="49">
                  <c:v>1056.4022435511147</c:v>
                </c:pt>
                <c:pt idx="50">
                  <c:v>1059.4650982752464</c:v>
                </c:pt>
              </c:numCache>
            </c:numRef>
          </c:val>
          <c:extLst>
            <c:ext xmlns:c16="http://schemas.microsoft.com/office/drawing/2014/chart" uri="{C3380CC4-5D6E-409C-BE32-E72D297353CC}">
              <c16:uniqueId val="{00000003-2D26-4177-8A16-4D1FE8C89A7C}"/>
            </c:ext>
          </c:extLst>
        </c:ser>
        <c:ser>
          <c:idx val="4"/>
          <c:order val="4"/>
          <c:tx>
            <c:strRef>
              <c:f>'Emissions summary'!$C$62</c:f>
              <c:strCache>
                <c:ptCount val="1"/>
                <c:pt idx="0">
                  <c:v>Biomass burning N2O</c:v>
                </c:pt>
              </c:strCache>
            </c:strRef>
          </c:tx>
          <c:spPr>
            <a:solidFill>
              <a:schemeClr val="accent5"/>
            </a:solidFill>
            <a:ln>
              <a:noFill/>
            </a:ln>
            <a:effectLst/>
          </c:spPr>
          <c:cat>
            <c:numRef>
              <c:extLst>
                <c:ext xmlns:c15="http://schemas.microsoft.com/office/drawing/2012/chart" uri="{02D57815-91ED-43cb-92C2-25804820EDAC}">
                  <c15:fullRef>
                    <c15:sqref>'Emissions summary'!$F$57:$BN$57</c15:sqref>
                  </c15:fullRef>
                </c:ext>
              </c:extLst>
              <c:f>'Emissions summary'!$P$57:$BN$57</c:f>
              <c:numCache>
                <c:formatCode>General</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extLst>
                <c:ext xmlns:c15="http://schemas.microsoft.com/office/drawing/2012/chart" uri="{02D57815-91ED-43cb-92C2-25804820EDAC}">
                  <c15:fullRef>
                    <c15:sqref>'Emissions summary'!$F$62:$BN$62</c15:sqref>
                  </c15:fullRef>
                </c:ext>
              </c:extLst>
              <c:f>'Emissions summary'!$P$62:$BN$62</c:f>
              <c:numCache>
                <c:formatCode>General</c:formatCode>
                <c:ptCount val="51"/>
                <c:pt idx="0">
                  <c:v>1138.2881924240246</c:v>
                </c:pt>
                <c:pt idx="1">
                  <c:v>1347.8625366593228</c:v>
                </c:pt>
                <c:pt idx="2">
                  <c:v>1328.3690110437451</c:v>
                </c:pt>
                <c:pt idx="3">
                  <c:v>1017.5651134275211</c:v>
                </c:pt>
                <c:pt idx="4">
                  <c:v>914.67644691903695</c:v>
                </c:pt>
                <c:pt idx="5">
                  <c:v>1447.9112474339306</c:v>
                </c:pt>
                <c:pt idx="6">
                  <c:v>1263.4019893034997</c:v>
                </c:pt>
                <c:pt idx="7">
                  <c:v>1217.4357899565925</c:v>
                </c:pt>
                <c:pt idx="8">
                  <c:v>1180.1818937292605</c:v>
                </c:pt>
                <c:pt idx="9">
                  <c:v>1108.1395844539597</c:v>
                </c:pt>
                <c:pt idx="10">
                  <c:v>1121.7567904983002</c:v>
                </c:pt>
                <c:pt idx="11">
                  <c:v>1111.0832034573957</c:v>
                </c:pt>
                <c:pt idx="12">
                  <c:v>957.90428313424388</c:v>
                </c:pt>
                <c:pt idx="13">
                  <c:v>993.12814482495412</c:v>
                </c:pt>
                <c:pt idx="14">
                  <c:v>983.64299307566409</c:v>
                </c:pt>
                <c:pt idx="15">
                  <c:v>974.93508324637412</c:v>
                </c:pt>
                <c:pt idx="16">
                  <c:v>984.5993308570844</c:v>
                </c:pt>
                <c:pt idx="17">
                  <c:v>993.3509285477943</c:v>
                </c:pt>
                <c:pt idx="18">
                  <c:v>996.89473455850464</c:v>
                </c:pt>
                <c:pt idx="19">
                  <c:v>1001.6941603201909</c:v>
                </c:pt>
                <c:pt idx="20">
                  <c:v>1006.4935860818769</c:v>
                </c:pt>
                <c:pt idx="21">
                  <c:v>1011.2930118435631</c:v>
                </c:pt>
                <c:pt idx="22">
                  <c:v>1016.092437605249</c:v>
                </c:pt>
                <c:pt idx="23">
                  <c:v>1020.8918633669354</c:v>
                </c:pt>
                <c:pt idx="24">
                  <c:v>1025.6912891286215</c:v>
                </c:pt>
                <c:pt idx="25">
                  <c:v>1030.4907148903073</c:v>
                </c:pt>
                <c:pt idx="26">
                  <c:v>1035.2901406519936</c:v>
                </c:pt>
                <c:pt idx="27">
                  <c:v>1040.0895664136797</c:v>
                </c:pt>
                <c:pt idx="28">
                  <c:v>1044.888992175366</c:v>
                </c:pt>
                <c:pt idx="29">
                  <c:v>1049.688417937052</c:v>
                </c:pt>
                <c:pt idx="30">
                  <c:v>1054.4878436987378</c:v>
                </c:pt>
                <c:pt idx="31">
                  <c:v>1059.1536620734259</c:v>
                </c:pt>
                <c:pt idx="32">
                  <c:v>1063.8194804481134</c:v>
                </c:pt>
                <c:pt idx="33">
                  <c:v>1068.4852988228013</c:v>
                </c:pt>
                <c:pt idx="34">
                  <c:v>1073.1511171974894</c:v>
                </c:pt>
                <c:pt idx="35">
                  <c:v>1077.816935572177</c:v>
                </c:pt>
                <c:pt idx="36">
                  <c:v>1082.4827539468647</c:v>
                </c:pt>
                <c:pt idx="37">
                  <c:v>1087.1485723215524</c:v>
                </c:pt>
                <c:pt idx="38">
                  <c:v>1091.8143906962403</c:v>
                </c:pt>
                <c:pt idx="39">
                  <c:v>1096.2470411704533</c:v>
                </c:pt>
                <c:pt idx="40">
                  <c:v>1100.6796916446663</c:v>
                </c:pt>
                <c:pt idx="41">
                  <c:v>1105.1123421188793</c:v>
                </c:pt>
                <c:pt idx="42">
                  <c:v>1109.5449925930925</c:v>
                </c:pt>
                <c:pt idx="43">
                  <c:v>1113.9776430673055</c:v>
                </c:pt>
                <c:pt idx="44">
                  <c:v>1118.4102935415185</c:v>
                </c:pt>
                <c:pt idx="45">
                  <c:v>1122.8429440157317</c:v>
                </c:pt>
                <c:pt idx="46">
                  <c:v>1127.2755944899448</c:v>
                </c:pt>
                <c:pt idx="47">
                  <c:v>1131.7082449641578</c:v>
                </c:pt>
                <c:pt idx="48">
                  <c:v>1136.1408954383708</c:v>
                </c:pt>
                <c:pt idx="49">
                  <c:v>1140.5735459125838</c:v>
                </c:pt>
                <c:pt idx="50">
                  <c:v>1145.0061963867968</c:v>
                </c:pt>
              </c:numCache>
            </c:numRef>
          </c:val>
          <c:extLst>
            <c:ext xmlns:c16="http://schemas.microsoft.com/office/drawing/2014/chart" uri="{C3380CC4-5D6E-409C-BE32-E72D297353CC}">
              <c16:uniqueId val="{00000004-2D26-4177-8A16-4D1FE8C89A7C}"/>
            </c:ext>
          </c:extLst>
        </c:ser>
        <c:ser>
          <c:idx val="5"/>
          <c:order val="5"/>
          <c:tx>
            <c:strRef>
              <c:f>'Emissions summary'!$C$63</c:f>
              <c:strCache>
                <c:ptCount val="1"/>
                <c:pt idx="0">
                  <c:v>Liming</c:v>
                </c:pt>
              </c:strCache>
            </c:strRef>
          </c:tx>
          <c:spPr>
            <a:solidFill>
              <a:schemeClr val="accent6"/>
            </a:solidFill>
            <a:ln>
              <a:noFill/>
            </a:ln>
            <a:effectLst/>
          </c:spPr>
          <c:cat>
            <c:numRef>
              <c:extLst>
                <c:ext xmlns:c15="http://schemas.microsoft.com/office/drawing/2012/chart" uri="{02D57815-91ED-43cb-92C2-25804820EDAC}">
                  <c15:fullRef>
                    <c15:sqref>'Emissions summary'!$F$57:$BN$57</c15:sqref>
                  </c15:fullRef>
                </c:ext>
              </c:extLst>
              <c:f>'Emissions summary'!$P$57:$BN$57</c:f>
              <c:numCache>
                <c:formatCode>General</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extLst>
                <c:ext xmlns:c15="http://schemas.microsoft.com/office/drawing/2012/chart" uri="{02D57815-91ED-43cb-92C2-25804820EDAC}">
                  <c15:fullRef>
                    <c15:sqref>'Emissions summary'!$F$63:$BN$63</c15:sqref>
                  </c15:fullRef>
                </c:ext>
              </c:extLst>
              <c:f>'Emissions summary'!$P$63:$BN$63</c:f>
              <c:numCache>
                <c:formatCode>General</c:formatCode>
                <c:ptCount val="51"/>
                <c:pt idx="0">
                  <c:v>378.2405</c:v>
                </c:pt>
                <c:pt idx="1">
                  <c:v>489.66362500000002</c:v>
                </c:pt>
                <c:pt idx="2">
                  <c:v>672.79437500000006</c:v>
                </c:pt>
                <c:pt idx="3">
                  <c:v>580.13175000000001</c:v>
                </c:pt>
                <c:pt idx="4">
                  <c:v>579.7403333333333</c:v>
                </c:pt>
                <c:pt idx="5">
                  <c:v>266.03683333333333</c:v>
                </c:pt>
                <c:pt idx="6">
                  <c:v>441.42908333333332</c:v>
                </c:pt>
                <c:pt idx="7">
                  <c:v>521.42108333333329</c:v>
                </c:pt>
                <c:pt idx="8">
                  <c:v>655.32637499999998</c:v>
                </c:pt>
                <c:pt idx="9">
                  <c:v>695.56775237855516</c:v>
                </c:pt>
                <c:pt idx="10">
                  <c:v>653.23730656422072</c:v>
                </c:pt>
                <c:pt idx="11">
                  <c:v>722.61220387104663</c:v>
                </c:pt>
                <c:pt idx="12">
                  <c:v>886.46691832724639</c:v>
                </c:pt>
                <c:pt idx="13">
                  <c:v>888.13007321518489</c:v>
                </c:pt>
                <c:pt idx="14">
                  <c:v>891.76991638156767</c:v>
                </c:pt>
                <c:pt idx="15">
                  <c:v>894.55417134916399</c:v>
                </c:pt>
                <c:pt idx="16">
                  <c:v>896.69837553273305</c:v>
                </c:pt>
                <c:pt idx="17">
                  <c:v>898.17359300359647</c:v>
                </c:pt>
                <c:pt idx="18">
                  <c:v>900.46989725432593</c:v>
                </c:pt>
                <c:pt idx="19">
                  <c:v>902.57316140231558</c:v>
                </c:pt>
                <c:pt idx="20">
                  <c:v>904.59790205825095</c:v>
                </c:pt>
                <c:pt idx="21">
                  <c:v>893.14096588919665</c:v>
                </c:pt>
                <c:pt idx="22">
                  <c:v>896.98812675654415</c:v>
                </c:pt>
                <c:pt idx="23">
                  <c:v>900.61918314592731</c:v>
                </c:pt>
                <c:pt idx="24">
                  <c:v>904.27800387898264</c:v>
                </c:pt>
                <c:pt idx="25">
                  <c:v>908.13278048853169</c:v>
                </c:pt>
                <c:pt idx="26">
                  <c:v>912.29434692859604</c:v>
                </c:pt>
                <c:pt idx="27">
                  <c:v>916.52179055629131</c:v>
                </c:pt>
                <c:pt idx="28">
                  <c:v>920.92315021200898</c:v>
                </c:pt>
                <c:pt idx="29">
                  <c:v>925.51488926020909</c:v>
                </c:pt>
                <c:pt idx="30">
                  <c:v>930.52126939527659</c:v>
                </c:pt>
                <c:pt idx="31">
                  <c:v>935.40747983360666</c:v>
                </c:pt>
                <c:pt idx="32">
                  <c:v>940.90186450173564</c:v>
                </c:pt>
                <c:pt idx="33">
                  <c:v>946.45147388466739</c:v>
                </c:pt>
                <c:pt idx="34">
                  <c:v>952.02869730436089</c:v>
                </c:pt>
                <c:pt idx="35">
                  <c:v>957.60677503932789</c:v>
                </c:pt>
                <c:pt idx="36">
                  <c:v>962.71821835850994</c:v>
                </c:pt>
                <c:pt idx="37">
                  <c:v>967.91492690796179</c:v>
                </c:pt>
                <c:pt idx="38">
                  <c:v>973.32240759346337</c:v>
                </c:pt>
                <c:pt idx="39">
                  <c:v>978.83705834511602</c:v>
                </c:pt>
                <c:pt idx="40">
                  <c:v>984.13561529177809</c:v>
                </c:pt>
                <c:pt idx="41">
                  <c:v>989.39761451907123</c:v>
                </c:pt>
                <c:pt idx="42">
                  <c:v>994.71659544231227</c:v>
                </c:pt>
                <c:pt idx="43">
                  <c:v>1000.1498375580049</c:v>
                </c:pt>
                <c:pt idx="44">
                  <c:v>1005.7401262744585</c:v>
                </c:pt>
                <c:pt idx="45">
                  <c:v>1011.4534796507485</c:v>
                </c:pt>
                <c:pt idx="46">
                  <c:v>1017.3845414628061</c:v>
                </c:pt>
                <c:pt idx="47">
                  <c:v>1023.4513496721164</c:v>
                </c:pt>
                <c:pt idx="48">
                  <c:v>1029.6005884210319</c:v>
                </c:pt>
                <c:pt idx="49">
                  <c:v>1035.5741103324806</c:v>
                </c:pt>
                <c:pt idx="50">
                  <c:v>1041.6434767768121</c:v>
                </c:pt>
              </c:numCache>
            </c:numRef>
          </c:val>
          <c:extLst>
            <c:ext xmlns:c16="http://schemas.microsoft.com/office/drawing/2014/chart" uri="{C3380CC4-5D6E-409C-BE32-E72D297353CC}">
              <c16:uniqueId val="{00000005-2D26-4177-8A16-4D1FE8C89A7C}"/>
            </c:ext>
          </c:extLst>
        </c:ser>
        <c:ser>
          <c:idx val="6"/>
          <c:order val="6"/>
          <c:tx>
            <c:strRef>
              <c:f>'Emissions summary'!$C$64</c:f>
              <c:strCache>
                <c:ptCount val="1"/>
                <c:pt idx="0">
                  <c:v>Urea</c:v>
                </c:pt>
              </c:strCache>
            </c:strRef>
          </c:tx>
          <c:spPr>
            <a:solidFill>
              <a:schemeClr val="accent1">
                <a:lumMod val="60000"/>
              </a:schemeClr>
            </a:solidFill>
            <a:ln>
              <a:noFill/>
            </a:ln>
            <a:effectLst/>
          </c:spPr>
          <c:cat>
            <c:numRef>
              <c:extLst>
                <c:ext xmlns:c15="http://schemas.microsoft.com/office/drawing/2012/chart" uri="{02D57815-91ED-43cb-92C2-25804820EDAC}">
                  <c15:fullRef>
                    <c15:sqref>'Emissions summary'!$F$57:$BN$57</c15:sqref>
                  </c15:fullRef>
                </c:ext>
              </c:extLst>
              <c:f>'Emissions summary'!$P$57:$BN$57</c:f>
              <c:numCache>
                <c:formatCode>General</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extLst>
                <c:ext xmlns:c15="http://schemas.microsoft.com/office/drawing/2012/chart" uri="{02D57815-91ED-43cb-92C2-25804820EDAC}">
                  <c15:fullRef>
                    <c15:sqref>'Emissions summary'!$F$64:$BN$64</c15:sqref>
                  </c15:fullRef>
                </c:ext>
              </c:extLst>
              <c:f>'Emissions summary'!$P$64:$BN$64</c:f>
              <c:numCache>
                <c:formatCode>General</c:formatCode>
                <c:ptCount val="51"/>
                <c:pt idx="0">
                  <c:v>297.31791253242642</c:v>
                </c:pt>
                <c:pt idx="1">
                  <c:v>317.95024703732088</c:v>
                </c:pt>
                <c:pt idx="2">
                  <c:v>338.58258154220977</c:v>
                </c:pt>
                <c:pt idx="3">
                  <c:v>359.21491604710423</c:v>
                </c:pt>
                <c:pt idx="4">
                  <c:v>435.89846666666671</c:v>
                </c:pt>
                <c:pt idx="5">
                  <c:v>355.08659999999998</c:v>
                </c:pt>
                <c:pt idx="6">
                  <c:v>393.08573333333334</c:v>
                </c:pt>
                <c:pt idx="7">
                  <c:v>484.55366666666663</c:v>
                </c:pt>
                <c:pt idx="8">
                  <c:v>480.19253333333336</c:v>
                </c:pt>
                <c:pt idx="9">
                  <c:v>380.54426666666666</c:v>
                </c:pt>
                <c:pt idx="10">
                  <c:v>501.48046666666664</c:v>
                </c:pt>
                <c:pt idx="11">
                  <c:v>571.19113333333337</c:v>
                </c:pt>
                <c:pt idx="12">
                  <c:v>470.0955092083982</c:v>
                </c:pt>
                <c:pt idx="13">
                  <c:v>470.05360463465496</c:v>
                </c:pt>
                <c:pt idx="14">
                  <c:v>469.96189575204556</c:v>
                </c:pt>
                <c:pt idx="15">
                  <c:v>469.89174412728971</c:v>
                </c:pt>
                <c:pt idx="16">
                  <c:v>469.83771911555891</c:v>
                </c:pt>
                <c:pt idx="17">
                  <c:v>469.8005497816963</c:v>
                </c:pt>
                <c:pt idx="18">
                  <c:v>469.74269248198868</c:v>
                </c:pt>
                <c:pt idx="19">
                  <c:v>469.68969898858052</c:v>
                </c:pt>
                <c:pt idx="20">
                  <c:v>469.63868396000873</c:v>
                </c:pt>
                <c:pt idx="21">
                  <c:v>469.92735101684696</c:v>
                </c:pt>
                <c:pt idx="22">
                  <c:v>469.83041859194958</c:v>
                </c:pt>
                <c:pt idx="23">
                  <c:v>469.73893109951086</c:v>
                </c:pt>
                <c:pt idx="24">
                  <c:v>469.64674406129018</c:v>
                </c:pt>
                <c:pt idx="25">
                  <c:v>469.54961975141981</c:v>
                </c:pt>
                <c:pt idx="26">
                  <c:v>469.44476561604154</c:v>
                </c:pt>
                <c:pt idx="27">
                  <c:v>469.33825165000826</c:v>
                </c:pt>
                <c:pt idx="28">
                  <c:v>469.22735572467934</c:v>
                </c:pt>
                <c:pt idx="29">
                  <c:v>469.11166303186383</c:v>
                </c:pt>
                <c:pt idx="30">
                  <c:v>468.98552311123592</c:v>
                </c:pt>
                <c:pt idx="31">
                  <c:v>468.86241096628623</c:v>
                </c:pt>
                <c:pt idx="32">
                  <c:v>468.72397536466616</c:v>
                </c:pt>
                <c:pt idx="33">
                  <c:v>468.58414833032333</c:v>
                </c:pt>
                <c:pt idx="34">
                  <c:v>468.4436255373065</c:v>
                </c:pt>
                <c:pt idx="35">
                  <c:v>468.30308121910412</c:v>
                </c:pt>
                <c:pt idx="36">
                  <c:v>468.17429414397589</c:v>
                </c:pt>
                <c:pt idx="37">
                  <c:v>468.04335874029715</c:v>
                </c:pt>
                <c:pt idx="38">
                  <c:v>467.90711275695918</c:v>
                </c:pt>
                <c:pt idx="39">
                  <c:v>467.76816653447167</c:v>
                </c:pt>
                <c:pt idx="40">
                  <c:v>467.63466497552838</c:v>
                </c:pt>
                <c:pt idx="41">
                  <c:v>467.50208451879763</c:v>
                </c:pt>
                <c:pt idx="42">
                  <c:v>467.36806836073987</c:v>
                </c:pt>
                <c:pt idx="43">
                  <c:v>467.23117329669452</c:v>
                </c:pt>
                <c:pt idx="44">
                  <c:v>467.0903213126349</c:v>
                </c:pt>
                <c:pt idx="45">
                  <c:v>466.94636861188889</c:v>
                </c:pt>
                <c:pt idx="46">
                  <c:v>466.79693056563036</c:v>
                </c:pt>
                <c:pt idx="47">
                  <c:v>466.64407227574009</c:v>
                </c:pt>
                <c:pt idx="48">
                  <c:v>466.48913707969359</c:v>
                </c:pt>
                <c:pt idx="49">
                  <c:v>466.3386292158379</c:v>
                </c:pt>
                <c:pt idx="50">
                  <c:v>466.18570646908381</c:v>
                </c:pt>
              </c:numCache>
            </c:numRef>
          </c:val>
          <c:extLst>
            <c:ext xmlns:c16="http://schemas.microsoft.com/office/drawing/2014/chart" uri="{C3380CC4-5D6E-409C-BE32-E72D297353CC}">
              <c16:uniqueId val="{00000006-2D26-4177-8A16-4D1FE8C89A7C}"/>
            </c:ext>
          </c:extLst>
        </c:ser>
        <c:ser>
          <c:idx val="7"/>
          <c:order val="7"/>
          <c:tx>
            <c:strRef>
              <c:f>'Emissions summary'!$C$65</c:f>
              <c:strCache>
                <c:ptCount val="1"/>
                <c:pt idx="0">
                  <c:v>Direct N2O</c:v>
                </c:pt>
              </c:strCache>
            </c:strRef>
          </c:tx>
          <c:spPr>
            <a:solidFill>
              <a:schemeClr val="accent2">
                <a:lumMod val="60000"/>
              </a:schemeClr>
            </a:solidFill>
            <a:ln>
              <a:noFill/>
            </a:ln>
            <a:effectLst/>
          </c:spPr>
          <c:cat>
            <c:numRef>
              <c:extLst>
                <c:ext xmlns:c15="http://schemas.microsoft.com/office/drawing/2012/chart" uri="{02D57815-91ED-43cb-92C2-25804820EDAC}">
                  <c15:fullRef>
                    <c15:sqref>'Emissions summary'!$F$57:$BN$57</c15:sqref>
                  </c15:fullRef>
                </c:ext>
              </c:extLst>
              <c:f>'Emissions summary'!$P$57:$BN$57</c:f>
              <c:numCache>
                <c:formatCode>General</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extLst>
                <c:ext xmlns:c15="http://schemas.microsoft.com/office/drawing/2012/chart" uri="{02D57815-91ED-43cb-92C2-25804820EDAC}">
                  <c15:fullRef>
                    <c15:sqref>'Emissions summary'!$F$65:$BN$65</c15:sqref>
                  </c15:fullRef>
                </c:ext>
              </c:extLst>
              <c:f>'Emissions summary'!$P$65:$BN$65</c:f>
              <c:numCache>
                <c:formatCode>General</c:formatCode>
                <c:ptCount val="51"/>
                <c:pt idx="0">
                  <c:v>17021.790519603233</c:v>
                </c:pt>
                <c:pt idx="1">
                  <c:v>16558.862650160001</c:v>
                </c:pt>
                <c:pt idx="2">
                  <c:v>16957.948472333181</c:v>
                </c:pt>
                <c:pt idx="3">
                  <c:v>16769.907146505077</c:v>
                </c:pt>
                <c:pt idx="4">
                  <c:v>16584.658063779349</c:v>
                </c:pt>
                <c:pt idx="5">
                  <c:v>16201.588190693865</c:v>
                </c:pt>
                <c:pt idx="6">
                  <c:v>16229.541461457171</c:v>
                </c:pt>
                <c:pt idx="7">
                  <c:v>16847.135336493091</c:v>
                </c:pt>
                <c:pt idx="8">
                  <c:v>16894.02920900529</c:v>
                </c:pt>
                <c:pt idx="9">
                  <c:v>16779.254174947899</c:v>
                </c:pt>
                <c:pt idx="10">
                  <c:v>16465.845558736135</c:v>
                </c:pt>
                <c:pt idx="11">
                  <c:v>16468.339195121422</c:v>
                </c:pt>
                <c:pt idx="12">
                  <c:v>17153.111828158046</c:v>
                </c:pt>
                <c:pt idx="13">
                  <c:v>17146.132911272241</c:v>
                </c:pt>
                <c:pt idx="14">
                  <c:v>17073.768964315052</c:v>
                </c:pt>
                <c:pt idx="15">
                  <c:v>16953.967166378519</c:v>
                </c:pt>
                <c:pt idx="16">
                  <c:v>16786.868198863645</c:v>
                </c:pt>
                <c:pt idx="17">
                  <c:v>16690.47541552264</c:v>
                </c:pt>
                <c:pt idx="18">
                  <c:v>16583.692197255616</c:v>
                </c:pt>
                <c:pt idx="19">
                  <c:v>16474.604749496732</c:v>
                </c:pt>
                <c:pt idx="20">
                  <c:v>15415.858401023006</c:v>
                </c:pt>
                <c:pt idx="21">
                  <c:v>15516.097670977959</c:v>
                </c:pt>
                <c:pt idx="22">
                  <c:v>15615.27454129774</c:v>
                </c:pt>
                <c:pt idx="23">
                  <c:v>15717.561384084251</c:v>
                </c:pt>
                <c:pt idx="24">
                  <c:v>15834.514405367492</c:v>
                </c:pt>
                <c:pt idx="25">
                  <c:v>15973.809601908702</c:v>
                </c:pt>
                <c:pt idx="26">
                  <c:v>16116.086758467682</c:v>
                </c:pt>
                <c:pt idx="27">
                  <c:v>16271.54440974946</c:v>
                </c:pt>
                <c:pt idx="28">
                  <c:v>16441.534765825589</c:v>
                </c:pt>
                <c:pt idx="29">
                  <c:v>16641.979407821393</c:v>
                </c:pt>
                <c:pt idx="30">
                  <c:v>16835.931967166794</c:v>
                </c:pt>
                <c:pt idx="31">
                  <c:v>17004.198582612222</c:v>
                </c:pt>
                <c:pt idx="32">
                  <c:v>17174.922472649669</c:v>
                </c:pt>
                <c:pt idx="33">
                  <c:v>17345.628307583673</c:v>
                </c:pt>
                <c:pt idx="34">
                  <c:v>17514.28408366453</c:v>
                </c:pt>
                <c:pt idx="35">
                  <c:v>17647.099495562226</c:v>
                </c:pt>
                <c:pt idx="36">
                  <c:v>17780.779596080807</c:v>
                </c:pt>
                <c:pt idx="37">
                  <c:v>17927.052852009587</c:v>
                </c:pt>
                <c:pt idx="38">
                  <c:v>18078.511859361184</c:v>
                </c:pt>
                <c:pt idx="39">
                  <c:v>18211.500439459345</c:v>
                </c:pt>
                <c:pt idx="40">
                  <c:v>18338.583946401486</c:v>
                </c:pt>
                <c:pt idx="41">
                  <c:v>18509.762183328548</c:v>
                </c:pt>
                <c:pt idx="42">
                  <c:v>18688.535722073328</c:v>
                </c:pt>
                <c:pt idx="43">
                  <c:v>18878.229149136652</c:v>
                </c:pt>
                <c:pt idx="44">
                  <c:v>19076.515291550477</c:v>
                </c:pt>
                <c:pt idx="45">
                  <c:v>19290.676301316245</c:v>
                </c:pt>
                <c:pt idx="46">
                  <c:v>19512.63615586971</c:v>
                </c:pt>
                <c:pt idx="47">
                  <c:v>19740.662149897944</c:v>
                </c:pt>
                <c:pt idx="48">
                  <c:v>19954.654066234758</c:v>
                </c:pt>
                <c:pt idx="49">
                  <c:v>20175.297261249339</c:v>
                </c:pt>
                <c:pt idx="50">
                  <c:v>20406.70319988938</c:v>
                </c:pt>
              </c:numCache>
            </c:numRef>
          </c:val>
          <c:extLst>
            <c:ext xmlns:c16="http://schemas.microsoft.com/office/drawing/2014/chart" uri="{C3380CC4-5D6E-409C-BE32-E72D297353CC}">
              <c16:uniqueId val="{00000007-2D26-4177-8A16-4D1FE8C89A7C}"/>
            </c:ext>
          </c:extLst>
        </c:ser>
        <c:ser>
          <c:idx val="8"/>
          <c:order val="8"/>
          <c:tx>
            <c:strRef>
              <c:f>'Emissions summary'!$C$66</c:f>
              <c:strCache>
                <c:ptCount val="1"/>
                <c:pt idx="0">
                  <c:v>Indirect N2O from MS</c:v>
                </c:pt>
              </c:strCache>
            </c:strRef>
          </c:tx>
          <c:spPr>
            <a:solidFill>
              <a:schemeClr val="accent3">
                <a:lumMod val="60000"/>
              </a:schemeClr>
            </a:solidFill>
            <a:ln>
              <a:noFill/>
            </a:ln>
            <a:effectLst/>
          </c:spPr>
          <c:cat>
            <c:numRef>
              <c:extLst>
                <c:ext xmlns:c15="http://schemas.microsoft.com/office/drawing/2012/chart" uri="{02D57815-91ED-43cb-92C2-25804820EDAC}">
                  <c15:fullRef>
                    <c15:sqref>'Emissions summary'!$F$57:$BN$57</c15:sqref>
                  </c15:fullRef>
                </c:ext>
              </c:extLst>
              <c:f>'Emissions summary'!$P$57:$BN$57</c:f>
              <c:numCache>
                <c:formatCode>General</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extLst>
                <c:ext xmlns:c15="http://schemas.microsoft.com/office/drawing/2012/chart" uri="{02D57815-91ED-43cb-92C2-25804820EDAC}">
                  <c15:fullRef>
                    <c15:sqref>'Emissions summary'!$F$66:$BN$66</c15:sqref>
                  </c15:fullRef>
                </c:ext>
              </c:extLst>
              <c:f>'Emissions summary'!$P$66:$BN$66</c:f>
              <c:numCache>
                <c:formatCode>General</c:formatCode>
                <c:ptCount val="51"/>
                <c:pt idx="0">
                  <c:v>2155.7364466862405</c:v>
                </c:pt>
                <c:pt idx="1">
                  <c:v>2118.7727412938139</c:v>
                </c:pt>
                <c:pt idx="2">
                  <c:v>2149.2536347032101</c:v>
                </c:pt>
                <c:pt idx="3">
                  <c:v>2127.4292286069426</c:v>
                </c:pt>
                <c:pt idx="4">
                  <c:v>2110.5878909746098</c:v>
                </c:pt>
                <c:pt idx="5">
                  <c:v>2072.1483225191987</c:v>
                </c:pt>
                <c:pt idx="6">
                  <c:v>2101.905941836299</c:v>
                </c:pt>
                <c:pt idx="7">
                  <c:v>2151.2208658093541</c:v>
                </c:pt>
                <c:pt idx="8">
                  <c:v>2156.0457121558738</c:v>
                </c:pt>
                <c:pt idx="9">
                  <c:v>2149.2138525216237</c:v>
                </c:pt>
                <c:pt idx="10">
                  <c:v>2105.3949279528888</c:v>
                </c:pt>
                <c:pt idx="11">
                  <c:v>2110.5059697888632</c:v>
                </c:pt>
                <c:pt idx="12">
                  <c:v>2051.0678678345998</c:v>
                </c:pt>
                <c:pt idx="13">
                  <c:v>2051.940895119882</c:v>
                </c:pt>
                <c:pt idx="14">
                  <c:v>2044.779893611696</c:v>
                </c:pt>
                <c:pt idx="15">
                  <c:v>2031.9808792189119</c:v>
                </c:pt>
                <c:pt idx="16">
                  <c:v>2013.5085146859269</c:v>
                </c:pt>
                <c:pt idx="17">
                  <c:v>2003.9762628432791</c:v>
                </c:pt>
                <c:pt idx="18">
                  <c:v>1993.1701016708475</c:v>
                </c:pt>
                <c:pt idx="19">
                  <c:v>1982.1724323787996</c:v>
                </c:pt>
                <c:pt idx="20">
                  <c:v>1852.7442801053066</c:v>
                </c:pt>
                <c:pt idx="21">
                  <c:v>1867.3801667070722</c:v>
                </c:pt>
                <c:pt idx="22">
                  <c:v>1880.7436154622681</c:v>
                </c:pt>
                <c:pt idx="23">
                  <c:v>1894.5953563829098</c:v>
                </c:pt>
                <c:pt idx="24">
                  <c:v>1910.3626485417196</c:v>
                </c:pt>
                <c:pt idx="25">
                  <c:v>1928.9983844953956</c:v>
                </c:pt>
                <c:pt idx="26">
                  <c:v>1947.8320913176492</c:v>
                </c:pt>
                <c:pt idx="27">
                  <c:v>1968.4010602292908</c:v>
                </c:pt>
                <c:pt idx="28">
                  <c:v>1990.8707822731062</c:v>
                </c:pt>
                <c:pt idx="29">
                  <c:v>2017.250280768953</c:v>
                </c:pt>
                <c:pt idx="30">
                  <c:v>2042.8744364216575</c:v>
                </c:pt>
                <c:pt idx="31">
                  <c:v>2066.0139536947859</c:v>
                </c:pt>
                <c:pt idx="32">
                  <c:v>2089.5756028648739</c:v>
                </c:pt>
                <c:pt idx="33">
                  <c:v>2113.2963857884201</c:v>
                </c:pt>
                <c:pt idx="34">
                  <c:v>2136.9251746229447</c:v>
                </c:pt>
                <c:pt idx="35">
                  <c:v>2156.1664233183942</c:v>
                </c:pt>
                <c:pt idx="36">
                  <c:v>2175.5437433806578</c:v>
                </c:pt>
                <c:pt idx="37">
                  <c:v>2196.6920606419421</c:v>
                </c:pt>
                <c:pt idx="38">
                  <c:v>2218.6684160952368</c:v>
                </c:pt>
                <c:pt idx="39">
                  <c:v>2238.4550462328193</c:v>
                </c:pt>
                <c:pt idx="40">
                  <c:v>2257.6867942344484</c:v>
                </c:pt>
                <c:pt idx="41">
                  <c:v>2281.9510290058411</c:v>
                </c:pt>
                <c:pt idx="42">
                  <c:v>2307.350931223104</c:v>
                </c:pt>
                <c:pt idx="43">
                  <c:v>2334.3223857215771</c:v>
                </c:pt>
                <c:pt idx="44">
                  <c:v>2362.5734712786107</c:v>
                </c:pt>
                <c:pt idx="45">
                  <c:v>2393.0658361930518</c:v>
                </c:pt>
                <c:pt idx="46">
                  <c:v>2424.6029961725962</c:v>
                </c:pt>
                <c:pt idx="47">
                  <c:v>2457.1357752696126</c:v>
                </c:pt>
                <c:pt idx="48">
                  <c:v>2488.0520342715931</c:v>
                </c:pt>
                <c:pt idx="49">
                  <c:v>2520.0812011802345</c:v>
                </c:pt>
                <c:pt idx="50">
                  <c:v>2553.7548059589308</c:v>
                </c:pt>
              </c:numCache>
            </c:numRef>
          </c:val>
          <c:extLst>
            <c:ext xmlns:c16="http://schemas.microsoft.com/office/drawing/2014/chart" uri="{C3380CC4-5D6E-409C-BE32-E72D297353CC}">
              <c16:uniqueId val="{00000008-2D26-4177-8A16-4D1FE8C89A7C}"/>
            </c:ext>
          </c:extLst>
        </c:ser>
        <c:ser>
          <c:idx val="9"/>
          <c:order val="9"/>
          <c:tx>
            <c:strRef>
              <c:f>'Emissions summary'!$C$67</c:f>
              <c:strCache>
                <c:ptCount val="1"/>
                <c:pt idx="0">
                  <c:v>Indirect N2O from MM</c:v>
                </c:pt>
              </c:strCache>
            </c:strRef>
          </c:tx>
          <c:spPr>
            <a:solidFill>
              <a:schemeClr val="accent4">
                <a:lumMod val="60000"/>
              </a:schemeClr>
            </a:solidFill>
            <a:ln>
              <a:noFill/>
            </a:ln>
            <a:effectLst/>
          </c:spPr>
          <c:cat>
            <c:numRef>
              <c:extLst>
                <c:ext xmlns:c15="http://schemas.microsoft.com/office/drawing/2012/chart" uri="{02D57815-91ED-43cb-92C2-25804820EDAC}">
                  <c15:fullRef>
                    <c15:sqref>'Emissions summary'!$F$57:$BN$57</c15:sqref>
                  </c15:fullRef>
                </c:ext>
              </c:extLst>
              <c:f>'Emissions summary'!$P$57:$BN$57</c:f>
              <c:numCache>
                <c:formatCode>General</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extLst>
                <c:ext xmlns:c15="http://schemas.microsoft.com/office/drawing/2012/chart" uri="{02D57815-91ED-43cb-92C2-25804820EDAC}">
                  <c15:fullRef>
                    <c15:sqref>'Emissions summary'!$F$67:$BN$67</c15:sqref>
                  </c15:fullRef>
                </c:ext>
              </c:extLst>
              <c:f>'Emissions summary'!$P$67:$BN$67</c:f>
              <c:numCache>
                <c:formatCode>General</c:formatCode>
                <c:ptCount val="51"/>
                <c:pt idx="0">
                  <c:v>416.19353174110165</c:v>
                </c:pt>
                <c:pt idx="1">
                  <c:v>413.8758977418791</c:v>
                </c:pt>
                <c:pt idx="2">
                  <c:v>402.12489933360166</c:v>
                </c:pt>
                <c:pt idx="3">
                  <c:v>382.08437212452515</c:v>
                </c:pt>
                <c:pt idx="4">
                  <c:v>379.738143309794</c:v>
                </c:pt>
                <c:pt idx="5">
                  <c:v>398.98840509467396</c:v>
                </c:pt>
                <c:pt idx="6">
                  <c:v>404.11898883233295</c:v>
                </c:pt>
                <c:pt idx="7">
                  <c:v>412.20171589966418</c:v>
                </c:pt>
                <c:pt idx="8">
                  <c:v>446.09004051714021</c:v>
                </c:pt>
                <c:pt idx="9">
                  <c:v>443.47274862625261</c:v>
                </c:pt>
                <c:pt idx="10">
                  <c:v>446.04525464561482</c:v>
                </c:pt>
                <c:pt idx="11">
                  <c:v>451.47082982836986</c:v>
                </c:pt>
                <c:pt idx="12">
                  <c:v>464.03314025362334</c:v>
                </c:pt>
                <c:pt idx="13">
                  <c:v>470.74692279600737</c:v>
                </c:pt>
                <c:pt idx="14">
                  <c:v>474.75107134393465</c:v>
                </c:pt>
                <c:pt idx="15">
                  <c:v>476.75127722764495</c:v>
                </c:pt>
                <c:pt idx="16">
                  <c:v>476.62760460671797</c:v>
                </c:pt>
                <c:pt idx="17">
                  <c:v>479.53386545418641</c:v>
                </c:pt>
                <c:pt idx="18">
                  <c:v>481.95342822494081</c:v>
                </c:pt>
                <c:pt idx="19">
                  <c:v>484.26748192263403</c:v>
                </c:pt>
                <c:pt idx="20">
                  <c:v>441.36083328369602</c:v>
                </c:pt>
                <c:pt idx="21">
                  <c:v>450.0429781153444</c:v>
                </c:pt>
                <c:pt idx="22">
                  <c:v>458.19979900711405</c:v>
                </c:pt>
                <c:pt idx="23">
                  <c:v>466.62632391489285</c:v>
                </c:pt>
                <c:pt idx="24">
                  <c:v>475.89605825830165</c:v>
                </c:pt>
                <c:pt idx="25">
                  <c:v>486.41489612931849</c:v>
                </c:pt>
                <c:pt idx="26">
                  <c:v>497.45832153775757</c:v>
                </c:pt>
                <c:pt idx="27">
                  <c:v>509.34927835887351</c:v>
                </c:pt>
                <c:pt idx="28">
                  <c:v>522.17948977130879</c:v>
                </c:pt>
                <c:pt idx="29">
                  <c:v>536.81168037231578</c:v>
                </c:pt>
                <c:pt idx="30">
                  <c:v>551.33461072316459</c:v>
                </c:pt>
                <c:pt idx="31">
                  <c:v>568.6173636641762</c:v>
                </c:pt>
                <c:pt idx="32">
                  <c:v>586.55880441360762</c:v>
                </c:pt>
                <c:pt idx="33">
                  <c:v>605.07560614156171</c:v>
                </c:pt>
                <c:pt idx="34">
                  <c:v>624.07908606319859</c:v>
                </c:pt>
                <c:pt idx="35">
                  <c:v>641.62773286659296</c:v>
                </c:pt>
                <c:pt idx="36">
                  <c:v>660.01370639383867</c:v>
                </c:pt>
                <c:pt idx="37">
                  <c:v>679.76971820916287</c:v>
                </c:pt>
                <c:pt idx="38">
                  <c:v>700.50755292860038</c:v>
                </c:pt>
                <c:pt idx="39">
                  <c:v>720.79809329537272</c:v>
                </c:pt>
                <c:pt idx="40">
                  <c:v>741.42764014053023</c:v>
                </c:pt>
                <c:pt idx="41">
                  <c:v>762.83486414126935</c:v>
                </c:pt>
                <c:pt idx="42">
                  <c:v>785.33426557265557</c:v>
                </c:pt>
                <c:pt idx="43">
                  <c:v>809.19309153023119</c:v>
                </c:pt>
                <c:pt idx="44">
                  <c:v>834.31014417537165</c:v>
                </c:pt>
                <c:pt idx="45">
                  <c:v>861.247916256439</c:v>
                </c:pt>
                <c:pt idx="46">
                  <c:v>889.71400032494023</c:v>
                </c:pt>
                <c:pt idx="47">
                  <c:v>919.45359819710052</c:v>
                </c:pt>
                <c:pt idx="48">
                  <c:v>949.05878349660406</c:v>
                </c:pt>
                <c:pt idx="49">
                  <c:v>980.06385156923795</c:v>
                </c:pt>
                <c:pt idx="50">
                  <c:v>1012.8261296420171</c:v>
                </c:pt>
              </c:numCache>
            </c:numRef>
          </c:val>
          <c:extLst>
            <c:ext xmlns:c16="http://schemas.microsoft.com/office/drawing/2014/chart" uri="{C3380CC4-5D6E-409C-BE32-E72D297353CC}">
              <c16:uniqueId val="{00000009-2D26-4177-8A16-4D1FE8C89A7C}"/>
            </c:ext>
          </c:extLst>
        </c:ser>
        <c:dLbls>
          <c:showLegendKey val="0"/>
          <c:showVal val="0"/>
          <c:showCatName val="0"/>
          <c:showSerName val="0"/>
          <c:showPercent val="0"/>
          <c:showBubbleSize val="0"/>
        </c:dLbls>
        <c:axId val="1213528255"/>
        <c:axId val="1213537823"/>
      </c:areaChart>
      <c:catAx>
        <c:axId val="121352825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endParaRPr lang="en-US"/>
          </a:p>
        </c:txPr>
        <c:crossAx val="1213537823"/>
        <c:crosses val="autoZero"/>
        <c:auto val="1"/>
        <c:lblAlgn val="ctr"/>
        <c:lblOffset val="100"/>
        <c:noMultiLvlLbl val="0"/>
      </c:catAx>
      <c:valAx>
        <c:axId val="1213537823"/>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r>
                  <a:rPr lang="en-US" sz="1200" b="1">
                    <a:solidFill>
                      <a:sysClr val="windowText" lastClr="000000"/>
                    </a:solidFill>
                  </a:rPr>
                  <a:t>Emissions (GgCO</a:t>
                </a:r>
                <a:r>
                  <a:rPr lang="en-US" sz="1200" b="1" baseline="-25000">
                    <a:solidFill>
                      <a:sysClr val="windowText" lastClr="000000"/>
                    </a:solidFill>
                  </a:rPr>
                  <a:t>2</a:t>
                </a:r>
                <a:r>
                  <a:rPr lang="en-US" sz="1200" b="1">
                    <a:solidFill>
                      <a:sysClr val="windowText" lastClr="000000"/>
                    </a:solidFill>
                  </a:rPr>
                  <a:t>e)</a:t>
                </a:r>
              </a:p>
            </c:rich>
          </c:tx>
          <c:overlay val="0"/>
          <c:spPr>
            <a:noFill/>
            <a:ln>
              <a:noFill/>
            </a:ln>
            <a:effectLst/>
          </c:spPr>
          <c:txPr>
            <a:bodyPr rot="-540000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endParaRPr lang="en-US"/>
          </a:p>
        </c:txPr>
        <c:crossAx val="1213528255"/>
        <c:crosses val="autoZero"/>
        <c:crossBetween val="midCat"/>
      </c:valAx>
      <c:spPr>
        <a:noFill/>
        <a:ln>
          <a:solidFill>
            <a:schemeClr val="bg1">
              <a:lumMod val="50000"/>
            </a:schemeClr>
          </a:solidFill>
        </a:ln>
        <a:effectLst/>
      </c:spPr>
    </c:plotArea>
    <c:legend>
      <c:legendPos val="b"/>
      <c:overlay val="0"/>
      <c:spPr>
        <a:noFill/>
        <a:ln>
          <a:noFill/>
        </a:ln>
        <a:effectLst/>
      </c:spPr>
      <c:txPr>
        <a:bodyPr rot="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329730566521008"/>
          <c:y val="3.7734511789503676E-2"/>
          <c:w val="0.82212000309612776"/>
          <c:h val="0.70886559008750671"/>
        </c:manualLayout>
      </c:layout>
      <c:lineChart>
        <c:grouping val="standard"/>
        <c:varyColors val="0"/>
        <c:ser>
          <c:idx val="1"/>
          <c:order val="1"/>
          <c:tx>
            <c:strRef>
              <c:f>'Emissions summary'!$E$72</c:f>
              <c:strCache>
                <c:ptCount val="1"/>
                <c:pt idx="0">
                  <c:v>Aggregated non-CO2 emissions (modelled)</c:v>
                </c:pt>
              </c:strCache>
              <c:extLst xmlns:c15="http://schemas.microsoft.com/office/drawing/2012/chart"/>
            </c:strRef>
          </c:tx>
          <c:spPr>
            <a:ln w="28575" cap="rnd">
              <a:solidFill>
                <a:srgbClr val="00B0F0"/>
              </a:solidFill>
              <a:round/>
            </a:ln>
            <a:effectLst/>
          </c:spPr>
          <c:marker>
            <c:symbol val="none"/>
          </c:marker>
          <c:cat>
            <c:numRef>
              <c:extLst>
                <c:ext xmlns:c15="http://schemas.microsoft.com/office/drawing/2012/chart" uri="{02D57815-91ED-43cb-92C2-25804820EDAC}">
                  <c15:fullRef>
                    <c15:sqref>'Emissions summary'!$F$70:$AG$70</c15:sqref>
                  </c15:fullRef>
                </c:ext>
              </c:extLst>
              <c:f>'Emissions summary'!$Z$70:$AG$70</c:f>
              <c:numCache>
                <c:formatCode>General</c:formatCode>
                <c:ptCount val="8"/>
                <c:pt idx="0">
                  <c:v>2010</c:v>
                </c:pt>
                <c:pt idx="1">
                  <c:v>2011</c:v>
                </c:pt>
                <c:pt idx="2">
                  <c:v>2012</c:v>
                </c:pt>
                <c:pt idx="3">
                  <c:v>2013</c:v>
                </c:pt>
                <c:pt idx="4">
                  <c:v>2014</c:v>
                </c:pt>
                <c:pt idx="5">
                  <c:v>2015</c:v>
                </c:pt>
                <c:pt idx="6">
                  <c:v>2016</c:v>
                </c:pt>
                <c:pt idx="7">
                  <c:v>2017</c:v>
                </c:pt>
              </c:numCache>
            </c:numRef>
          </c:cat>
          <c:val>
            <c:numRef>
              <c:extLst>
                <c:ext xmlns:c15="http://schemas.microsoft.com/office/drawing/2012/chart" uri="{02D57815-91ED-43cb-92C2-25804820EDAC}">
                  <c15:fullRef>
                    <c15:sqref>'Emissions summary'!$F$72:$AG$72</c15:sqref>
                  </c15:fullRef>
                </c:ext>
              </c:extLst>
              <c:f>'Emissions summary'!$Z$72:$AG$72</c:f>
              <c:numCache>
                <c:formatCode>General</c:formatCode>
                <c:ptCount val="8"/>
                <c:pt idx="0">
                  <c:v>22400.815411577827</c:v>
                </c:pt>
                <c:pt idx="1">
                  <c:v>22528.596906718252</c:v>
                </c:pt>
                <c:pt idx="2">
                  <c:v>22899.078591196892</c:v>
                </c:pt>
                <c:pt idx="3">
                  <c:v>22977.841830868121</c:v>
                </c:pt>
                <c:pt idx="4">
                  <c:v>22882.945121329623</c:v>
                </c:pt>
                <c:pt idx="5">
                  <c:v>22733.863600082033</c:v>
                </c:pt>
                <c:pt idx="6">
                  <c:v>22569.933828760266</c:v>
                </c:pt>
                <c:pt idx="7">
                  <c:v>22485.997906976256</c:v>
                </c:pt>
              </c:numCache>
            </c:numRef>
          </c:val>
          <c:smooth val="0"/>
          <c:extLst xmlns:c15="http://schemas.microsoft.com/office/drawing/2012/chart">
            <c:ext xmlns:c16="http://schemas.microsoft.com/office/drawing/2014/chart" uri="{C3380CC4-5D6E-409C-BE32-E72D297353CC}">
              <c16:uniqueId val="{00000001-CC99-489C-98D5-1E78AF22B1ED}"/>
            </c:ext>
          </c:extLst>
        </c:ser>
        <c:ser>
          <c:idx val="4"/>
          <c:order val="4"/>
          <c:tx>
            <c:strRef>
              <c:f>'Emissions summary'!$E$75</c:f>
              <c:strCache>
                <c:ptCount val="1"/>
                <c:pt idx="0">
                  <c:v>Aggregated non-CO2 emissions (2017 inventory)</c:v>
                </c:pt>
              </c:strCache>
              <c:extLst xmlns:c15="http://schemas.microsoft.com/office/drawing/2012/chart"/>
            </c:strRef>
          </c:tx>
          <c:spPr>
            <a:ln w="28575" cap="rnd">
              <a:solidFill>
                <a:schemeClr val="accent2"/>
              </a:solidFill>
              <a:round/>
            </a:ln>
            <a:effectLst/>
          </c:spPr>
          <c:marker>
            <c:symbol val="none"/>
          </c:marker>
          <c:cat>
            <c:numRef>
              <c:extLst>
                <c:ext xmlns:c15="http://schemas.microsoft.com/office/drawing/2012/chart" uri="{02D57815-91ED-43cb-92C2-25804820EDAC}">
                  <c15:fullRef>
                    <c15:sqref>'Emissions summary'!$F$70:$AG$70</c15:sqref>
                  </c15:fullRef>
                </c:ext>
              </c:extLst>
              <c:f>'Emissions summary'!$Z$70:$AG$70</c:f>
              <c:numCache>
                <c:formatCode>General</c:formatCode>
                <c:ptCount val="8"/>
                <c:pt idx="0">
                  <c:v>2010</c:v>
                </c:pt>
                <c:pt idx="1">
                  <c:v>2011</c:v>
                </c:pt>
                <c:pt idx="2">
                  <c:v>2012</c:v>
                </c:pt>
                <c:pt idx="3">
                  <c:v>2013</c:v>
                </c:pt>
                <c:pt idx="4">
                  <c:v>2014</c:v>
                </c:pt>
                <c:pt idx="5">
                  <c:v>2015</c:v>
                </c:pt>
                <c:pt idx="6">
                  <c:v>2016</c:v>
                </c:pt>
                <c:pt idx="7">
                  <c:v>2017</c:v>
                </c:pt>
              </c:numCache>
            </c:numRef>
          </c:cat>
          <c:val>
            <c:numRef>
              <c:extLst>
                <c:ext xmlns:c15="http://schemas.microsoft.com/office/drawing/2012/chart" uri="{02D57815-91ED-43cb-92C2-25804820EDAC}">
                  <c15:fullRef>
                    <c15:sqref>'Emissions summary'!$F$75:$AG$75</c15:sqref>
                  </c15:fullRef>
                </c:ext>
              </c:extLst>
              <c:f>'Emissions summary'!$Z$75:$AG$75</c:f>
              <c:numCache>
                <c:formatCode>General</c:formatCode>
                <c:ptCount val="8"/>
                <c:pt idx="0">
                  <c:v>25130.517014652847</c:v>
                </c:pt>
                <c:pt idx="1">
                  <c:v>25304.85592670933</c:v>
                </c:pt>
                <c:pt idx="2">
                  <c:v>24407.03698205229</c:v>
                </c:pt>
                <c:pt idx="3">
                  <c:v>25679.803908205235</c:v>
                </c:pt>
                <c:pt idx="4">
                  <c:v>25935.14594405461</c:v>
                </c:pt>
                <c:pt idx="5">
                  <c:v>24944.276967369409</c:v>
                </c:pt>
                <c:pt idx="6">
                  <c:v>23249.801068831042</c:v>
                </c:pt>
                <c:pt idx="7">
                  <c:v>23515.861940250066</c:v>
                </c:pt>
              </c:numCache>
            </c:numRef>
          </c:val>
          <c:smooth val="0"/>
          <c:extLst xmlns:c15="http://schemas.microsoft.com/office/drawing/2012/chart">
            <c:ext xmlns:c16="http://schemas.microsoft.com/office/drawing/2014/chart" uri="{C3380CC4-5D6E-409C-BE32-E72D297353CC}">
              <c16:uniqueId val="{00000004-CC99-489C-98D5-1E78AF22B1ED}"/>
            </c:ext>
          </c:extLst>
        </c:ser>
        <c:ser>
          <c:idx val="7"/>
          <c:order val="7"/>
          <c:tx>
            <c:strRef>
              <c:f>'Emissions summary'!$E$78</c:f>
              <c:strCache>
                <c:ptCount val="1"/>
                <c:pt idx="0">
                  <c:v>Aggregated non-CO2 emissions (corrected 2017 inventory)</c:v>
                </c:pt>
              </c:strCache>
              <c:extLst xmlns:c15="http://schemas.microsoft.com/office/drawing/2012/chart"/>
            </c:strRef>
          </c:tx>
          <c:spPr>
            <a:ln w="28575" cap="rnd">
              <a:solidFill>
                <a:srgbClr val="009900"/>
              </a:solidFill>
              <a:round/>
            </a:ln>
            <a:effectLst/>
          </c:spPr>
          <c:marker>
            <c:symbol val="none"/>
          </c:marker>
          <c:cat>
            <c:numRef>
              <c:extLst>
                <c:ext xmlns:c15="http://schemas.microsoft.com/office/drawing/2012/chart" uri="{02D57815-91ED-43cb-92C2-25804820EDAC}">
                  <c15:fullRef>
                    <c15:sqref>'Emissions summary'!$F$70:$AG$70</c15:sqref>
                  </c15:fullRef>
                </c:ext>
              </c:extLst>
              <c:f>'Emissions summary'!$Z$70:$AG$70</c:f>
              <c:numCache>
                <c:formatCode>General</c:formatCode>
                <c:ptCount val="8"/>
                <c:pt idx="0">
                  <c:v>2010</c:v>
                </c:pt>
                <c:pt idx="1">
                  <c:v>2011</c:v>
                </c:pt>
                <c:pt idx="2">
                  <c:v>2012</c:v>
                </c:pt>
                <c:pt idx="3">
                  <c:v>2013</c:v>
                </c:pt>
                <c:pt idx="4">
                  <c:v>2014</c:v>
                </c:pt>
                <c:pt idx="5">
                  <c:v>2015</c:v>
                </c:pt>
                <c:pt idx="6">
                  <c:v>2016</c:v>
                </c:pt>
                <c:pt idx="7">
                  <c:v>2017</c:v>
                </c:pt>
              </c:numCache>
            </c:numRef>
          </c:cat>
          <c:val>
            <c:numRef>
              <c:extLst>
                <c:ext xmlns:c15="http://schemas.microsoft.com/office/drawing/2012/chart" uri="{02D57815-91ED-43cb-92C2-25804820EDAC}">
                  <c15:fullRef>
                    <c15:sqref>'Emissions summary'!$F$78:$AG$78</c15:sqref>
                  </c15:fullRef>
                </c:ext>
              </c:extLst>
              <c:f>'Emissions summary'!$Z$78:$AG$78</c:f>
              <c:numCache>
                <c:formatCode>General</c:formatCode>
                <c:ptCount val="8"/>
                <c:pt idx="0">
                  <c:v>23986.77417374069</c:v>
                </c:pt>
                <c:pt idx="1">
                  <c:v>24215.606096707954</c:v>
                </c:pt>
                <c:pt idx="2">
                  <c:v>23466.796841445379</c:v>
                </c:pt>
                <c:pt idx="3">
                  <c:v>24452.726550481024</c:v>
                </c:pt>
                <c:pt idx="4">
                  <c:v>24798.187695034216</c:v>
                </c:pt>
                <c:pt idx="5">
                  <c:v>23781.729632572271</c:v>
                </c:pt>
                <c:pt idx="6">
                  <c:v>22214.078479972708</c:v>
                </c:pt>
                <c:pt idx="7">
                  <c:v>22369.490596120992</c:v>
                </c:pt>
              </c:numCache>
            </c:numRef>
          </c:val>
          <c:smooth val="0"/>
          <c:extLst xmlns:c15="http://schemas.microsoft.com/office/drawing/2012/chart">
            <c:ext xmlns:c16="http://schemas.microsoft.com/office/drawing/2014/chart" uri="{C3380CC4-5D6E-409C-BE32-E72D297353CC}">
              <c16:uniqueId val="{00000001-6D0C-4AF7-8613-D2BA1200AB6B}"/>
            </c:ext>
          </c:extLst>
        </c:ser>
        <c:dLbls>
          <c:showLegendKey val="0"/>
          <c:showVal val="0"/>
          <c:showCatName val="0"/>
          <c:showSerName val="0"/>
          <c:showPercent val="0"/>
          <c:showBubbleSize val="0"/>
        </c:dLbls>
        <c:smooth val="0"/>
        <c:axId val="453903840"/>
        <c:axId val="453912160"/>
        <c:extLst>
          <c:ext xmlns:c15="http://schemas.microsoft.com/office/drawing/2012/chart" uri="{02D57815-91ED-43cb-92C2-25804820EDAC}">
            <c15:filteredLineSeries>
              <c15:ser>
                <c:idx val="0"/>
                <c:order val="0"/>
                <c:tx>
                  <c:strRef>
                    <c:extLst>
                      <c:ext uri="{02D57815-91ED-43cb-92C2-25804820EDAC}">
                        <c15:formulaRef>
                          <c15:sqref>'Emissions summary'!$E$71</c15:sqref>
                        </c15:formulaRef>
                      </c:ext>
                    </c:extLst>
                    <c:strCache>
                      <c:ptCount val="1"/>
                      <c:pt idx="0">
                        <c:v>Livestock emissions (modelled)</c:v>
                      </c:pt>
                    </c:strCache>
                  </c:strRef>
                </c:tx>
                <c:spPr>
                  <a:ln w="28575" cap="rnd">
                    <a:solidFill>
                      <a:srgbClr val="00B0F0"/>
                    </a:solidFill>
                    <a:round/>
                  </a:ln>
                  <a:effectLst/>
                </c:spPr>
                <c:marker>
                  <c:symbol val="none"/>
                </c:marker>
                <c:cat>
                  <c:numRef>
                    <c:extLst>
                      <c:ext uri="{02D57815-91ED-43cb-92C2-25804820EDAC}">
                        <c15:fullRef>
                          <c15:sqref>'Emissions summary'!$F$70:$AG$70</c15:sqref>
                        </c15:fullRef>
                        <c15:formulaRef>
                          <c15:sqref>'Emissions summary'!$Z$70:$AG$70</c15:sqref>
                        </c15:formulaRef>
                      </c:ext>
                    </c:extLst>
                    <c:numCache>
                      <c:formatCode>General</c:formatCode>
                      <c:ptCount val="8"/>
                      <c:pt idx="0">
                        <c:v>2010</c:v>
                      </c:pt>
                      <c:pt idx="1">
                        <c:v>2011</c:v>
                      </c:pt>
                      <c:pt idx="2">
                        <c:v>2012</c:v>
                      </c:pt>
                      <c:pt idx="3">
                        <c:v>2013</c:v>
                      </c:pt>
                      <c:pt idx="4">
                        <c:v>2014</c:v>
                      </c:pt>
                      <c:pt idx="5">
                        <c:v>2015</c:v>
                      </c:pt>
                      <c:pt idx="6">
                        <c:v>2016</c:v>
                      </c:pt>
                      <c:pt idx="7">
                        <c:v>2017</c:v>
                      </c:pt>
                    </c:numCache>
                  </c:numRef>
                </c:cat>
                <c:val>
                  <c:numRef>
                    <c:extLst>
                      <c:ext uri="{02D57815-91ED-43cb-92C2-25804820EDAC}">
                        <c15:fullRef>
                          <c15:sqref>'Emissions summary'!$F$71:$AG$71</c15:sqref>
                        </c15:fullRef>
                        <c15:formulaRef>
                          <c15:sqref>'Emissions summary'!$Z$71:$AG$71</c15:sqref>
                        </c15:formulaRef>
                      </c:ext>
                    </c:extLst>
                    <c:numCache>
                      <c:formatCode>General</c:formatCode>
                      <c:ptCount val="8"/>
                      <c:pt idx="0">
                        <c:v>27614.256694686857</c:v>
                      </c:pt>
                      <c:pt idx="1">
                        <c:v>27581.637898711942</c:v>
                      </c:pt>
                      <c:pt idx="2">
                        <c:v>26985.247148755694</c:v>
                      </c:pt>
                      <c:pt idx="3">
                        <c:v>27012.91455983651</c:v>
                      </c:pt>
                      <c:pt idx="4">
                        <c:v>26895.677912065359</c:v>
                      </c:pt>
                      <c:pt idx="5">
                        <c:v>26676.489832609634</c:v>
                      </c:pt>
                      <c:pt idx="6">
                        <c:v>26354.537508449375</c:v>
                      </c:pt>
                      <c:pt idx="7">
                        <c:v>26187.305371724982</c:v>
                      </c:pt>
                    </c:numCache>
                  </c:numRef>
                </c:val>
                <c:smooth val="0"/>
                <c:extLst>
                  <c:ext xmlns:c16="http://schemas.microsoft.com/office/drawing/2014/chart" uri="{C3380CC4-5D6E-409C-BE32-E72D297353CC}">
                    <c16:uniqueId val="{00000000-CC99-489C-98D5-1E78AF22B1ED}"/>
                  </c:ext>
                </c:extLst>
              </c15:ser>
            </c15:filteredLineSeries>
            <c15:filteredLineSeries>
              <c15:ser>
                <c:idx val="2"/>
                <c:order val="2"/>
                <c:tx>
                  <c:strRef>
                    <c:extLst xmlns:c15="http://schemas.microsoft.com/office/drawing/2012/chart">
                      <c:ext xmlns:c15="http://schemas.microsoft.com/office/drawing/2012/chart" uri="{02D57815-91ED-43cb-92C2-25804820EDAC}">
                        <c15:formulaRef>
                          <c15:sqref>'Emissions summary'!$E$73</c15:sqref>
                        </c15:formulaRef>
                      </c:ext>
                    </c:extLst>
                    <c:strCache>
                      <c:ptCount val="1"/>
                      <c:pt idx="0">
                        <c:v>Total agriculture (model)</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'Emissions summary'!$F$70:$AG$70</c15:sqref>
                        </c15:fullRef>
                        <c15:formulaRef>
                          <c15:sqref>'Emissions summary'!$Z$70:$AG$70</c15:sqref>
                        </c15:formulaRef>
                      </c:ext>
                    </c:extLst>
                    <c:numCache>
                      <c:formatCode>General</c:formatCode>
                      <c:ptCount val="8"/>
                      <c:pt idx="0">
                        <c:v>2010</c:v>
                      </c:pt>
                      <c:pt idx="1">
                        <c:v>2011</c:v>
                      </c:pt>
                      <c:pt idx="2">
                        <c:v>2012</c:v>
                      </c:pt>
                      <c:pt idx="3">
                        <c:v>2013</c:v>
                      </c:pt>
                      <c:pt idx="4">
                        <c:v>2014</c:v>
                      </c:pt>
                      <c:pt idx="5">
                        <c:v>2015</c:v>
                      </c:pt>
                      <c:pt idx="6">
                        <c:v>2016</c:v>
                      </c:pt>
                      <c:pt idx="7">
                        <c:v>2017</c:v>
                      </c:pt>
                    </c:numCache>
                  </c:numRef>
                </c:cat>
                <c:val>
                  <c:numRef>
                    <c:extLst>
                      <c:ext xmlns:c15="http://schemas.microsoft.com/office/drawing/2012/chart" uri="{02D57815-91ED-43cb-92C2-25804820EDAC}">
                        <c15:fullRef>
                          <c15:sqref>'Emissions summary'!$F$73:$AG$73</c15:sqref>
                        </c15:fullRef>
                        <c15:formulaRef>
                          <c15:sqref>'Emissions summary'!$Z$73:$AG$73</c15:sqref>
                        </c15:formulaRef>
                      </c:ext>
                    </c:extLst>
                    <c:numCache>
                      <c:formatCode>General</c:formatCode>
                      <c:ptCount val="8"/>
                      <c:pt idx="0">
                        <c:v>50015.072106264684</c:v>
                      </c:pt>
                      <c:pt idx="1">
                        <c:v>50110.234805430198</c:v>
                      </c:pt>
                      <c:pt idx="2">
                        <c:v>49884.32573995259</c:v>
                      </c:pt>
                      <c:pt idx="3">
                        <c:v>49990.756390704628</c:v>
                      </c:pt>
                      <c:pt idx="4">
                        <c:v>49778.623033394979</c:v>
                      </c:pt>
                      <c:pt idx="5">
                        <c:v>49410.353432691671</c:v>
                      </c:pt>
                      <c:pt idx="6">
                        <c:v>48924.471337209645</c:v>
                      </c:pt>
                      <c:pt idx="7">
                        <c:v>48673.303278701234</c:v>
                      </c:pt>
                    </c:numCache>
                  </c:numRef>
                </c:val>
                <c:smooth val="0"/>
                <c:extLst xmlns:c15="http://schemas.microsoft.com/office/drawing/2012/chart">
                  <c:ext xmlns:c16="http://schemas.microsoft.com/office/drawing/2014/chart" uri="{C3380CC4-5D6E-409C-BE32-E72D297353CC}">
                    <c16:uniqueId val="{00000002-CC99-489C-98D5-1E78AF22B1ED}"/>
                  </c:ext>
                </c:extLst>
              </c15:ser>
            </c15:filteredLineSeries>
            <c15:filteredLineSeries>
              <c15:ser>
                <c:idx val="3"/>
                <c:order val="3"/>
                <c:tx>
                  <c:strRef>
                    <c:extLst xmlns:c15="http://schemas.microsoft.com/office/drawing/2012/chart">
                      <c:ext xmlns:c15="http://schemas.microsoft.com/office/drawing/2012/chart" uri="{02D57815-91ED-43cb-92C2-25804820EDAC}">
                        <c15:formulaRef>
                          <c15:sqref>'Emissions summary'!$E$74</c15:sqref>
                        </c15:formulaRef>
                      </c:ext>
                    </c:extLst>
                    <c:strCache>
                      <c:ptCount val="1"/>
                      <c:pt idx="0">
                        <c:v>Livestock emissions (2017 inventory)</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'Emissions summary'!$F$70:$AG$70</c15:sqref>
                        </c15:fullRef>
                        <c15:formulaRef>
                          <c15:sqref>'Emissions summary'!$Z$70:$AG$70</c15:sqref>
                        </c15:formulaRef>
                      </c:ext>
                    </c:extLst>
                    <c:numCache>
                      <c:formatCode>General</c:formatCode>
                      <c:ptCount val="8"/>
                      <c:pt idx="0">
                        <c:v>2010</c:v>
                      </c:pt>
                      <c:pt idx="1">
                        <c:v>2011</c:v>
                      </c:pt>
                      <c:pt idx="2">
                        <c:v>2012</c:v>
                      </c:pt>
                      <c:pt idx="3">
                        <c:v>2013</c:v>
                      </c:pt>
                      <c:pt idx="4">
                        <c:v>2014</c:v>
                      </c:pt>
                      <c:pt idx="5">
                        <c:v>2015</c:v>
                      </c:pt>
                      <c:pt idx="6">
                        <c:v>2016</c:v>
                      </c:pt>
                      <c:pt idx="7">
                        <c:v>2017</c:v>
                      </c:pt>
                    </c:numCache>
                  </c:numRef>
                </c:cat>
                <c:val>
                  <c:numRef>
                    <c:extLst>
                      <c:ext xmlns:c15="http://schemas.microsoft.com/office/drawing/2012/chart" uri="{02D57815-91ED-43cb-92C2-25804820EDAC}">
                        <c15:fullRef>
                          <c15:sqref>'Emissions summary'!$F$74:$AG$74</c15:sqref>
                        </c15:fullRef>
                        <c15:formulaRef>
                          <c15:sqref>'Emissions summary'!$Z$74:$AG$74</c15:sqref>
                        </c15:formulaRef>
                      </c:ext>
                    </c:extLst>
                    <c:numCache>
                      <c:formatCode>General</c:formatCode>
                      <c:ptCount val="8"/>
                      <c:pt idx="0">
                        <c:v>29466.291233402069</c:v>
                      </c:pt>
                      <c:pt idx="1">
                        <c:v>29540.386989025857</c:v>
                      </c:pt>
                      <c:pt idx="2">
                        <c:v>28765.723679034749</c:v>
                      </c:pt>
                      <c:pt idx="3">
                        <c:v>29976.162007053368</c:v>
                      </c:pt>
                      <c:pt idx="4">
                        <c:v>29854.259774176113</c:v>
                      </c:pt>
                      <c:pt idx="5">
                        <c:v>29764.794009191111</c:v>
                      </c:pt>
                      <c:pt idx="6">
                        <c:v>28493.468307353363</c:v>
                      </c:pt>
                      <c:pt idx="7">
                        <c:v>28161.291437902692</c:v>
                      </c:pt>
                    </c:numCache>
                  </c:numRef>
                </c:val>
                <c:smooth val="0"/>
                <c:extLst xmlns:c15="http://schemas.microsoft.com/office/drawing/2012/chart">
                  <c:ext xmlns:c16="http://schemas.microsoft.com/office/drawing/2014/chart" uri="{C3380CC4-5D6E-409C-BE32-E72D297353CC}">
                    <c16:uniqueId val="{00000003-CC99-489C-98D5-1E78AF22B1ED}"/>
                  </c:ext>
                </c:extLst>
              </c15:ser>
            </c15:filteredLineSeries>
            <c15:filteredLineSeries>
              <c15:ser>
                <c:idx val="5"/>
                <c:order val="5"/>
                <c:tx>
                  <c:strRef>
                    <c:extLst xmlns:c15="http://schemas.microsoft.com/office/drawing/2012/chart">
                      <c:ext xmlns:c15="http://schemas.microsoft.com/office/drawing/2012/chart" uri="{02D57815-91ED-43cb-92C2-25804820EDAC}">
                        <c15:formulaRef>
                          <c15:sqref>'Emissions summary'!$E$76</c15:sqref>
                        </c15:formulaRef>
                      </c:ext>
                    </c:extLst>
                    <c:strCache>
                      <c:ptCount val="1"/>
                      <c:pt idx="0">
                        <c:v>Total agricuture (original inventory)</c:v>
                      </c:pt>
                    </c:strCache>
                  </c:strRef>
                </c:tx>
                <c:spPr>
                  <a:ln w="28575" cap="rnd">
                    <a:solidFill>
                      <a:srgbClr val="009900"/>
                    </a:solidFill>
                    <a:round/>
                  </a:ln>
                  <a:effectLst/>
                </c:spPr>
                <c:marker>
                  <c:symbol val="none"/>
                </c:marker>
                <c:cat>
                  <c:numRef>
                    <c:extLst>
                      <c:ext xmlns:c15="http://schemas.microsoft.com/office/drawing/2012/chart" uri="{02D57815-91ED-43cb-92C2-25804820EDAC}">
                        <c15:fullRef>
                          <c15:sqref>'Emissions summary'!$F$70:$AG$70</c15:sqref>
                        </c15:fullRef>
                        <c15:formulaRef>
                          <c15:sqref>'Emissions summary'!$Z$70:$AG$70</c15:sqref>
                        </c15:formulaRef>
                      </c:ext>
                    </c:extLst>
                    <c:numCache>
                      <c:formatCode>General</c:formatCode>
                      <c:ptCount val="8"/>
                      <c:pt idx="0">
                        <c:v>2010</c:v>
                      </c:pt>
                      <c:pt idx="1">
                        <c:v>2011</c:v>
                      </c:pt>
                      <c:pt idx="2">
                        <c:v>2012</c:v>
                      </c:pt>
                      <c:pt idx="3">
                        <c:v>2013</c:v>
                      </c:pt>
                      <c:pt idx="4">
                        <c:v>2014</c:v>
                      </c:pt>
                      <c:pt idx="5">
                        <c:v>2015</c:v>
                      </c:pt>
                      <c:pt idx="6">
                        <c:v>2016</c:v>
                      </c:pt>
                      <c:pt idx="7">
                        <c:v>2017</c:v>
                      </c:pt>
                    </c:numCache>
                  </c:numRef>
                </c:cat>
                <c:val>
                  <c:numRef>
                    <c:extLst>
                      <c:ext xmlns:c15="http://schemas.microsoft.com/office/drawing/2012/chart" uri="{02D57815-91ED-43cb-92C2-25804820EDAC}">
                        <c15:fullRef>
                          <c15:sqref>'Emissions summary'!$F$76:$AG$76</c15:sqref>
                        </c15:fullRef>
                        <c15:formulaRef>
                          <c15:sqref>'Emissions summary'!$Z$76:$AG$76</c15:sqref>
                        </c15:formulaRef>
                      </c:ext>
                    </c:extLst>
                    <c:numCache>
                      <c:formatCode>General</c:formatCode>
                      <c:ptCount val="8"/>
                      <c:pt idx="0">
                        <c:v>54596.80824805492</c:v>
                      </c:pt>
                      <c:pt idx="1">
                        <c:v>54845.242915735187</c:v>
                      </c:pt>
                      <c:pt idx="2">
                        <c:v>53172.760661087043</c:v>
                      </c:pt>
                      <c:pt idx="3">
                        <c:v>55655.965915258603</c:v>
                      </c:pt>
                      <c:pt idx="4">
                        <c:v>55789.405718230722</c:v>
                      </c:pt>
                      <c:pt idx="5">
                        <c:v>54709.070976560521</c:v>
                      </c:pt>
                      <c:pt idx="6">
                        <c:v>51743.269376184406</c:v>
                      </c:pt>
                      <c:pt idx="7">
                        <c:v>51677.153378152754</c:v>
                      </c:pt>
                    </c:numCache>
                  </c:numRef>
                </c:val>
                <c:smooth val="0"/>
                <c:extLst xmlns:c15="http://schemas.microsoft.com/office/drawing/2012/chart">
                  <c:ext xmlns:c16="http://schemas.microsoft.com/office/drawing/2014/chart" uri="{C3380CC4-5D6E-409C-BE32-E72D297353CC}">
                    <c16:uniqueId val="{00000005-CC99-489C-98D5-1E78AF22B1ED}"/>
                  </c:ext>
                </c:extLst>
              </c15:ser>
            </c15:filteredLineSeries>
            <c15:filteredLineSeries>
              <c15:ser>
                <c:idx val="6"/>
                <c:order val="6"/>
                <c:tx>
                  <c:strRef>
                    <c:extLst xmlns:c15="http://schemas.microsoft.com/office/drawing/2012/chart">
                      <c:ext xmlns:c15="http://schemas.microsoft.com/office/drawing/2012/chart" uri="{02D57815-91ED-43cb-92C2-25804820EDAC}">
                        <c15:formulaRef>
                          <c15:sqref>'Emissions summary'!$E$77</c15:sqref>
                        </c15:formulaRef>
                      </c:ext>
                    </c:extLst>
                    <c:strCache>
                      <c:ptCount val="1"/>
                      <c:pt idx="0">
                        <c:v>Livestock emissions (corrected 2017 inventory)</c:v>
                      </c:pt>
                    </c:strCache>
                  </c:strRef>
                </c:tx>
                <c:spPr>
                  <a:ln w="28575" cap="rnd">
                    <a:solidFill>
                      <a:srgbClr val="009900"/>
                    </a:solidFill>
                    <a:round/>
                  </a:ln>
                  <a:effectLst/>
                </c:spPr>
                <c:marker>
                  <c:symbol val="none"/>
                </c:marker>
                <c:cat>
                  <c:numRef>
                    <c:extLst>
                      <c:ext xmlns:c15="http://schemas.microsoft.com/office/drawing/2012/chart" uri="{02D57815-91ED-43cb-92C2-25804820EDAC}">
                        <c15:fullRef>
                          <c15:sqref>'Emissions summary'!$F$70:$AG$70</c15:sqref>
                        </c15:fullRef>
                        <c15:formulaRef>
                          <c15:sqref>'Emissions summary'!$Z$70:$AG$70</c15:sqref>
                        </c15:formulaRef>
                      </c:ext>
                    </c:extLst>
                    <c:numCache>
                      <c:formatCode>General</c:formatCode>
                      <c:ptCount val="8"/>
                      <c:pt idx="0">
                        <c:v>2010</c:v>
                      </c:pt>
                      <c:pt idx="1">
                        <c:v>2011</c:v>
                      </c:pt>
                      <c:pt idx="2">
                        <c:v>2012</c:v>
                      </c:pt>
                      <c:pt idx="3">
                        <c:v>2013</c:v>
                      </c:pt>
                      <c:pt idx="4">
                        <c:v>2014</c:v>
                      </c:pt>
                      <c:pt idx="5">
                        <c:v>2015</c:v>
                      </c:pt>
                      <c:pt idx="6">
                        <c:v>2016</c:v>
                      </c:pt>
                      <c:pt idx="7">
                        <c:v>2017</c:v>
                      </c:pt>
                    </c:numCache>
                  </c:numRef>
                </c:cat>
                <c:val>
                  <c:numRef>
                    <c:extLst>
                      <c:ext xmlns:c15="http://schemas.microsoft.com/office/drawing/2012/chart" uri="{02D57815-91ED-43cb-92C2-25804820EDAC}">
                        <c15:fullRef>
                          <c15:sqref>'Emissions summary'!$F$77:$AG$77</c15:sqref>
                        </c15:fullRef>
                        <c15:formulaRef>
                          <c15:sqref>'Emissions summary'!$Z$77:$AG$77</c15:sqref>
                        </c15:formulaRef>
                      </c:ext>
                    </c:extLst>
                    <c:numCache>
                      <c:formatCode>General</c:formatCode>
                      <c:ptCount val="8"/>
                      <c:pt idx="0">
                        <c:v>27664.377940114457</c:v>
                      </c:pt>
                      <c:pt idx="1">
                        <c:v>27801.534910949355</c:v>
                      </c:pt>
                      <c:pt idx="2">
                        <c:v>27190.794316586092</c:v>
                      </c:pt>
                      <c:pt idx="3">
                        <c:v>28125.443821791141</c:v>
                      </c:pt>
                      <c:pt idx="4">
                        <c:v>28132.073619111641</c:v>
                      </c:pt>
                      <c:pt idx="5">
                        <c:v>28022.596440230893</c:v>
                      </c:pt>
                      <c:pt idx="6">
                        <c:v>26770.512864029439</c:v>
                      </c:pt>
                      <c:pt idx="7">
                        <c:v>26272.330661039257</c:v>
                      </c:pt>
                    </c:numCache>
                  </c:numRef>
                </c:val>
                <c:smooth val="0"/>
                <c:extLst xmlns:c15="http://schemas.microsoft.com/office/drawing/2012/chart">
                  <c:ext xmlns:c16="http://schemas.microsoft.com/office/drawing/2014/chart" uri="{C3380CC4-5D6E-409C-BE32-E72D297353CC}">
                    <c16:uniqueId val="{00000000-6D0C-4AF7-8613-D2BA1200AB6B}"/>
                  </c:ext>
                </c:extLst>
              </c15:ser>
            </c15:filteredLineSeries>
            <c15:filteredLineSeries>
              <c15:ser>
                <c:idx val="8"/>
                <c:order val="8"/>
                <c:tx>
                  <c:strRef>
                    <c:extLst xmlns:c15="http://schemas.microsoft.com/office/drawing/2012/chart">
                      <c:ext xmlns:c15="http://schemas.microsoft.com/office/drawing/2012/chart" uri="{02D57815-91ED-43cb-92C2-25804820EDAC}">
                        <c15:formulaRef>
                          <c15:sqref>'Emissions summary'!$E$79</c15:sqref>
                        </c15:formulaRef>
                      </c:ext>
                    </c:extLst>
                    <c:strCache>
                      <c:ptCount val="1"/>
                      <c:pt idx="0">
                        <c:v>Total agricuture (corrected 2017 inventory)</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'Emissions summary'!$F$70:$AG$70</c15:sqref>
                        </c15:fullRef>
                        <c15:formulaRef>
                          <c15:sqref>'Emissions summary'!$Z$70:$AG$70</c15:sqref>
                        </c15:formulaRef>
                      </c:ext>
                    </c:extLst>
                    <c:numCache>
                      <c:formatCode>General</c:formatCode>
                      <c:ptCount val="8"/>
                      <c:pt idx="0">
                        <c:v>2010</c:v>
                      </c:pt>
                      <c:pt idx="1">
                        <c:v>2011</c:v>
                      </c:pt>
                      <c:pt idx="2">
                        <c:v>2012</c:v>
                      </c:pt>
                      <c:pt idx="3">
                        <c:v>2013</c:v>
                      </c:pt>
                      <c:pt idx="4">
                        <c:v>2014</c:v>
                      </c:pt>
                      <c:pt idx="5">
                        <c:v>2015</c:v>
                      </c:pt>
                      <c:pt idx="6">
                        <c:v>2016</c:v>
                      </c:pt>
                      <c:pt idx="7">
                        <c:v>2017</c:v>
                      </c:pt>
                    </c:numCache>
                  </c:numRef>
                </c:cat>
                <c:val>
                  <c:numRef>
                    <c:extLst>
                      <c:ext xmlns:c15="http://schemas.microsoft.com/office/drawing/2012/chart" uri="{02D57815-91ED-43cb-92C2-25804820EDAC}">
                        <c15:fullRef>
                          <c15:sqref>'Emissions summary'!$F$79:$AG$79</c15:sqref>
                        </c15:fullRef>
                        <c15:formulaRef>
                          <c15:sqref>'Emissions summary'!$Z$79:$AG$79</c15:sqref>
                        </c15:formulaRef>
                      </c:ext>
                    </c:extLst>
                    <c:numCache>
                      <c:formatCode>General</c:formatCode>
                      <c:ptCount val="8"/>
                      <c:pt idx="0">
                        <c:v>51651.152113855147</c:v>
                      </c:pt>
                      <c:pt idx="1">
                        <c:v>52017.141007657308</c:v>
                      </c:pt>
                      <c:pt idx="2">
                        <c:v>50657.591158031471</c:v>
                      </c:pt>
                      <c:pt idx="3">
                        <c:v>52578.170372272165</c:v>
                      </c:pt>
                      <c:pt idx="4">
                        <c:v>52930.261314145857</c:v>
                      </c:pt>
                      <c:pt idx="5">
                        <c:v>51804.32607280316</c:v>
                      </c:pt>
                      <c:pt idx="6">
                        <c:v>48984.591344002147</c:v>
                      </c:pt>
                      <c:pt idx="7">
                        <c:v>48641.821257160249</c:v>
                      </c:pt>
                    </c:numCache>
                  </c:numRef>
                </c:val>
                <c:smooth val="0"/>
                <c:extLst xmlns:c15="http://schemas.microsoft.com/office/drawing/2012/chart">
                  <c:ext xmlns:c16="http://schemas.microsoft.com/office/drawing/2014/chart" uri="{C3380CC4-5D6E-409C-BE32-E72D297353CC}">
                    <c16:uniqueId val="{00000002-6D0C-4AF7-8613-D2BA1200AB6B}"/>
                  </c:ext>
                </c:extLst>
              </c15:ser>
            </c15:filteredLineSeries>
          </c:ext>
        </c:extLst>
      </c:lineChart>
      <c:catAx>
        <c:axId val="4539038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endParaRPr lang="en-US"/>
          </a:p>
        </c:txPr>
        <c:crossAx val="453912160"/>
        <c:crosses val="autoZero"/>
        <c:auto val="1"/>
        <c:lblAlgn val="ctr"/>
        <c:lblOffset val="100"/>
        <c:noMultiLvlLbl val="0"/>
      </c:catAx>
      <c:valAx>
        <c:axId val="453912160"/>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r>
                  <a:rPr lang="en-US" sz="1200" b="1">
                    <a:solidFill>
                      <a:sysClr val="windowText" lastClr="000000"/>
                    </a:solidFill>
                  </a:rPr>
                  <a:t>Emissions (GgCo2e)</a:t>
                </a:r>
              </a:p>
            </c:rich>
          </c:tx>
          <c:overlay val="0"/>
          <c:spPr>
            <a:noFill/>
            <a:ln>
              <a:noFill/>
            </a:ln>
            <a:effectLst/>
          </c:spPr>
          <c:txPr>
            <a:bodyPr rot="-540000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endParaRPr lang="en-US"/>
          </a:p>
        </c:txPr>
        <c:crossAx val="453903840"/>
        <c:crosses val="autoZero"/>
        <c:crossBetween val="between"/>
      </c:valAx>
      <c:spPr>
        <a:noFill/>
        <a:ln>
          <a:solidFill>
            <a:schemeClr val="bg1">
              <a:lumMod val="50000"/>
            </a:schemeClr>
          </a:solidFill>
        </a:ln>
        <a:effectLst/>
      </c:spPr>
    </c:plotArea>
    <c:legend>
      <c:legendPos val="b"/>
      <c:layout>
        <c:manualLayout>
          <c:xMode val="edge"/>
          <c:yMode val="edge"/>
          <c:x val="0.11455250399330111"/>
          <c:y val="0.8499483744397186"/>
          <c:w val="0.85847304609712005"/>
          <c:h val="0.13168194219142609"/>
        </c:manualLayout>
      </c:layout>
      <c:overlay val="0"/>
      <c:spPr>
        <a:noFill/>
        <a:ln>
          <a:noFill/>
        </a:ln>
        <a:effectLst/>
      </c:spPr>
      <c:txPr>
        <a:bodyPr rot="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4"/>
          <c:order val="4"/>
          <c:tx>
            <c:strRef>
              <c:f>'Emissions summary'!$E$118</c:f>
              <c:strCache>
                <c:ptCount val="1"/>
                <c:pt idx="0">
                  <c:v>Direct N2O</c:v>
                </c:pt>
              </c:strCache>
            </c:strRef>
          </c:tx>
          <c:spPr>
            <a:ln w="28575" cap="rnd">
              <a:solidFill>
                <a:schemeClr val="accent5"/>
              </a:solidFill>
              <a:round/>
            </a:ln>
            <a:effectLst/>
          </c:spPr>
          <c:marker>
            <c:symbol val="none"/>
          </c:marker>
          <c:cat>
            <c:numRef>
              <c:f>'Emissions summary'!$F$113:$AG$113</c:f>
              <c:numCache>
                <c:formatCode>General</c:formatCode>
                <c:ptCount val="28"/>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numCache>
            </c:numRef>
          </c:cat>
          <c:val>
            <c:numRef>
              <c:f>'Emissions summary'!$F$118:$AG$118</c:f>
              <c:numCache>
                <c:formatCode>General</c:formatCode>
                <c:ptCount val="28"/>
                <c:pt idx="0">
                  <c:v>19504.904423790304</c:v>
                </c:pt>
                <c:pt idx="1">
                  <c:v>20660.917389673377</c:v>
                </c:pt>
                <c:pt idx="2">
                  <c:v>20413.635505827424</c:v>
                </c:pt>
                <c:pt idx="3">
                  <c:v>20401.840953256564</c:v>
                </c:pt>
                <c:pt idx="4">
                  <c:v>20005.189321068094</c:v>
                </c:pt>
                <c:pt idx="5">
                  <c:v>19413.178172066404</c:v>
                </c:pt>
                <c:pt idx="6">
                  <c:v>20236.165839433314</c:v>
                </c:pt>
                <c:pt idx="7">
                  <c:v>20567.076909773743</c:v>
                </c:pt>
                <c:pt idx="8">
                  <c:v>20477.475675482336</c:v>
                </c:pt>
                <c:pt idx="9">
                  <c:v>20440.765105122711</c:v>
                </c:pt>
                <c:pt idx="10">
                  <c:v>20694.986539568359</c:v>
                </c:pt>
                <c:pt idx="11">
                  <c:v>19970.885013290266</c:v>
                </c:pt>
                <c:pt idx="12">
                  <c:v>20364.171552574975</c:v>
                </c:pt>
                <c:pt idx="13">
                  <c:v>20058.54412967978</c:v>
                </c:pt>
                <c:pt idx="14">
                  <c:v>19708.290781864089</c:v>
                </c:pt>
                <c:pt idx="15">
                  <c:v>19400.216324542769</c:v>
                </c:pt>
                <c:pt idx="16">
                  <c:v>19051.161605532838</c:v>
                </c:pt>
                <c:pt idx="17">
                  <c:v>19933.38774514115</c:v>
                </c:pt>
                <c:pt idx="18">
                  <c:v>20282.655015129261</c:v>
                </c:pt>
                <c:pt idx="19">
                  <c:v>20068.349414068991</c:v>
                </c:pt>
                <c:pt idx="20">
                  <c:v>19848.964864156231</c:v>
                </c:pt>
                <c:pt idx="21">
                  <c:v>19725.318772611696</c:v>
                </c:pt>
                <c:pt idx="22">
                  <c:v>20225.965895215482</c:v>
                </c:pt>
                <c:pt idx="23">
                  <c:v>20168.260387452727</c:v>
                </c:pt>
                <c:pt idx="24">
                  <c:v>20134.219305294246</c:v>
                </c:pt>
                <c:pt idx="25">
                  <c:v>19667.183224832243</c:v>
                </c:pt>
                <c:pt idx="26">
                  <c:v>18969.40439195502</c:v>
                </c:pt>
                <c:pt idx="27">
                  <c:v>19186.386775060691</c:v>
                </c:pt>
              </c:numCache>
            </c:numRef>
          </c:val>
          <c:smooth val="0"/>
          <c:extLst>
            <c:ext xmlns:c16="http://schemas.microsoft.com/office/drawing/2014/chart" uri="{C3380CC4-5D6E-409C-BE32-E72D297353CC}">
              <c16:uniqueId val="{00000004-521A-4052-915B-F059FD434B62}"/>
            </c:ext>
          </c:extLst>
        </c:ser>
        <c:ser>
          <c:idx val="11"/>
          <c:order val="11"/>
          <c:tx>
            <c:strRef>
              <c:f>'Emissions summary'!$E$125</c:f>
              <c:strCache>
                <c:ptCount val="1"/>
                <c:pt idx="0">
                  <c:v>Direct N2O (inventory)</c:v>
                </c:pt>
              </c:strCache>
            </c:strRef>
          </c:tx>
          <c:spPr>
            <a:ln w="28575" cap="rnd">
              <a:solidFill>
                <a:schemeClr val="accent6">
                  <a:lumMod val="60000"/>
                </a:schemeClr>
              </a:solidFill>
              <a:round/>
            </a:ln>
            <a:effectLst/>
          </c:spPr>
          <c:marker>
            <c:symbol val="none"/>
          </c:marker>
          <c:cat>
            <c:numRef>
              <c:f>'Emissions summary'!$F$113:$AG$113</c:f>
              <c:numCache>
                <c:formatCode>General</c:formatCode>
                <c:ptCount val="28"/>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numCache>
            </c:numRef>
          </c:cat>
          <c:val>
            <c:numRef>
              <c:f>'Emissions summary'!$F$125:$AG$125</c:f>
              <c:numCache>
                <c:formatCode>General</c:formatCode>
                <c:ptCount val="28"/>
                <c:pt idx="0">
                  <c:v>18467.2344176074</c:v>
                </c:pt>
                <c:pt idx="1">
                  <c:v>19894.379979012047</c:v>
                </c:pt>
                <c:pt idx="2">
                  <c:v>19508.057170250366</c:v>
                </c:pt>
                <c:pt idx="3">
                  <c:v>19296.286149483876</c:v>
                </c:pt>
                <c:pt idx="4">
                  <c:v>18829.799299341739</c:v>
                </c:pt>
                <c:pt idx="5">
                  <c:v>18816.693751205934</c:v>
                </c:pt>
                <c:pt idx="6">
                  <c:v>19386.372113208152</c:v>
                </c:pt>
                <c:pt idx="7">
                  <c:v>19675.368284891847</c:v>
                </c:pt>
                <c:pt idx="8">
                  <c:v>19967.155293555603</c:v>
                </c:pt>
                <c:pt idx="9">
                  <c:v>20038.391547786159</c:v>
                </c:pt>
                <c:pt idx="10">
                  <c:v>20072.524975980316</c:v>
                </c:pt>
                <c:pt idx="11">
                  <c:v>19701.088061992123</c:v>
                </c:pt>
                <c:pt idx="12">
                  <c:v>20023.216099759749</c:v>
                </c:pt>
                <c:pt idx="13">
                  <c:v>19072.340993484708</c:v>
                </c:pt>
                <c:pt idx="14">
                  <c:v>18849.389549512067</c:v>
                </c:pt>
                <c:pt idx="15">
                  <c:v>18446.259485586925</c:v>
                </c:pt>
                <c:pt idx="16">
                  <c:v>18589.571736189206</c:v>
                </c:pt>
                <c:pt idx="17">
                  <c:v>18224.734436942501</c:v>
                </c:pt>
                <c:pt idx="18">
                  <c:v>19088.198147813157</c:v>
                </c:pt>
                <c:pt idx="19">
                  <c:v>18553.028011451712</c:v>
                </c:pt>
                <c:pt idx="20">
                  <c:v>18939.805460502525</c:v>
                </c:pt>
                <c:pt idx="21">
                  <c:v>18994.993526805851</c:v>
                </c:pt>
                <c:pt idx="22">
                  <c:v>18278.302953548075</c:v>
                </c:pt>
                <c:pt idx="23">
                  <c:v>19582.342769355033</c:v>
                </c:pt>
                <c:pt idx="24">
                  <c:v>19570.475186144038</c:v>
                </c:pt>
                <c:pt idx="25">
                  <c:v>19327.673861761683</c:v>
                </c:pt>
                <c:pt idx="26">
                  <c:v>18029.075027657447</c:v>
                </c:pt>
                <c:pt idx="27">
                  <c:v>18081.049004423898</c:v>
                </c:pt>
              </c:numCache>
            </c:numRef>
          </c:val>
          <c:smooth val="0"/>
          <c:extLst>
            <c:ext xmlns:c16="http://schemas.microsoft.com/office/drawing/2014/chart" uri="{C3380CC4-5D6E-409C-BE32-E72D297353CC}">
              <c16:uniqueId val="{0000000B-521A-4052-915B-F059FD434B62}"/>
            </c:ext>
          </c:extLst>
        </c:ser>
        <c:dLbls>
          <c:showLegendKey val="0"/>
          <c:showVal val="0"/>
          <c:showCatName val="0"/>
          <c:showSerName val="0"/>
          <c:showPercent val="0"/>
          <c:showBubbleSize val="0"/>
        </c:dLbls>
        <c:smooth val="0"/>
        <c:axId val="1363460784"/>
        <c:axId val="1363463696"/>
        <c:extLst>
          <c:ext xmlns:c15="http://schemas.microsoft.com/office/drawing/2012/chart" uri="{02D57815-91ED-43cb-92C2-25804820EDAC}">
            <c15:filteredLineSeries>
              <c15:ser>
                <c:idx val="0"/>
                <c:order val="0"/>
                <c:tx>
                  <c:strRef>
                    <c:extLst>
                      <c:ext uri="{02D57815-91ED-43cb-92C2-25804820EDAC}">
                        <c15:formulaRef>
                          <c15:sqref>'Emissions summary'!$E$114</c15:sqref>
                        </c15:formulaRef>
                      </c:ext>
                    </c:extLst>
                    <c:strCache>
                      <c:ptCount val="1"/>
                      <c:pt idx="0">
                        <c:v>Biomass burning CH4</c:v>
                      </c:pt>
                    </c:strCache>
                  </c:strRef>
                </c:tx>
                <c:spPr>
                  <a:ln w="28575" cap="rnd">
                    <a:solidFill>
                      <a:schemeClr val="accent1"/>
                    </a:solidFill>
                    <a:round/>
                  </a:ln>
                  <a:effectLst/>
                </c:spPr>
                <c:marker>
                  <c:symbol val="none"/>
                </c:marker>
                <c:cat>
                  <c:numRef>
                    <c:extLst>
                      <c:ext uri="{02D57815-91ED-43cb-92C2-25804820EDAC}">
                        <c15:formulaRef>
                          <c15:sqref>'Emissions summary'!$F$113:$AG$113</c15:sqref>
                        </c15:formulaRef>
                      </c:ext>
                    </c:extLst>
                    <c:numCache>
                      <c:formatCode>General</c:formatCode>
                      <c:ptCount val="28"/>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numCache>
                  </c:numRef>
                </c:cat>
                <c:val>
                  <c:numRef>
                    <c:extLst>
                      <c:ext uri="{02D57815-91ED-43cb-92C2-25804820EDAC}">
                        <c15:formulaRef>
                          <c15:sqref>'Emissions summary'!$F$114:$AG$114</c15:sqref>
                        </c15:formulaRef>
                      </c:ext>
                    </c:extLst>
                    <c:numCache>
                      <c:formatCode>General</c:formatCode>
                      <c:ptCount val="28"/>
                      <c:pt idx="0">
                        <c:v>1113.9523335609101</c:v>
                      </c:pt>
                      <c:pt idx="1">
                        <c:v>1113.9523335609101</c:v>
                      </c:pt>
                      <c:pt idx="2">
                        <c:v>1113.9523335609101</c:v>
                      </c:pt>
                      <c:pt idx="3">
                        <c:v>1113.9523335609101</c:v>
                      </c:pt>
                      <c:pt idx="4">
                        <c:v>1113.9523335609101</c:v>
                      </c:pt>
                      <c:pt idx="5">
                        <c:v>1113.9523335609101</c:v>
                      </c:pt>
                      <c:pt idx="6">
                        <c:v>1113.9523335609101</c:v>
                      </c:pt>
                      <c:pt idx="7">
                        <c:v>1113.9523335609101</c:v>
                      </c:pt>
                      <c:pt idx="8">
                        <c:v>1113.9523335609101</c:v>
                      </c:pt>
                      <c:pt idx="9">
                        <c:v>1113.9523335609101</c:v>
                      </c:pt>
                      <c:pt idx="10">
                        <c:v>1103.4776992955053</c:v>
                      </c:pt>
                      <c:pt idx="11">
                        <c:v>1282.5517441798665</c:v>
                      </c:pt>
                      <c:pt idx="12">
                        <c:v>1288.9176046937982</c:v>
                      </c:pt>
                      <c:pt idx="13">
                        <c:v>1011.4345809085878</c:v>
                      </c:pt>
                      <c:pt idx="14">
                        <c:v>883.38003872679235</c:v>
                      </c:pt>
                      <c:pt idx="15">
                        <c:v>1412.334298727088</c:v>
                      </c:pt>
                      <c:pt idx="16">
                        <c:v>1236.8838978672777</c:v>
                      </c:pt>
                      <c:pt idx="17">
                        <c:v>1218.5771221263838</c:v>
                      </c:pt>
                      <c:pt idx="18">
                        <c:v>1139.8644942847</c:v>
                      </c:pt>
                      <c:pt idx="19">
                        <c:v>1078.8713756473658</c:v>
                      </c:pt>
                      <c:pt idx="20">
                        <c:v>1107.055106514</c:v>
                      </c:pt>
                      <c:pt idx="21">
                        <c:v>1093.3943713178221</c:v>
                      </c:pt>
                      <c:pt idx="22">
                        <c:v>1003.5637069444559</c:v>
                      </c:pt>
                      <c:pt idx="23">
                        <c:v>949.58031288518987</c:v>
                      </c:pt>
                      <c:pt idx="24">
                        <c:v>1016.956735075512</c:v>
                      </c:pt>
                      <c:pt idx="25">
                        <c:v>737.86776841461585</c:v>
                      </c:pt>
                      <c:pt idx="26">
                        <c:v>446.18919850209591</c:v>
                      </c:pt>
                      <c:pt idx="27">
                        <c:v>416.70692080806589</c:v>
                      </c:pt>
                    </c:numCache>
                  </c:numRef>
                </c:val>
                <c:smooth val="0"/>
                <c:extLst>
                  <c:ext xmlns:c16="http://schemas.microsoft.com/office/drawing/2014/chart" uri="{C3380CC4-5D6E-409C-BE32-E72D297353CC}">
                    <c16:uniqueId val="{00000000-521A-4052-915B-F059FD434B62}"/>
                  </c:ext>
                </c:extLst>
              </c15:ser>
            </c15:filteredLineSeries>
            <c15:filteredLineSeries>
              <c15:ser>
                <c:idx val="1"/>
                <c:order val="1"/>
                <c:tx>
                  <c:strRef>
                    <c:extLst xmlns:c15="http://schemas.microsoft.com/office/drawing/2012/chart">
                      <c:ext xmlns:c15="http://schemas.microsoft.com/office/drawing/2012/chart" uri="{02D57815-91ED-43cb-92C2-25804820EDAC}">
                        <c15:formulaRef>
                          <c15:sqref>'Emissions summary'!$E$115</c15:sqref>
                        </c15:formulaRef>
                      </c:ext>
                    </c:extLst>
                    <c:strCache>
                      <c:ptCount val="1"/>
                      <c:pt idx="0">
                        <c:v>Biomass burning N2O</c:v>
                      </c:pt>
                    </c:strCache>
                  </c:strRef>
                </c:tx>
                <c:spPr>
                  <a:ln w="28575" cap="rnd">
                    <a:solidFill>
                      <a:schemeClr val="accent2"/>
                    </a:solidFill>
                    <a:round/>
                  </a:ln>
                  <a:effectLst/>
                </c:spPr>
                <c:marker>
                  <c:symbol val="none"/>
                </c:marker>
                <c:cat>
                  <c:numRef>
                    <c:extLst xmlns:c15="http://schemas.microsoft.com/office/drawing/2012/chart">
                      <c:ext xmlns:c15="http://schemas.microsoft.com/office/drawing/2012/chart" uri="{02D57815-91ED-43cb-92C2-25804820EDAC}">
                        <c15:formulaRef>
                          <c15:sqref>'Emissions summary'!$F$113:$AG$113</c15:sqref>
                        </c15:formulaRef>
                      </c:ext>
                    </c:extLst>
                    <c:numCache>
                      <c:formatCode>General</c:formatCode>
                      <c:ptCount val="28"/>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numCache>
                  </c:numRef>
                </c:cat>
                <c:val>
                  <c:numRef>
                    <c:extLst xmlns:c15="http://schemas.microsoft.com/office/drawing/2012/chart">
                      <c:ext xmlns:c15="http://schemas.microsoft.com/office/drawing/2012/chart" uri="{02D57815-91ED-43cb-92C2-25804820EDAC}">
                        <c15:formulaRef>
                          <c15:sqref>'Emissions summary'!$F$115:$AG$115</c15:sqref>
                        </c15:formulaRef>
                      </c:ext>
                    </c:extLst>
                    <c:numCache>
                      <c:formatCode>General</c:formatCode>
                      <c:ptCount val="28"/>
                      <c:pt idx="0">
                        <c:v>1149.3522600947301</c:v>
                      </c:pt>
                      <c:pt idx="1">
                        <c:v>1149.3522600947301</c:v>
                      </c:pt>
                      <c:pt idx="2">
                        <c:v>1149.3522600947301</c:v>
                      </c:pt>
                      <c:pt idx="3">
                        <c:v>1149.3522600947301</c:v>
                      </c:pt>
                      <c:pt idx="4">
                        <c:v>1149.3522600947301</c:v>
                      </c:pt>
                      <c:pt idx="5">
                        <c:v>1149.3522600947301</c:v>
                      </c:pt>
                      <c:pt idx="6">
                        <c:v>1149.3522600947301</c:v>
                      </c:pt>
                      <c:pt idx="7">
                        <c:v>1149.3522600947301</c:v>
                      </c:pt>
                      <c:pt idx="8">
                        <c:v>1149.3522600947301</c:v>
                      </c:pt>
                      <c:pt idx="9">
                        <c:v>1149.3522600947301</c:v>
                      </c:pt>
                      <c:pt idx="10">
                        <c:v>1138.2881924240246</c:v>
                      </c:pt>
                      <c:pt idx="11">
                        <c:v>1347.8625366593228</c:v>
                      </c:pt>
                      <c:pt idx="12">
                        <c:v>1328.3690110437451</c:v>
                      </c:pt>
                      <c:pt idx="13">
                        <c:v>1017.5651134275211</c:v>
                      </c:pt>
                      <c:pt idx="14">
                        <c:v>914.67644691903695</c:v>
                      </c:pt>
                      <c:pt idx="15">
                        <c:v>1447.9112474339306</c:v>
                      </c:pt>
                      <c:pt idx="16">
                        <c:v>1263.4019893034997</c:v>
                      </c:pt>
                      <c:pt idx="17">
                        <c:v>1217.4357899565925</c:v>
                      </c:pt>
                      <c:pt idx="18">
                        <c:v>1180.1818937292605</c:v>
                      </c:pt>
                      <c:pt idx="19">
                        <c:v>1108.1395844539597</c:v>
                      </c:pt>
                      <c:pt idx="20">
                        <c:v>1121.7567904983002</c:v>
                      </c:pt>
                      <c:pt idx="21">
                        <c:v>1111.0832034573957</c:v>
                      </c:pt>
                      <c:pt idx="22">
                        <c:v>1002.2217969563279</c:v>
                      </c:pt>
                      <c:pt idx="23">
                        <c:v>980.55948658247996</c:v>
                      </c:pt>
                      <c:pt idx="24">
                        <c:v>1029.1314860411758</c:v>
                      </c:pt>
                      <c:pt idx="25">
                        <c:v>747.9095108761079</c:v>
                      </c:pt>
                      <c:pt idx="26">
                        <c:v>434.96704823788798</c:v>
                      </c:pt>
                      <c:pt idx="27">
                        <c:v>408.31943255002801</c:v>
                      </c:pt>
                    </c:numCache>
                  </c:numRef>
                </c:val>
                <c:smooth val="0"/>
                <c:extLst xmlns:c15="http://schemas.microsoft.com/office/drawing/2012/chart">
                  <c:ext xmlns:c16="http://schemas.microsoft.com/office/drawing/2014/chart" uri="{C3380CC4-5D6E-409C-BE32-E72D297353CC}">
                    <c16:uniqueId val="{00000001-521A-4052-915B-F059FD434B62}"/>
                  </c:ext>
                </c:extLst>
              </c15:ser>
            </c15:filteredLineSeries>
            <c15:filteredLineSeries>
              <c15:ser>
                <c:idx val="2"/>
                <c:order val="2"/>
                <c:tx>
                  <c:strRef>
                    <c:extLst xmlns:c15="http://schemas.microsoft.com/office/drawing/2012/chart">
                      <c:ext xmlns:c15="http://schemas.microsoft.com/office/drawing/2012/chart" uri="{02D57815-91ED-43cb-92C2-25804820EDAC}">
                        <c15:formulaRef>
                          <c15:sqref>'Emissions summary'!$E$116</c15:sqref>
                        </c15:formulaRef>
                      </c:ext>
                    </c:extLst>
                    <c:strCache>
                      <c:ptCount val="1"/>
                      <c:pt idx="0">
                        <c:v>Liming</c:v>
                      </c:pt>
                    </c:strCache>
                  </c:strRef>
                </c:tx>
                <c:spPr>
                  <a:ln w="28575" cap="rnd">
                    <a:solidFill>
                      <a:schemeClr val="accent3"/>
                    </a:solidFill>
                    <a:round/>
                  </a:ln>
                  <a:effectLst/>
                </c:spPr>
                <c:marker>
                  <c:symbol val="none"/>
                </c:marker>
                <c:cat>
                  <c:numRef>
                    <c:extLst xmlns:c15="http://schemas.microsoft.com/office/drawing/2012/chart">
                      <c:ext xmlns:c15="http://schemas.microsoft.com/office/drawing/2012/chart" uri="{02D57815-91ED-43cb-92C2-25804820EDAC}">
                        <c15:formulaRef>
                          <c15:sqref>'Emissions summary'!$F$113:$AG$113</c15:sqref>
                        </c15:formulaRef>
                      </c:ext>
                    </c:extLst>
                    <c:numCache>
                      <c:formatCode>General</c:formatCode>
                      <c:ptCount val="28"/>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numCache>
                  </c:numRef>
                </c:cat>
                <c:val>
                  <c:numRef>
                    <c:extLst xmlns:c15="http://schemas.microsoft.com/office/drawing/2012/chart">
                      <c:ext xmlns:c15="http://schemas.microsoft.com/office/drawing/2012/chart" uri="{02D57815-91ED-43cb-92C2-25804820EDAC}">
                        <c15:formulaRef>
                          <c15:sqref>'Emissions summary'!$F$116:$AG$116</c15:sqref>
                        </c15:formulaRef>
                      </c:ext>
                    </c:extLst>
                    <c:numCache>
                      <c:formatCode>General</c:formatCode>
                      <c:ptCount val="28"/>
                      <c:pt idx="0">
                        <c:v>357.5</c:v>
                      </c:pt>
                      <c:pt idx="1">
                        <c:v>378.125</c:v>
                      </c:pt>
                      <c:pt idx="2">
                        <c:v>261.25</c:v>
                      </c:pt>
                      <c:pt idx="3">
                        <c:v>412.5</c:v>
                      </c:pt>
                      <c:pt idx="4">
                        <c:v>595.58170833333327</c:v>
                      </c:pt>
                      <c:pt idx="5">
                        <c:v>473.34145833333332</c:v>
                      </c:pt>
                      <c:pt idx="6">
                        <c:v>579.13625000000002</c:v>
                      </c:pt>
                      <c:pt idx="7">
                        <c:v>547.24312499999996</c:v>
                      </c:pt>
                      <c:pt idx="8">
                        <c:v>570.31379166666659</c:v>
                      </c:pt>
                      <c:pt idx="9">
                        <c:v>567.03808333333325</c:v>
                      </c:pt>
                      <c:pt idx="10">
                        <c:v>378.2405</c:v>
                      </c:pt>
                      <c:pt idx="11">
                        <c:v>489.66362500000002</c:v>
                      </c:pt>
                      <c:pt idx="12">
                        <c:v>672.79437500000006</c:v>
                      </c:pt>
                      <c:pt idx="13">
                        <c:v>580.13175000000001</c:v>
                      </c:pt>
                      <c:pt idx="14">
                        <c:v>579.7403333333333</c:v>
                      </c:pt>
                      <c:pt idx="15">
                        <c:v>266.03683333333333</c:v>
                      </c:pt>
                      <c:pt idx="16">
                        <c:v>441.42908333333332</c:v>
                      </c:pt>
                      <c:pt idx="17">
                        <c:v>521.42108333333329</c:v>
                      </c:pt>
                      <c:pt idx="18">
                        <c:v>655.32637499999998</c:v>
                      </c:pt>
                      <c:pt idx="19">
                        <c:v>695.56775237855516</c:v>
                      </c:pt>
                      <c:pt idx="20">
                        <c:v>653.23730656422072</c:v>
                      </c:pt>
                      <c:pt idx="21">
                        <c:v>722.61220387104663</c:v>
                      </c:pt>
                      <c:pt idx="22">
                        <c:v>829.6141641239476</c:v>
                      </c:pt>
                      <c:pt idx="23">
                        <c:v>749.65665536353811</c:v>
                      </c:pt>
                      <c:pt idx="24">
                        <c:v>773.17356970483502</c:v>
                      </c:pt>
                      <c:pt idx="25">
                        <c:v>780.22864400722403</c:v>
                      </c:pt>
                      <c:pt idx="26">
                        <c:v>982.47410734237747</c:v>
                      </c:pt>
                      <c:pt idx="27">
                        <c:v>1218.2311736138793</c:v>
                      </c:pt>
                    </c:numCache>
                  </c:numRef>
                </c:val>
                <c:smooth val="0"/>
                <c:extLst xmlns:c15="http://schemas.microsoft.com/office/drawing/2012/chart">
                  <c:ext xmlns:c16="http://schemas.microsoft.com/office/drawing/2014/chart" uri="{C3380CC4-5D6E-409C-BE32-E72D297353CC}">
                    <c16:uniqueId val="{00000002-521A-4052-915B-F059FD434B62}"/>
                  </c:ext>
                </c:extLst>
              </c15:ser>
            </c15:filteredLineSeries>
            <c15:filteredLineSeries>
              <c15:ser>
                <c:idx val="3"/>
                <c:order val="3"/>
                <c:tx>
                  <c:strRef>
                    <c:extLst xmlns:c15="http://schemas.microsoft.com/office/drawing/2012/chart">
                      <c:ext xmlns:c15="http://schemas.microsoft.com/office/drawing/2012/chart" uri="{02D57815-91ED-43cb-92C2-25804820EDAC}">
                        <c15:formulaRef>
                          <c15:sqref>'Emissions summary'!$E$117</c15:sqref>
                        </c15:formulaRef>
                      </c:ext>
                    </c:extLst>
                    <c:strCache>
                      <c:ptCount val="1"/>
                      <c:pt idx="0">
                        <c:v>Urea</c:v>
                      </c:pt>
                    </c:strCache>
                  </c:strRef>
                </c:tx>
                <c:spPr>
                  <a:ln w="28575" cap="rnd">
                    <a:solidFill>
                      <a:schemeClr val="accent4"/>
                    </a:solidFill>
                    <a:round/>
                  </a:ln>
                  <a:effectLst/>
                </c:spPr>
                <c:marker>
                  <c:symbol val="none"/>
                </c:marker>
                <c:cat>
                  <c:numRef>
                    <c:extLst xmlns:c15="http://schemas.microsoft.com/office/drawing/2012/chart">
                      <c:ext xmlns:c15="http://schemas.microsoft.com/office/drawing/2012/chart" uri="{02D57815-91ED-43cb-92C2-25804820EDAC}">
                        <c15:formulaRef>
                          <c15:sqref>'Emissions summary'!$F$113:$AG$113</c15:sqref>
                        </c15:formulaRef>
                      </c:ext>
                    </c:extLst>
                    <c:numCache>
                      <c:formatCode>General</c:formatCode>
                      <c:ptCount val="28"/>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numCache>
                  </c:numRef>
                </c:cat>
                <c:val>
                  <c:numRef>
                    <c:extLst xmlns:c15="http://schemas.microsoft.com/office/drawing/2012/chart">
                      <c:ext xmlns:c15="http://schemas.microsoft.com/office/drawing/2012/chart" uri="{02D57815-91ED-43cb-92C2-25804820EDAC}">
                        <c15:formulaRef>
                          <c15:sqref>'Emissions summary'!$F$117:$AG$117</c15:sqref>
                        </c15:formulaRef>
                      </c:ext>
                    </c:extLst>
                    <c:numCache>
                      <c:formatCode>General</c:formatCode>
                      <c:ptCount val="28"/>
                      <c:pt idx="0">
                        <c:v>90.994567483487728</c:v>
                      </c:pt>
                      <c:pt idx="1">
                        <c:v>111.62690198838213</c:v>
                      </c:pt>
                      <c:pt idx="2">
                        <c:v>132.25923649327655</c:v>
                      </c:pt>
                      <c:pt idx="3">
                        <c:v>152.89157099816552</c:v>
                      </c:pt>
                      <c:pt idx="4">
                        <c:v>173.52390550305992</c:v>
                      </c:pt>
                      <c:pt idx="5">
                        <c:v>194.15624000795432</c:v>
                      </c:pt>
                      <c:pt idx="6">
                        <c:v>214.78857451284878</c:v>
                      </c:pt>
                      <c:pt idx="7">
                        <c:v>235.42090901774316</c:v>
                      </c:pt>
                      <c:pt idx="8">
                        <c:v>256.05324352263762</c:v>
                      </c:pt>
                      <c:pt idx="9">
                        <c:v>276.68557802753202</c:v>
                      </c:pt>
                      <c:pt idx="10">
                        <c:v>297.31791253242642</c:v>
                      </c:pt>
                      <c:pt idx="11">
                        <c:v>317.95024703732088</c:v>
                      </c:pt>
                      <c:pt idx="12">
                        <c:v>338.58258154220977</c:v>
                      </c:pt>
                      <c:pt idx="13">
                        <c:v>359.21491604710423</c:v>
                      </c:pt>
                      <c:pt idx="14">
                        <c:v>435.89846666666671</c:v>
                      </c:pt>
                      <c:pt idx="15">
                        <c:v>355.08659999999998</c:v>
                      </c:pt>
                      <c:pt idx="16">
                        <c:v>393.08573333333334</c:v>
                      </c:pt>
                      <c:pt idx="17">
                        <c:v>484.55366666666663</c:v>
                      </c:pt>
                      <c:pt idx="18">
                        <c:v>480.19253333333336</c:v>
                      </c:pt>
                      <c:pt idx="19">
                        <c:v>380.54426666666666</c:v>
                      </c:pt>
                      <c:pt idx="20">
                        <c:v>501.48046666666664</c:v>
                      </c:pt>
                      <c:pt idx="21">
                        <c:v>571.19113333333337</c:v>
                      </c:pt>
                      <c:pt idx="22">
                        <c:v>587.22106666666662</c:v>
                      </c:pt>
                      <c:pt idx="23">
                        <c:v>533.06336966666674</c:v>
                      </c:pt>
                      <c:pt idx="24">
                        <c:v>663.77159200000006</c:v>
                      </c:pt>
                      <c:pt idx="25">
                        <c:v>486.09938600666663</c:v>
                      </c:pt>
                      <c:pt idx="26">
                        <c:v>643.60119999999995</c:v>
                      </c:pt>
                      <c:pt idx="27">
                        <c:v>679.61446666666666</c:v>
                      </c:pt>
                    </c:numCache>
                  </c:numRef>
                </c:val>
                <c:smooth val="0"/>
                <c:extLst xmlns:c15="http://schemas.microsoft.com/office/drawing/2012/chart">
                  <c:ext xmlns:c16="http://schemas.microsoft.com/office/drawing/2014/chart" uri="{C3380CC4-5D6E-409C-BE32-E72D297353CC}">
                    <c16:uniqueId val="{00000003-521A-4052-915B-F059FD434B62}"/>
                  </c:ext>
                </c:extLst>
              </c15:ser>
            </c15:filteredLineSeries>
            <c15:filteredLineSeries>
              <c15:ser>
                <c:idx val="5"/>
                <c:order val="5"/>
                <c:tx>
                  <c:strRef>
                    <c:extLst xmlns:c15="http://schemas.microsoft.com/office/drawing/2012/chart">
                      <c:ext xmlns:c15="http://schemas.microsoft.com/office/drawing/2012/chart" uri="{02D57815-91ED-43cb-92C2-25804820EDAC}">
                        <c15:formulaRef>
                          <c15:sqref>'Emissions summary'!$E$119</c15:sqref>
                        </c15:formulaRef>
                      </c:ext>
                    </c:extLst>
                    <c:strCache>
                      <c:ptCount val="1"/>
                      <c:pt idx="0">
                        <c:v>Indirect N2O from MS</c:v>
                      </c:pt>
                    </c:strCache>
                  </c:strRef>
                </c:tx>
                <c:spPr>
                  <a:ln w="28575" cap="rnd">
                    <a:solidFill>
                      <a:schemeClr val="accent6"/>
                    </a:solidFill>
                    <a:round/>
                  </a:ln>
                  <a:effectLst/>
                </c:spPr>
                <c:marker>
                  <c:symbol val="none"/>
                </c:marker>
                <c:cat>
                  <c:numRef>
                    <c:extLst xmlns:c15="http://schemas.microsoft.com/office/drawing/2012/chart">
                      <c:ext xmlns:c15="http://schemas.microsoft.com/office/drawing/2012/chart" uri="{02D57815-91ED-43cb-92C2-25804820EDAC}">
                        <c15:formulaRef>
                          <c15:sqref>'Emissions summary'!$F$113:$AG$113</c15:sqref>
                        </c15:formulaRef>
                      </c:ext>
                    </c:extLst>
                    <c:numCache>
                      <c:formatCode>General</c:formatCode>
                      <c:ptCount val="28"/>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numCache>
                  </c:numRef>
                </c:cat>
                <c:val>
                  <c:numRef>
                    <c:extLst xmlns:c15="http://schemas.microsoft.com/office/drawing/2012/chart">
                      <c:ext xmlns:c15="http://schemas.microsoft.com/office/drawing/2012/chart" uri="{02D57815-91ED-43cb-92C2-25804820EDAC}">
                        <c15:formulaRef>
                          <c15:sqref>'Emissions summary'!$F$119:$AG$119</c15:sqref>
                        </c15:formulaRef>
                      </c:ext>
                    </c:extLst>
                    <c:numCache>
                      <c:formatCode>General</c:formatCode>
                      <c:ptCount val="28"/>
                      <c:pt idx="0">
                        <c:v>2388.0102035123605</c:v>
                      </c:pt>
                      <c:pt idx="1">
                        <c:v>2422.3649563517615</c:v>
                      </c:pt>
                      <c:pt idx="2">
                        <c:v>2366.0160295258652</c:v>
                      </c:pt>
                      <c:pt idx="3">
                        <c:v>2332.024314033295</c:v>
                      </c:pt>
                      <c:pt idx="4">
                        <c:v>2269.8856393890724</c:v>
                      </c:pt>
                      <c:pt idx="5">
                        <c:v>2257.3551747657566</c:v>
                      </c:pt>
                      <c:pt idx="6">
                        <c:v>2332.8794219128258</c:v>
                      </c:pt>
                      <c:pt idx="7">
                        <c:v>2353.4608848045295</c:v>
                      </c:pt>
                      <c:pt idx="8">
                        <c:v>2375.1086873788704</c:v>
                      </c:pt>
                      <c:pt idx="9">
                        <c:v>2369.8122167060246</c:v>
                      </c:pt>
                      <c:pt idx="10">
                        <c:v>2379.1334621159244</c:v>
                      </c:pt>
                      <c:pt idx="11">
                        <c:v>2332.4757077458062</c:v>
                      </c:pt>
                      <c:pt idx="12">
                        <c:v>2352.5031586422174</c:v>
                      </c:pt>
                      <c:pt idx="13">
                        <c:v>2317.0522227606916</c:v>
                      </c:pt>
                      <c:pt idx="14">
                        <c:v>2291.1004488983099</c:v>
                      </c:pt>
                      <c:pt idx="15">
                        <c:v>2260.716684821874</c:v>
                      </c:pt>
                      <c:pt idx="16">
                        <c:v>2276.1004128580194</c:v>
                      </c:pt>
                      <c:pt idx="17">
                        <c:v>2334.5451499588221</c:v>
                      </c:pt>
                      <c:pt idx="18">
                        <c:v>2364.8401504898161</c:v>
                      </c:pt>
                      <c:pt idx="19">
                        <c:v>2357.3087175615215</c:v>
                      </c:pt>
                      <c:pt idx="20">
                        <c:v>2316.7336232801035</c:v>
                      </c:pt>
                      <c:pt idx="21">
                        <c:v>2313.3914976011652</c:v>
                      </c:pt>
                      <c:pt idx="22">
                        <c:v>2334.0985551108756</c:v>
                      </c:pt>
                      <c:pt idx="23">
                        <c:v>2348.8400209329502</c:v>
                      </c:pt>
                      <c:pt idx="24">
                        <c:v>2344.4692750460258</c:v>
                      </c:pt>
                      <c:pt idx="25">
                        <c:v>2299.7650755104332</c:v>
                      </c:pt>
                      <c:pt idx="26">
                        <c:v>2252.6390591444524</c:v>
                      </c:pt>
                      <c:pt idx="27">
                        <c:v>2235.452591217253</c:v>
                      </c:pt>
                    </c:numCache>
                  </c:numRef>
                </c:val>
                <c:smooth val="0"/>
                <c:extLst xmlns:c15="http://schemas.microsoft.com/office/drawing/2012/chart">
                  <c:ext xmlns:c16="http://schemas.microsoft.com/office/drawing/2014/chart" uri="{C3380CC4-5D6E-409C-BE32-E72D297353CC}">
                    <c16:uniqueId val="{00000005-521A-4052-915B-F059FD434B62}"/>
                  </c:ext>
                </c:extLst>
              </c15:ser>
            </c15:filteredLineSeries>
            <c15:filteredLineSeries>
              <c15:ser>
                <c:idx val="6"/>
                <c:order val="6"/>
                <c:tx>
                  <c:strRef>
                    <c:extLst xmlns:c15="http://schemas.microsoft.com/office/drawing/2012/chart">
                      <c:ext xmlns:c15="http://schemas.microsoft.com/office/drawing/2012/chart" uri="{02D57815-91ED-43cb-92C2-25804820EDAC}">
                        <c15:formulaRef>
                          <c15:sqref>'Emissions summary'!$E$120</c15:sqref>
                        </c15:formulaRef>
                      </c:ext>
                    </c:extLst>
                    <c:strCache>
                      <c:ptCount val="1"/>
                      <c:pt idx="0">
                        <c:v>Indirect N2O from MM</c:v>
                      </c:pt>
                    </c:strCache>
                  </c:strRef>
                </c:tx>
                <c:spPr>
                  <a:ln w="28575" cap="rnd">
                    <a:solidFill>
                      <a:schemeClr val="accent1">
                        <a:lumMod val="60000"/>
                      </a:schemeClr>
                    </a:solidFill>
                    <a:round/>
                  </a:ln>
                  <a:effectLst/>
                </c:spPr>
                <c:marker>
                  <c:symbol val="none"/>
                </c:marker>
                <c:cat>
                  <c:numRef>
                    <c:extLst xmlns:c15="http://schemas.microsoft.com/office/drawing/2012/chart">
                      <c:ext xmlns:c15="http://schemas.microsoft.com/office/drawing/2012/chart" uri="{02D57815-91ED-43cb-92C2-25804820EDAC}">
                        <c15:formulaRef>
                          <c15:sqref>'Emissions summary'!$F$113:$AG$113</c15:sqref>
                        </c15:formulaRef>
                      </c:ext>
                    </c:extLst>
                    <c:numCache>
                      <c:formatCode>General</c:formatCode>
                      <c:ptCount val="28"/>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numCache>
                  </c:numRef>
                </c:cat>
                <c:val>
                  <c:numRef>
                    <c:extLst xmlns:c15="http://schemas.microsoft.com/office/drawing/2012/chart">
                      <c:ext xmlns:c15="http://schemas.microsoft.com/office/drawing/2012/chart" uri="{02D57815-91ED-43cb-92C2-25804820EDAC}">
                        <c15:formulaRef>
                          <c15:sqref>'Emissions summary'!$F$120:$AG$120</c15:sqref>
                        </c15:formulaRef>
                      </c:ext>
                    </c:extLst>
                    <c:numCache>
                      <c:formatCode>General</c:formatCode>
                      <c:ptCount val="28"/>
                      <c:pt idx="0">
                        <c:v>343.10330161578099</c:v>
                      </c:pt>
                      <c:pt idx="1">
                        <c:v>365.58614133033353</c:v>
                      </c:pt>
                      <c:pt idx="2">
                        <c:v>339.91114682728761</c:v>
                      </c:pt>
                      <c:pt idx="3">
                        <c:v>352.62601984444137</c:v>
                      </c:pt>
                      <c:pt idx="4">
                        <c:v>336.24824053022888</c:v>
                      </c:pt>
                      <c:pt idx="5">
                        <c:v>354.90652971327108</c:v>
                      </c:pt>
                      <c:pt idx="6">
                        <c:v>370.7282945162878</c:v>
                      </c:pt>
                      <c:pt idx="7">
                        <c:v>367.33263044382841</c:v>
                      </c:pt>
                      <c:pt idx="8">
                        <c:v>376.31467332854538</c:v>
                      </c:pt>
                      <c:pt idx="9">
                        <c:v>380.26274683162796</c:v>
                      </c:pt>
                      <c:pt idx="10">
                        <c:v>420.72277135231604</c:v>
                      </c:pt>
                      <c:pt idx="11">
                        <c:v>418.37207720994593</c:v>
                      </c:pt>
                      <c:pt idx="12">
                        <c:v>406.12517665445523</c:v>
                      </c:pt>
                      <c:pt idx="13">
                        <c:v>385.62180744131297</c:v>
                      </c:pt>
                      <c:pt idx="14">
                        <c:v>383.11027791084422</c:v>
                      </c:pt>
                      <c:pt idx="15">
                        <c:v>402.62502084090437</c:v>
                      </c:pt>
                      <c:pt idx="16">
                        <c:v>407.68948429226828</c:v>
                      </c:pt>
                      <c:pt idx="17">
                        <c:v>415.77221135959962</c:v>
                      </c:pt>
                      <c:pt idx="18">
                        <c:v>450.38785912632164</c:v>
                      </c:pt>
                      <c:pt idx="19">
                        <c:v>447.90280780802436</c:v>
                      </c:pt>
                      <c:pt idx="20">
                        <c:v>450.47531382738657</c:v>
                      </c:pt>
                      <c:pt idx="21">
                        <c:v>455.70252815125627</c:v>
                      </c:pt>
                      <c:pt idx="22">
                        <c:v>454.2990120208886</c:v>
                      </c:pt>
                      <c:pt idx="23">
                        <c:v>467.1027930484243</c:v>
                      </c:pt>
                      <c:pt idx="24">
                        <c:v>463.97224881283108</c:v>
                      </c:pt>
                      <c:pt idx="25">
                        <c:v>471.70799949786652</c:v>
                      </c:pt>
                      <c:pt idx="26">
                        <c:v>471.14622162385422</c:v>
                      </c:pt>
                      <c:pt idx="27">
                        <c:v>483.13167606001025</c:v>
                      </c:pt>
                    </c:numCache>
                  </c:numRef>
                </c:val>
                <c:smooth val="0"/>
                <c:extLst xmlns:c15="http://schemas.microsoft.com/office/drawing/2012/chart">
                  <c:ext xmlns:c16="http://schemas.microsoft.com/office/drawing/2014/chart" uri="{C3380CC4-5D6E-409C-BE32-E72D297353CC}">
                    <c16:uniqueId val="{00000006-521A-4052-915B-F059FD434B62}"/>
                  </c:ext>
                </c:extLst>
              </c15:ser>
            </c15:filteredLineSeries>
            <c15:filteredLineSeries>
              <c15:ser>
                <c:idx val="7"/>
                <c:order val="7"/>
                <c:tx>
                  <c:strRef>
                    <c:extLst xmlns:c15="http://schemas.microsoft.com/office/drawing/2012/chart">
                      <c:ext xmlns:c15="http://schemas.microsoft.com/office/drawing/2012/chart" uri="{02D57815-91ED-43cb-92C2-25804820EDAC}">
                        <c15:formulaRef>
                          <c15:sqref>'Emissions summary'!$E$121</c15:sqref>
                        </c15:formulaRef>
                      </c:ext>
                    </c:extLst>
                    <c:strCache>
                      <c:ptCount val="1"/>
                      <c:pt idx="0">
                        <c:v>Biomass burning CH4 (inventory)</c:v>
                      </c:pt>
                    </c:strCache>
                  </c:strRef>
                </c:tx>
                <c:spPr>
                  <a:ln w="28575" cap="rnd">
                    <a:solidFill>
                      <a:schemeClr val="accent2">
                        <a:lumMod val="60000"/>
                      </a:schemeClr>
                    </a:solidFill>
                    <a:round/>
                  </a:ln>
                  <a:effectLst/>
                </c:spPr>
                <c:marker>
                  <c:symbol val="none"/>
                </c:marker>
                <c:cat>
                  <c:numRef>
                    <c:extLst xmlns:c15="http://schemas.microsoft.com/office/drawing/2012/chart">
                      <c:ext xmlns:c15="http://schemas.microsoft.com/office/drawing/2012/chart" uri="{02D57815-91ED-43cb-92C2-25804820EDAC}">
                        <c15:formulaRef>
                          <c15:sqref>'Emissions summary'!$F$113:$AG$113</c15:sqref>
                        </c15:formulaRef>
                      </c:ext>
                    </c:extLst>
                    <c:numCache>
                      <c:formatCode>General</c:formatCode>
                      <c:ptCount val="28"/>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numCache>
                  </c:numRef>
                </c:cat>
                <c:val>
                  <c:numRef>
                    <c:extLst xmlns:c15="http://schemas.microsoft.com/office/drawing/2012/chart">
                      <c:ext xmlns:c15="http://schemas.microsoft.com/office/drawing/2012/chart" uri="{02D57815-91ED-43cb-92C2-25804820EDAC}">
                        <c15:formulaRef>
                          <c15:sqref>'Emissions summary'!$F$121:$AG$121</c15:sqref>
                        </c15:formulaRef>
                      </c:ext>
                    </c:extLst>
                    <c:numCache>
                      <c:formatCode>General</c:formatCode>
                      <c:ptCount val="28"/>
                      <c:pt idx="0">
                        <c:v>1114.2730572677472</c:v>
                      </c:pt>
                      <c:pt idx="1">
                        <c:v>1114.2730572677472</c:v>
                      </c:pt>
                      <c:pt idx="2">
                        <c:v>1114.2730572677472</c:v>
                      </c:pt>
                      <c:pt idx="3">
                        <c:v>1114.2730572677472</c:v>
                      </c:pt>
                      <c:pt idx="4">
                        <c:v>1114.2730572677472</c:v>
                      </c:pt>
                      <c:pt idx="5">
                        <c:v>1114.2730572677472</c:v>
                      </c:pt>
                      <c:pt idx="6">
                        <c:v>1114.2730572677472</c:v>
                      </c:pt>
                      <c:pt idx="7">
                        <c:v>1114.2730572677472</c:v>
                      </c:pt>
                      <c:pt idx="8">
                        <c:v>1114.2730572677472</c:v>
                      </c:pt>
                      <c:pt idx="9">
                        <c:v>1114.2730572677472</c:v>
                      </c:pt>
                      <c:pt idx="10">
                        <c:v>1103.7473247333526</c:v>
                      </c:pt>
                      <c:pt idx="11">
                        <c:v>1295.1615779672622</c:v>
                      </c:pt>
                      <c:pt idx="12">
                        <c:v>1300.4179901779976</c:v>
                      </c:pt>
                      <c:pt idx="13">
                        <c:v>1021.2239026078485</c:v>
                      </c:pt>
                      <c:pt idx="14">
                        <c:v>890.95637702591955</c:v>
                      </c:pt>
                      <c:pt idx="15">
                        <c:v>1429.3697355873492</c:v>
                      </c:pt>
                      <c:pt idx="16">
                        <c:v>1251.7694565972624</c:v>
                      </c:pt>
                      <c:pt idx="17">
                        <c:v>1234.9730242836924</c:v>
                      </c:pt>
                      <c:pt idx="18">
                        <c:v>1150.1284038185643</c:v>
                      </c:pt>
                      <c:pt idx="19">
                        <c:v>1091.261696265384</c:v>
                      </c:pt>
                      <c:pt idx="20">
                        <c:v>1116.957250242162</c:v>
                      </c:pt>
                      <c:pt idx="21">
                        <c:v>1100.5811063069254</c:v>
                      </c:pt>
                      <c:pt idx="22">
                        <c:v>1010.9312887182766</c:v>
                      </c:pt>
                      <c:pt idx="23">
                        <c:v>956.65662263461502</c:v>
                      </c:pt>
                      <c:pt idx="24">
                        <c:v>1024.1532025090505</c:v>
                      </c:pt>
                      <c:pt idx="25">
                        <c:v>742.78507159014475</c:v>
                      </c:pt>
                      <c:pt idx="26">
                        <c:v>448.47103409650083</c:v>
                      </c:pt>
                      <c:pt idx="27">
                        <c:v>418.78097085765791</c:v>
                      </c:pt>
                    </c:numCache>
                  </c:numRef>
                </c:val>
                <c:smooth val="0"/>
                <c:extLst xmlns:c15="http://schemas.microsoft.com/office/drawing/2012/chart">
                  <c:ext xmlns:c16="http://schemas.microsoft.com/office/drawing/2014/chart" uri="{C3380CC4-5D6E-409C-BE32-E72D297353CC}">
                    <c16:uniqueId val="{00000007-521A-4052-915B-F059FD434B62}"/>
                  </c:ext>
                </c:extLst>
              </c15:ser>
            </c15:filteredLineSeries>
            <c15:filteredLineSeries>
              <c15:ser>
                <c:idx val="8"/>
                <c:order val="8"/>
                <c:tx>
                  <c:strRef>
                    <c:extLst xmlns:c15="http://schemas.microsoft.com/office/drawing/2012/chart">
                      <c:ext xmlns:c15="http://schemas.microsoft.com/office/drawing/2012/chart" uri="{02D57815-91ED-43cb-92C2-25804820EDAC}">
                        <c15:formulaRef>
                          <c15:sqref>'Emissions summary'!$E$122</c15:sqref>
                        </c15:formulaRef>
                      </c:ext>
                    </c:extLst>
                    <c:strCache>
                      <c:ptCount val="1"/>
                      <c:pt idx="0">
                        <c:v>Biomass burning N2O (inventory)</c:v>
                      </c:pt>
                    </c:strCache>
                  </c:strRef>
                </c:tx>
                <c:spPr>
                  <a:ln w="28575" cap="rnd">
                    <a:solidFill>
                      <a:schemeClr val="accent3">
                        <a:lumMod val="60000"/>
                      </a:schemeClr>
                    </a:solidFill>
                    <a:round/>
                  </a:ln>
                  <a:effectLst/>
                </c:spPr>
                <c:marker>
                  <c:symbol val="none"/>
                </c:marker>
                <c:cat>
                  <c:numRef>
                    <c:extLst xmlns:c15="http://schemas.microsoft.com/office/drawing/2012/chart">
                      <c:ext xmlns:c15="http://schemas.microsoft.com/office/drawing/2012/chart" uri="{02D57815-91ED-43cb-92C2-25804820EDAC}">
                        <c15:formulaRef>
                          <c15:sqref>'Emissions summary'!$F$113:$AG$113</c15:sqref>
                        </c15:formulaRef>
                      </c:ext>
                    </c:extLst>
                    <c:numCache>
                      <c:formatCode>General</c:formatCode>
                      <c:ptCount val="28"/>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numCache>
                  </c:numRef>
                </c:cat>
                <c:val>
                  <c:numRef>
                    <c:extLst xmlns:c15="http://schemas.microsoft.com/office/drawing/2012/chart">
                      <c:ext xmlns:c15="http://schemas.microsoft.com/office/drawing/2012/chart" uri="{02D57815-91ED-43cb-92C2-25804820EDAC}">
                        <c15:formulaRef>
                          <c15:sqref>'Emissions summary'!$F$122:$AG$122</c15:sqref>
                        </c15:formulaRef>
                      </c:ext>
                    </c:extLst>
                    <c:numCache>
                      <c:formatCode>General</c:formatCode>
                      <c:ptCount val="28"/>
                      <c:pt idx="0">
                        <c:v>1149.6141682079121</c:v>
                      </c:pt>
                      <c:pt idx="1">
                        <c:v>1149.6141682079121</c:v>
                      </c:pt>
                      <c:pt idx="2">
                        <c:v>1149.6141682079121</c:v>
                      </c:pt>
                      <c:pt idx="3">
                        <c:v>1149.6141682079121</c:v>
                      </c:pt>
                      <c:pt idx="4">
                        <c:v>1149.6141682079121</c:v>
                      </c:pt>
                      <c:pt idx="5">
                        <c:v>1149.6141682079121</c:v>
                      </c:pt>
                      <c:pt idx="6">
                        <c:v>1149.6141682079121</c:v>
                      </c:pt>
                      <c:pt idx="7">
                        <c:v>1149.6141682079121</c:v>
                      </c:pt>
                      <c:pt idx="8">
                        <c:v>1149.6141682079121</c:v>
                      </c:pt>
                      <c:pt idx="9">
                        <c:v>1149.6141682079121</c:v>
                      </c:pt>
                      <c:pt idx="10">
                        <c:v>1138.5083728727629</c:v>
                      </c:pt>
                      <c:pt idx="11">
                        <c:v>1348.0477860975932</c:v>
                      </c:pt>
                      <c:pt idx="12">
                        <c:v>1328.8199324792706</c:v>
                      </c:pt>
                      <c:pt idx="13">
                        <c:v>1017.846389296701</c:v>
                      </c:pt>
                      <c:pt idx="14">
                        <c:v>914.84836029323264</c:v>
                      </c:pt>
                      <c:pt idx="15">
                        <c:v>1448.2029822975244</c:v>
                      </c:pt>
                      <c:pt idx="16">
                        <c:v>1263.6284316097351</c:v>
                      </c:pt>
                      <c:pt idx="17">
                        <c:v>1217.6306521923173</c:v>
                      </c:pt>
                      <c:pt idx="18">
                        <c:v>1180.4178811371937</c:v>
                      </c:pt>
                      <c:pt idx="19">
                        <c:v>1108.455283615433</c:v>
                      </c:pt>
                      <c:pt idx="20">
                        <c:v>1122.512590663056</c:v>
                      </c:pt>
                      <c:pt idx="21">
                        <c:v>1111.8425729905728</c:v>
                      </c:pt>
                      <c:pt idx="22">
                        <c:v>1003.2623700366383</c:v>
                      </c:pt>
                      <c:pt idx="23">
                        <c:v>980.98785105992999</c:v>
                      </c:pt>
                      <c:pt idx="24">
                        <c:v>1029.413853897383</c:v>
                      </c:pt>
                      <c:pt idx="25">
                        <c:v>748.29527463252236</c:v>
                      </c:pt>
                      <c:pt idx="26">
                        <c:v>435.50232253439043</c:v>
                      </c:pt>
                      <c:pt idx="27">
                        <c:v>408.72643283393637</c:v>
                      </c:pt>
                    </c:numCache>
                  </c:numRef>
                </c:val>
                <c:smooth val="0"/>
                <c:extLst xmlns:c15="http://schemas.microsoft.com/office/drawing/2012/chart">
                  <c:ext xmlns:c16="http://schemas.microsoft.com/office/drawing/2014/chart" uri="{C3380CC4-5D6E-409C-BE32-E72D297353CC}">
                    <c16:uniqueId val="{00000008-521A-4052-915B-F059FD434B62}"/>
                  </c:ext>
                </c:extLst>
              </c15:ser>
            </c15:filteredLineSeries>
            <c15:filteredLineSeries>
              <c15:ser>
                <c:idx val="9"/>
                <c:order val="9"/>
                <c:tx>
                  <c:strRef>
                    <c:extLst xmlns:c15="http://schemas.microsoft.com/office/drawing/2012/chart">
                      <c:ext xmlns:c15="http://schemas.microsoft.com/office/drawing/2012/chart" uri="{02D57815-91ED-43cb-92C2-25804820EDAC}">
                        <c15:formulaRef>
                          <c15:sqref>'Emissions summary'!$E$123</c15:sqref>
                        </c15:formulaRef>
                      </c:ext>
                    </c:extLst>
                    <c:strCache>
                      <c:ptCount val="1"/>
                      <c:pt idx="0">
                        <c:v>Liming (inventory)</c:v>
                      </c:pt>
                    </c:strCache>
                  </c:strRef>
                </c:tx>
                <c:spPr>
                  <a:ln w="28575" cap="rnd">
                    <a:solidFill>
                      <a:schemeClr val="accent4">
                        <a:lumMod val="60000"/>
                      </a:schemeClr>
                    </a:solidFill>
                    <a:round/>
                  </a:ln>
                  <a:effectLst/>
                </c:spPr>
                <c:marker>
                  <c:symbol val="none"/>
                </c:marker>
                <c:cat>
                  <c:numRef>
                    <c:extLst xmlns:c15="http://schemas.microsoft.com/office/drawing/2012/chart">
                      <c:ext xmlns:c15="http://schemas.microsoft.com/office/drawing/2012/chart" uri="{02D57815-91ED-43cb-92C2-25804820EDAC}">
                        <c15:formulaRef>
                          <c15:sqref>'Emissions summary'!$F$113:$AG$113</c15:sqref>
                        </c15:formulaRef>
                      </c:ext>
                    </c:extLst>
                    <c:numCache>
                      <c:formatCode>General</c:formatCode>
                      <c:ptCount val="28"/>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numCache>
                  </c:numRef>
                </c:cat>
                <c:val>
                  <c:numRef>
                    <c:extLst xmlns:c15="http://schemas.microsoft.com/office/drawing/2012/chart">
                      <c:ext xmlns:c15="http://schemas.microsoft.com/office/drawing/2012/chart" uri="{02D57815-91ED-43cb-92C2-25804820EDAC}">
                        <c15:formulaRef>
                          <c15:sqref>'Emissions summary'!$F$123:$AG$123</c15:sqref>
                        </c15:formulaRef>
                      </c:ext>
                    </c:extLst>
                    <c:numCache>
                      <c:formatCode>General</c:formatCode>
                      <c:ptCount val="28"/>
                      <c:pt idx="0">
                        <c:v>363.73333333333335</c:v>
                      </c:pt>
                      <c:pt idx="1">
                        <c:v>386.1</c:v>
                      </c:pt>
                      <c:pt idx="2">
                        <c:v>266.2</c:v>
                      </c:pt>
                      <c:pt idx="3">
                        <c:v>413.6</c:v>
                      </c:pt>
                      <c:pt idx="4">
                        <c:v>603.75919999999996</c:v>
                      </c:pt>
                      <c:pt idx="5">
                        <c:v>481.52980333333335</c:v>
                      </c:pt>
                      <c:pt idx="6">
                        <c:v>588.48859666666669</c:v>
                      </c:pt>
                      <c:pt idx="7">
                        <c:v>556.65125999999998</c:v>
                      </c:pt>
                      <c:pt idx="8">
                        <c:v>581.37815999999998</c:v>
                      </c:pt>
                      <c:pt idx="9">
                        <c:v>577.08170666666672</c:v>
                      </c:pt>
                      <c:pt idx="10">
                        <c:v>384.05253333333332</c:v>
                      </c:pt>
                      <c:pt idx="11">
                        <c:v>497.15031666666664</c:v>
                      </c:pt>
                      <c:pt idx="12">
                        <c:v>683.69223999999997</c:v>
                      </c:pt>
                      <c:pt idx="13">
                        <c:v>585.99346666666668</c:v>
                      </c:pt>
                      <c:pt idx="14">
                        <c:v>585.5420633333332</c:v>
                      </c:pt>
                      <c:pt idx="15">
                        <c:v>267.37941999999998</c:v>
                      </c:pt>
                      <c:pt idx="16">
                        <c:v>445.96068000000002</c:v>
                      </c:pt>
                      <c:pt idx="17">
                        <c:v>524.87031666666667</c:v>
                      </c:pt>
                      <c:pt idx="18">
                        <c:v>658.9218166666667</c:v>
                      </c:pt>
                      <c:pt idx="19">
                        <c:v>701.39039489690549</c:v>
                      </c:pt>
                      <c:pt idx="20">
                        <c:v>659.21936851962221</c:v>
                      </c:pt>
                      <c:pt idx="21">
                        <c:v>728.33299508239213</c:v>
                      </c:pt>
                      <c:pt idx="22">
                        <c:v>834.93197842496943</c:v>
                      </c:pt>
                      <c:pt idx="23">
                        <c:v>755.27559526787866</c:v>
                      </c:pt>
                      <c:pt idx="24">
                        <c:v>778.70394325525831</c:v>
                      </c:pt>
                      <c:pt idx="25">
                        <c:v>785.73244765147194</c:v>
                      </c:pt>
                      <c:pt idx="26">
                        <c:v>987.21624034293666</c:v>
                      </c:pt>
                      <c:pt idx="27">
                        <c:v>1222.085428916417</c:v>
                      </c:pt>
                    </c:numCache>
                  </c:numRef>
                </c:val>
                <c:smooth val="0"/>
                <c:extLst xmlns:c15="http://schemas.microsoft.com/office/drawing/2012/chart">
                  <c:ext xmlns:c16="http://schemas.microsoft.com/office/drawing/2014/chart" uri="{C3380CC4-5D6E-409C-BE32-E72D297353CC}">
                    <c16:uniqueId val="{00000009-521A-4052-915B-F059FD434B62}"/>
                  </c:ext>
                </c:extLst>
              </c15:ser>
            </c15:filteredLineSeries>
            <c15:filteredLineSeries>
              <c15:ser>
                <c:idx val="10"/>
                <c:order val="10"/>
                <c:tx>
                  <c:strRef>
                    <c:extLst xmlns:c15="http://schemas.microsoft.com/office/drawing/2012/chart">
                      <c:ext xmlns:c15="http://schemas.microsoft.com/office/drawing/2012/chart" uri="{02D57815-91ED-43cb-92C2-25804820EDAC}">
                        <c15:formulaRef>
                          <c15:sqref>'Emissions summary'!$E$124</c15:sqref>
                        </c15:formulaRef>
                      </c:ext>
                    </c:extLst>
                    <c:strCache>
                      <c:ptCount val="1"/>
                      <c:pt idx="0">
                        <c:v>Urea (inventory)</c:v>
                      </c:pt>
                    </c:strCache>
                  </c:strRef>
                </c:tx>
                <c:spPr>
                  <a:ln w="28575" cap="rnd">
                    <a:solidFill>
                      <a:schemeClr val="accent5">
                        <a:lumMod val="60000"/>
                      </a:schemeClr>
                    </a:solidFill>
                    <a:round/>
                  </a:ln>
                  <a:effectLst/>
                </c:spPr>
                <c:marker>
                  <c:symbol val="none"/>
                </c:marker>
                <c:cat>
                  <c:numRef>
                    <c:extLst xmlns:c15="http://schemas.microsoft.com/office/drawing/2012/chart">
                      <c:ext xmlns:c15="http://schemas.microsoft.com/office/drawing/2012/chart" uri="{02D57815-91ED-43cb-92C2-25804820EDAC}">
                        <c15:formulaRef>
                          <c15:sqref>'Emissions summary'!$F$113:$AG$113</c15:sqref>
                        </c15:formulaRef>
                      </c:ext>
                    </c:extLst>
                    <c:numCache>
                      <c:formatCode>General</c:formatCode>
                      <c:ptCount val="28"/>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numCache>
                  </c:numRef>
                </c:cat>
                <c:val>
                  <c:numRef>
                    <c:extLst xmlns:c15="http://schemas.microsoft.com/office/drawing/2012/chart">
                      <c:ext xmlns:c15="http://schemas.microsoft.com/office/drawing/2012/chart" uri="{02D57815-91ED-43cb-92C2-25804820EDAC}">
                        <c15:formulaRef>
                          <c15:sqref>'Emissions summary'!$F$124:$AG$124</c15:sqref>
                        </c15:formulaRef>
                      </c:ext>
                    </c:extLst>
                    <c:numCache>
                      <c:formatCode>General</c:formatCode>
                      <c:ptCount val="28"/>
                      <c:pt idx="0">
                        <c:v>90.994567483487728</c:v>
                      </c:pt>
                      <c:pt idx="1">
                        <c:v>111.62690198838213</c:v>
                      </c:pt>
                      <c:pt idx="2">
                        <c:v>132.25923649327655</c:v>
                      </c:pt>
                      <c:pt idx="3">
                        <c:v>152.89157099816552</c:v>
                      </c:pt>
                      <c:pt idx="4">
                        <c:v>173.52390550305992</c:v>
                      </c:pt>
                      <c:pt idx="5">
                        <c:v>194.15624000795432</c:v>
                      </c:pt>
                      <c:pt idx="6">
                        <c:v>214.78857451284878</c:v>
                      </c:pt>
                      <c:pt idx="7">
                        <c:v>235.42090901774316</c:v>
                      </c:pt>
                      <c:pt idx="8">
                        <c:v>256.05324352263756</c:v>
                      </c:pt>
                      <c:pt idx="9">
                        <c:v>276.68557802753202</c:v>
                      </c:pt>
                      <c:pt idx="10">
                        <c:v>297.31791253242642</c:v>
                      </c:pt>
                      <c:pt idx="11">
                        <c:v>317.95024703732088</c:v>
                      </c:pt>
                      <c:pt idx="12">
                        <c:v>338.58258154220977</c:v>
                      </c:pt>
                      <c:pt idx="13">
                        <c:v>359.21491604710423</c:v>
                      </c:pt>
                      <c:pt idx="14">
                        <c:v>435.89846666666665</c:v>
                      </c:pt>
                      <c:pt idx="15">
                        <c:v>355.08659999999998</c:v>
                      </c:pt>
                      <c:pt idx="16">
                        <c:v>393.08573333333334</c:v>
                      </c:pt>
                      <c:pt idx="17">
                        <c:v>484.55366666666663</c:v>
                      </c:pt>
                      <c:pt idx="18">
                        <c:v>480.1925333333333</c:v>
                      </c:pt>
                      <c:pt idx="19">
                        <c:v>380.54426666666666</c:v>
                      </c:pt>
                      <c:pt idx="20">
                        <c:v>501.48046666666664</c:v>
                      </c:pt>
                      <c:pt idx="21">
                        <c:v>571.19113333333325</c:v>
                      </c:pt>
                      <c:pt idx="22">
                        <c:v>587.22106666666662</c:v>
                      </c:pt>
                      <c:pt idx="23">
                        <c:v>533.06336966666674</c:v>
                      </c:pt>
                      <c:pt idx="24">
                        <c:v>663.77159200000006</c:v>
                      </c:pt>
                      <c:pt idx="25">
                        <c:v>486.09938600666663</c:v>
                      </c:pt>
                      <c:pt idx="26">
                        <c:v>643.60119999999995</c:v>
                      </c:pt>
                      <c:pt idx="27">
                        <c:v>679.61446666666666</c:v>
                      </c:pt>
                    </c:numCache>
                  </c:numRef>
                </c:val>
                <c:smooth val="0"/>
                <c:extLst xmlns:c15="http://schemas.microsoft.com/office/drawing/2012/chart">
                  <c:ext xmlns:c16="http://schemas.microsoft.com/office/drawing/2014/chart" uri="{C3380CC4-5D6E-409C-BE32-E72D297353CC}">
                    <c16:uniqueId val="{0000000A-521A-4052-915B-F059FD434B62}"/>
                  </c:ext>
                </c:extLst>
              </c15:ser>
            </c15:filteredLineSeries>
            <c15:filteredLineSeries>
              <c15:ser>
                <c:idx val="12"/>
                <c:order val="12"/>
                <c:tx>
                  <c:strRef>
                    <c:extLst xmlns:c15="http://schemas.microsoft.com/office/drawing/2012/chart">
                      <c:ext xmlns:c15="http://schemas.microsoft.com/office/drawing/2012/chart" uri="{02D57815-91ED-43cb-92C2-25804820EDAC}">
                        <c15:formulaRef>
                          <c15:sqref>'Emissions summary'!$E$126</c15:sqref>
                        </c15:formulaRef>
                      </c:ext>
                    </c:extLst>
                    <c:strCache>
                      <c:ptCount val="1"/>
                      <c:pt idx="0">
                        <c:v>Indirect N2O from MS (inventory)</c:v>
                      </c:pt>
                    </c:strCache>
                  </c:strRef>
                </c:tx>
                <c:spPr>
                  <a:ln w="28575" cap="rnd">
                    <a:solidFill>
                      <a:schemeClr val="accent1">
                        <a:lumMod val="80000"/>
                        <a:lumOff val="20000"/>
                      </a:schemeClr>
                    </a:solidFill>
                    <a:round/>
                  </a:ln>
                  <a:effectLst/>
                </c:spPr>
                <c:marker>
                  <c:symbol val="none"/>
                </c:marker>
                <c:cat>
                  <c:numRef>
                    <c:extLst xmlns:c15="http://schemas.microsoft.com/office/drawing/2012/chart">
                      <c:ext xmlns:c15="http://schemas.microsoft.com/office/drawing/2012/chart" uri="{02D57815-91ED-43cb-92C2-25804820EDAC}">
                        <c15:formulaRef>
                          <c15:sqref>'Emissions summary'!$F$113:$AG$113</c15:sqref>
                        </c15:formulaRef>
                      </c:ext>
                    </c:extLst>
                    <c:numCache>
                      <c:formatCode>General</c:formatCode>
                      <c:ptCount val="28"/>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numCache>
                  </c:numRef>
                </c:cat>
                <c:val>
                  <c:numRef>
                    <c:extLst xmlns:c15="http://schemas.microsoft.com/office/drawing/2012/chart">
                      <c:ext xmlns:c15="http://schemas.microsoft.com/office/drawing/2012/chart" uri="{02D57815-91ED-43cb-92C2-25804820EDAC}">
                        <c15:formulaRef>
                          <c15:sqref>'Emissions summary'!$F$126:$AG$126</c15:sqref>
                        </c15:formulaRef>
                      </c:ext>
                    </c:extLst>
                    <c:numCache>
                      <c:formatCode>General</c:formatCode>
                      <c:ptCount val="28"/>
                      <c:pt idx="0">
                        <c:v>2447.8863951470803</c:v>
                      </c:pt>
                      <c:pt idx="1">
                        <c:v>2496.9018451868697</c:v>
                      </c:pt>
                      <c:pt idx="2">
                        <c:v>2435.3630625952328</c:v>
                      </c:pt>
                      <c:pt idx="3">
                        <c:v>2396.995208451192</c:v>
                      </c:pt>
                      <c:pt idx="4">
                        <c:v>2325.2582722477832</c:v>
                      </c:pt>
                      <c:pt idx="5">
                        <c:v>2349.1668279124592</c:v>
                      </c:pt>
                      <c:pt idx="6">
                        <c:v>2406.4403578126485</c:v>
                      </c:pt>
                      <c:pt idx="7">
                        <c:v>2433.097951693017</c:v>
                      </c:pt>
                      <c:pt idx="8">
                        <c:v>2471.2628832175142</c:v>
                      </c:pt>
                      <c:pt idx="9">
                        <c:v>2472.2132034057472</c:v>
                      </c:pt>
                      <c:pt idx="10">
                        <c:v>2480.4922407158388</c:v>
                      </c:pt>
                      <c:pt idx="11">
                        <c:v>2454.0922943343203</c:v>
                      </c:pt>
                      <c:pt idx="12">
                        <c:v>2476.3439129367157</c:v>
                      </c:pt>
                      <c:pt idx="13">
                        <c:v>2359.3324950161041</c:v>
                      </c:pt>
                      <c:pt idx="14">
                        <c:v>2347.4845744803165</c:v>
                      </c:pt>
                      <c:pt idx="15">
                        <c:v>2284.6952992295182</c:v>
                      </c:pt>
                      <c:pt idx="16">
                        <c:v>2357.5665947783837</c:v>
                      </c:pt>
                      <c:pt idx="17">
                        <c:v>2297.5662221729922</c:v>
                      </c:pt>
                      <c:pt idx="18">
                        <c:v>2380.9463845396517</c:v>
                      </c:pt>
                      <c:pt idx="19">
                        <c:v>2329.35287655092</c:v>
                      </c:pt>
                      <c:pt idx="20">
                        <c:v>2369.3465541862302</c:v>
                      </c:pt>
                      <c:pt idx="21">
                        <c:v>2370.4305491547971</c:v>
                      </c:pt>
                      <c:pt idx="22">
                        <c:v>2269.153208313021</c:v>
                      </c:pt>
                      <c:pt idx="23">
                        <c:v>2431.7524623901409</c:v>
                      </c:pt>
                      <c:pt idx="24">
                        <c:v>2430.5768400701409</c:v>
                      </c:pt>
                      <c:pt idx="25">
                        <c:v>2407.0023766672321</c:v>
                      </c:pt>
                      <c:pt idx="26">
                        <c:v>2265.174978621726</c:v>
                      </c:pt>
                      <c:pt idx="27">
                        <c:v>2253.2585636522972</c:v>
                      </c:pt>
                    </c:numCache>
                  </c:numRef>
                </c:val>
                <c:smooth val="0"/>
                <c:extLst xmlns:c15="http://schemas.microsoft.com/office/drawing/2012/chart">
                  <c:ext xmlns:c16="http://schemas.microsoft.com/office/drawing/2014/chart" uri="{C3380CC4-5D6E-409C-BE32-E72D297353CC}">
                    <c16:uniqueId val="{0000000C-521A-4052-915B-F059FD434B62}"/>
                  </c:ext>
                </c:extLst>
              </c15:ser>
            </c15:filteredLineSeries>
            <c15:filteredLineSeries>
              <c15:ser>
                <c:idx val="13"/>
                <c:order val="13"/>
                <c:tx>
                  <c:strRef>
                    <c:extLst xmlns:c15="http://schemas.microsoft.com/office/drawing/2012/chart">
                      <c:ext xmlns:c15="http://schemas.microsoft.com/office/drawing/2012/chart" uri="{02D57815-91ED-43cb-92C2-25804820EDAC}">
                        <c15:formulaRef>
                          <c15:sqref>'Emissions summary'!$E$127</c15:sqref>
                        </c15:formulaRef>
                      </c:ext>
                    </c:extLst>
                    <c:strCache>
                      <c:ptCount val="1"/>
                      <c:pt idx="0">
                        <c:v>Indirect N2O from MM (inventory)</c:v>
                      </c:pt>
                    </c:strCache>
                  </c:strRef>
                </c:tx>
                <c:spPr>
                  <a:ln w="28575" cap="rnd">
                    <a:solidFill>
                      <a:schemeClr val="accent2">
                        <a:lumMod val="80000"/>
                        <a:lumOff val="20000"/>
                      </a:schemeClr>
                    </a:solidFill>
                    <a:round/>
                  </a:ln>
                  <a:effectLst/>
                </c:spPr>
                <c:marker>
                  <c:symbol val="none"/>
                </c:marker>
                <c:cat>
                  <c:numRef>
                    <c:extLst xmlns:c15="http://schemas.microsoft.com/office/drawing/2012/chart">
                      <c:ext xmlns:c15="http://schemas.microsoft.com/office/drawing/2012/chart" uri="{02D57815-91ED-43cb-92C2-25804820EDAC}">
                        <c15:formulaRef>
                          <c15:sqref>'Emissions summary'!$F$113:$AG$113</c15:sqref>
                        </c15:formulaRef>
                      </c:ext>
                    </c:extLst>
                    <c:numCache>
                      <c:formatCode>General</c:formatCode>
                      <c:ptCount val="28"/>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numCache>
                  </c:numRef>
                </c:cat>
                <c:val>
                  <c:numRef>
                    <c:extLst xmlns:c15="http://schemas.microsoft.com/office/drawing/2012/chart">
                      <c:ext xmlns:c15="http://schemas.microsoft.com/office/drawing/2012/chart" uri="{02D57815-91ED-43cb-92C2-25804820EDAC}">
                        <c15:formulaRef>
                          <c15:sqref>'Emissions summary'!$F$127:$AG$127</c15:sqref>
                        </c15:formulaRef>
                      </c:ext>
                    </c:extLst>
                    <c:numCache>
                      <c:formatCode>General</c:formatCode>
                      <c:ptCount val="28"/>
                      <c:pt idx="0">
                        <c:v>332.77730613860399</c:v>
                      </c:pt>
                      <c:pt idx="1">
                        <c:v>353.03457691007083</c:v>
                      </c:pt>
                      <c:pt idx="2">
                        <c:v>329.75336223257443</c:v>
                      </c:pt>
                      <c:pt idx="3">
                        <c:v>341.70939722274608</c:v>
                      </c:pt>
                      <c:pt idx="4">
                        <c:v>326.52853902593881</c:v>
                      </c:pt>
                      <c:pt idx="5">
                        <c:v>344.58323593662567</c:v>
                      </c:pt>
                      <c:pt idx="6">
                        <c:v>360.27670046049241</c:v>
                      </c:pt>
                      <c:pt idx="7">
                        <c:v>357.64284080532752</c:v>
                      </c:pt>
                      <c:pt idx="8">
                        <c:v>367.73848791261435</c:v>
                      </c:pt>
                      <c:pt idx="9">
                        <c:v>372.0452384281258</c:v>
                      </c:pt>
                      <c:pt idx="10">
                        <c:v>408.94308689508148</c:v>
                      </c:pt>
                      <c:pt idx="11">
                        <c:v>406.68937516322404</c:v>
                      </c:pt>
                      <c:pt idx="12">
                        <c:v>397.06973777083419</c:v>
                      </c:pt>
                      <c:pt idx="13">
                        <c:v>376.09010924780205</c:v>
                      </c:pt>
                      <c:pt idx="14">
                        <c:v>374.09743931517124</c:v>
                      </c:pt>
                      <c:pt idx="15">
                        <c:v>392.69820864834276</c:v>
                      </c:pt>
                      <c:pt idx="16">
                        <c:v>398.35557315486267</c:v>
                      </c:pt>
                      <c:pt idx="17">
                        <c:v>404.14478384272525</c:v>
                      </c:pt>
                      <c:pt idx="18">
                        <c:v>438.4751035531649</c:v>
                      </c:pt>
                      <c:pt idx="19">
                        <c:v>433.26067452840772</c:v>
                      </c:pt>
                      <c:pt idx="20">
                        <c:v>438.54251424027257</c:v>
                      </c:pt>
                      <c:pt idx="21">
                        <c:v>444.74604882624305</c:v>
                      </c:pt>
                      <c:pt idx="22">
                        <c:v>440.60780254144959</c:v>
                      </c:pt>
                      <c:pt idx="23">
                        <c:v>456.58226294187887</c:v>
                      </c:pt>
                      <c:pt idx="24">
                        <c:v>454.87268271519412</c:v>
                      </c:pt>
                      <c:pt idx="25">
                        <c:v>463.54275866618883</c:v>
                      </c:pt>
                      <c:pt idx="26">
                        <c:v>458.22071963845576</c:v>
                      </c:pt>
                      <c:pt idx="27">
                        <c:v>469.34598780544559</c:v>
                      </c:pt>
                    </c:numCache>
                  </c:numRef>
                </c:val>
                <c:smooth val="0"/>
                <c:extLst xmlns:c15="http://schemas.microsoft.com/office/drawing/2012/chart">
                  <c:ext xmlns:c16="http://schemas.microsoft.com/office/drawing/2014/chart" uri="{C3380CC4-5D6E-409C-BE32-E72D297353CC}">
                    <c16:uniqueId val="{0000000D-521A-4052-915B-F059FD434B62}"/>
                  </c:ext>
                </c:extLst>
              </c15:ser>
            </c15:filteredLineSeries>
          </c:ext>
        </c:extLst>
      </c:lineChart>
      <c:catAx>
        <c:axId val="13634607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3463696"/>
        <c:crosses val="autoZero"/>
        <c:auto val="1"/>
        <c:lblAlgn val="ctr"/>
        <c:lblOffset val="100"/>
        <c:noMultiLvlLbl val="0"/>
      </c:catAx>
      <c:valAx>
        <c:axId val="1363463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34607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Data!$A$38:$B$38</c:f>
              <c:strCache>
                <c:ptCount val="2"/>
                <c:pt idx="0">
                  <c:v>Sorghum consumption (feed)</c:v>
                </c:pt>
                <c:pt idx="1">
                  <c:v>t</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we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Data!$M$37:$AD$37</c:f>
              <c:numCache>
                <c:formatCode>General</c:formatCode>
                <c:ptCount val="18"/>
                <c:pt idx="0">
                  <c:v>2936000</c:v>
                </c:pt>
                <c:pt idx="1">
                  <c:v>3263000</c:v>
                </c:pt>
                <c:pt idx="2">
                  <c:v>3274000</c:v>
                </c:pt>
                <c:pt idx="3">
                  <c:v>3275000</c:v>
                </c:pt>
                <c:pt idx="4">
                  <c:v>3531000</c:v>
                </c:pt>
                <c:pt idx="5">
                  <c:v>3543000</c:v>
                </c:pt>
                <c:pt idx="6">
                  <c:v>3637000</c:v>
                </c:pt>
                <c:pt idx="7">
                  <c:v>3844000</c:v>
                </c:pt>
                <c:pt idx="8">
                  <c:v>4220000</c:v>
                </c:pt>
                <c:pt idx="9">
                  <c:v>4089000</c:v>
                </c:pt>
                <c:pt idx="10">
                  <c:v>4187000</c:v>
                </c:pt>
                <c:pt idx="11">
                  <c:v>4344000</c:v>
                </c:pt>
                <c:pt idx="12">
                  <c:v>4429000</c:v>
                </c:pt>
                <c:pt idx="13">
                  <c:v>4436000</c:v>
                </c:pt>
                <c:pt idx="14">
                  <c:v>4767000</c:v>
                </c:pt>
                <c:pt idx="15">
                  <c:v>5087000</c:v>
                </c:pt>
                <c:pt idx="16">
                  <c:v>5551000</c:v>
                </c:pt>
                <c:pt idx="17">
                  <c:v>5004000</c:v>
                </c:pt>
              </c:numCache>
            </c:numRef>
          </c:xVal>
          <c:yVal>
            <c:numRef>
              <c:f>Data!$M$38:$AD$38</c:f>
              <c:numCache>
                <c:formatCode>General</c:formatCode>
                <c:ptCount val="18"/>
                <c:pt idx="0">
                  <c:v>36000</c:v>
                </c:pt>
                <c:pt idx="1">
                  <c:v>23000</c:v>
                </c:pt>
                <c:pt idx="2">
                  <c:v>16000</c:v>
                </c:pt>
                <c:pt idx="3">
                  <c:v>22000</c:v>
                </c:pt>
                <c:pt idx="4">
                  <c:v>10000</c:v>
                </c:pt>
                <c:pt idx="5">
                  <c:v>10000</c:v>
                </c:pt>
                <c:pt idx="6">
                  <c:v>12000</c:v>
                </c:pt>
                <c:pt idx="7">
                  <c:v>8000</c:v>
                </c:pt>
                <c:pt idx="8">
                  <c:v>11000</c:v>
                </c:pt>
                <c:pt idx="9">
                  <c:v>10000</c:v>
                </c:pt>
                <c:pt idx="10">
                  <c:v>8000</c:v>
                </c:pt>
                <c:pt idx="11">
                  <c:v>9000</c:v>
                </c:pt>
                <c:pt idx="12">
                  <c:v>7000</c:v>
                </c:pt>
                <c:pt idx="13">
                  <c:v>6000</c:v>
                </c:pt>
                <c:pt idx="14">
                  <c:v>5000</c:v>
                </c:pt>
                <c:pt idx="15">
                  <c:v>7000</c:v>
                </c:pt>
                <c:pt idx="16">
                  <c:v>10000</c:v>
                </c:pt>
                <c:pt idx="17">
                  <c:v>10000</c:v>
                </c:pt>
              </c:numCache>
            </c:numRef>
          </c:yVal>
          <c:smooth val="0"/>
          <c:extLst>
            <c:ext xmlns:c16="http://schemas.microsoft.com/office/drawing/2014/chart" uri="{C3380CC4-5D6E-409C-BE32-E72D297353CC}">
              <c16:uniqueId val="{00000000-9B8F-419A-9699-F0E894C1F0F6}"/>
            </c:ext>
          </c:extLst>
        </c:ser>
        <c:dLbls>
          <c:showLegendKey val="0"/>
          <c:showVal val="0"/>
          <c:showCatName val="0"/>
          <c:showSerName val="0"/>
          <c:showPercent val="0"/>
          <c:showBubbleSize val="0"/>
        </c:dLbls>
        <c:axId val="709868927"/>
        <c:axId val="709862687"/>
      </c:scatterChart>
      <c:valAx>
        <c:axId val="70986892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9862687"/>
        <c:crosses val="autoZero"/>
        <c:crossBetween val="midCat"/>
      </c:valAx>
      <c:valAx>
        <c:axId val="7098626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9868927"/>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Data!$A$5:$B$5</c:f>
              <c:strCache>
                <c:ptCount val="2"/>
                <c:pt idx="0">
                  <c:v>Beef consumption</c:v>
                </c:pt>
                <c:pt idx="1">
                  <c:v>t/capita</c:v>
                </c:pt>
              </c:strCache>
            </c:strRef>
          </c:tx>
          <c:spPr>
            <a:ln w="19050" cap="rnd">
              <a:noFill/>
              <a:round/>
            </a:ln>
            <a:effectLst/>
          </c:spPr>
          <c:marker>
            <c:symbol val="circle"/>
            <c:size val="5"/>
            <c:spPr>
              <a:solidFill>
                <a:schemeClr val="accent1"/>
              </a:solidFill>
              <a:ln w="9525">
                <a:solidFill>
                  <a:schemeClr val="accent1"/>
                </a:solidFill>
              </a:ln>
              <a:effectLst/>
            </c:spPr>
          </c:marker>
          <c:xVal>
            <c:numRef>
              <c:f>Data!$T$4:$AD$4</c:f>
              <c:numCache>
                <c:formatCode>General</c:formatCode>
                <c:ptCount val="11"/>
                <c:pt idx="0">
                  <c:v>52.688735600202499</c:v>
                </c:pt>
                <c:pt idx="1">
                  <c:v>53.946299970070584</c:v>
                </c:pt>
                <c:pt idx="2">
                  <c:v>52.486723389004794</c:v>
                </c:pt>
                <c:pt idx="3">
                  <c:v>53.321508829093538</c:v>
                </c:pt>
                <c:pt idx="4">
                  <c:v>54.316382696129395</c:v>
                </c:pt>
                <c:pt idx="5">
                  <c:v>55.299399175950342</c:v>
                </c:pt>
                <c:pt idx="6">
                  <c:v>55.926160382808312</c:v>
                </c:pt>
                <c:pt idx="7">
                  <c:v>56.204513680048407</c:v>
                </c:pt>
                <c:pt idx="8">
                  <c:v>56.216855593021982</c:v>
                </c:pt>
                <c:pt idx="9">
                  <c:v>55.955409974487146</c:v>
                </c:pt>
                <c:pt idx="10">
                  <c:v>55.984220692619765</c:v>
                </c:pt>
              </c:numCache>
            </c:numRef>
          </c:xVal>
          <c:yVal>
            <c:numRef>
              <c:f>Data!$T$5:$AD$5</c:f>
              <c:numCache>
                <c:formatCode>General</c:formatCode>
                <c:ptCount val="11"/>
                <c:pt idx="0">
                  <c:v>1.7610021254379524E-2</c:v>
                </c:pt>
                <c:pt idx="1">
                  <c:v>1.5407958031534726E-2</c:v>
                </c:pt>
                <c:pt idx="2">
                  <c:v>1.553182299165852E-2</c:v>
                </c:pt>
                <c:pt idx="3">
                  <c:v>1.7181807184041598E-2</c:v>
                </c:pt>
                <c:pt idx="4">
                  <c:v>1.6902490054067201E-2</c:v>
                </c:pt>
                <c:pt idx="5">
                  <c:v>1.6531158030732743E-2</c:v>
                </c:pt>
                <c:pt idx="6">
                  <c:v>1.7136060892304256E-2</c:v>
                </c:pt>
                <c:pt idx="7">
                  <c:v>1.8196196501834357E-2</c:v>
                </c:pt>
                <c:pt idx="8">
                  <c:v>1.8684763785133233E-2</c:v>
                </c:pt>
                <c:pt idx="9">
                  <c:v>1.9273663203246076E-2</c:v>
                </c:pt>
                <c:pt idx="10">
                  <c:v>1.8134548357121919E-2</c:v>
                </c:pt>
              </c:numCache>
            </c:numRef>
          </c:yVal>
          <c:smooth val="0"/>
          <c:extLst>
            <c:ext xmlns:c16="http://schemas.microsoft.com/office/drawing/2014/chart" uri="{C3380CC4-5D6E-409C-BE32-E72D297353CC}">
              <c16:uniqueId val="{00000000-E89B-4B7F-B276-59A9C9717175}"/>
            </c:ext>
          </c:extLst>
        </c:ser>
        <c:dLbls>
          <c:showLegendKey val="0"/>
          <c:showVal val="0"/>
          <c:showCatName val="0"/>
          <c:showSerName val="0"/>
          <c:showPercent val="0"/>
          <c:showBubbleSize val="0"/>
        </c:dLbls>
        <c:axId val="692887135"/>
        <c:axId val="692899199"/>
      </c:scatterChart>
      <c:valAx>
        <c:axId val="69288713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2899199"/>
        <c:crosses val="autoZero"/>
        <c:crossBetween val="midCat"/>
      </c:valAx>
      <c:valAx>
        <c:axId val="6928991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2887135"/>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75" b="1" i="0" u="none" strike="noStrike" baseline="0">
                <a:solidFill>
                  <a:srgbClr val="000000"/>
                </a:solidFill>
                <a:latin typeface="Arial"/>
                <a:ea typeface="Arial"/>
                <a:cs typeface="Arial"/>
              </a:defRPr>
            </a:pPr>
            <a:r>
              <a:rPr lang="en-ZA"/>
              <a:t>Beef price outlook: Economy shock</a:t>
            </a:r>
          </a:p>
        </c:rich>
      </c:tx>
      <c:overlay val="0"/>
      <c:spPr>
        <a:noFill/>
        <a:ln w="25400">
          <a:noFill/>
        </a:ln>
      </c:spPr>
    </c:title>
    <c:autoTitleDeleted val="0"/>
    <c:plotArea>
      <c:layout/>
      <c:lineChart>
        <c:grouping val="standard"/>
        <c:varyColors val="0"/>
        <c:ser>
          <c:idx val="0"/>
          <c:order val="0"/>
          <c:spPr>
            <a:ln w="25400">
              <a:solidFill>
                <a:srgbClr val="FF0000"/>
              </a:solidFill>
              <a:prstDash val="solid"/>
            </a:ln>
          </c:spPr>
          <c:marker>
            <c:symbol val="diamond"/>
            <c:size val="7"/>
            <c:spPr>
              <a:solidFill>
                <a:srgbClr val="FF0000"/>
              </a:solidFill>
              <a:ln>
                <a:solidFill>
                  <a:srgbClr val="FF0000"/>
                </a:solidFill>
                <a:prstDash val="solid"/>
              </a:ln>
            </c:spPr>
          </c:marker>
          <c:val>
            <c:numRef>
              <c:f>Data!#REF!</c:f>
              <c:numCache>
                <c:formatCode>General</c:formatCode>
                <c:ptCount val="1"/>
                <c:pt idx="0">
                  <c:v>1</c:v>
                </c:pt>
              </c:numCache>
            </c:numRef>
          </c:val>
          <c:smooth val="0"/>
          <c:extLst>
            <c:ext xmlns:c15="http://schemas.microsoft.com/office/drawing/2012/chart" uri="{02D57815-91ED-43cb-92C2-25804820EDAC}">
              <c15:filteredSeriesTitle>
                <c15:tx>
                  <c:strRef>
                    <c:extLst>
                      <c:ext uri="{02D57815-91ED-43cb-92C2-25804820EDAC}">
                        <c15:formulaRef>
                          <c15:sqref>Data!#REF!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Data!#REF!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0-2117-45CF-AAC5-4FAE3027B774}"/>
            </c:ext>
          </c:extLst>
        </c:ser>
        <c:ser>
          <c:idx val="1"/>
          <c:order val="1"/>
          <c:spPr>
            <a:ln w="25400">
              <a:solidFill>
                <a:srgbClr val="FF0000"/>
              </a:solidFill>
              <a:prstDash val="solid"/>
            </a:ln>
          </c:spPr>
          <c:marker>
            <c:symbol val="square"/>
            <c:size val="7"/>
            <c:spPr>
              <a:noFill/>
              <a:ln>
                <a:solidFill>
                  <a:srgbClr val="FF0000"/>
                </a:solidFill>
                <a:prstDash val="solid"/>
              </a:ln>
            </c:spPr>
          </c:marker>
          <c:val>
            <c:numRef>
              <c:f>Data!#REF!</c:f>
              <c:numCache>
                <c:formatCode>General</c:formatCode>
                <c:ptCount val="1"/>
                <c:pt idx="0">
                  <c:v>1</c:v>
                </c:pt>
              </c:numCache>
            </c:numRef>
          </c:val>
          <c:smooth val="0"/>
          <c:extLst>
            <c:ext xmlns:c15="http://schemas.microsoft.com/office/drawing/2012/chart" uri="{02D57815-91ED-43cb-92C2-25804820EDAC}">
              <c15:filteredSeriesTitle>
                <c15:tx>
                  <c:strRef>
                    <c:extLst>
                      <c:ext uri="{02D57815-91ED-43cb-92C2-25804820EDAC}">
                        <c15:formulaRef>
                          <c15:sqref>Data!#REF!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Data!#REF!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1-2117-45CF-AAC5-4FAE3027B774}"/>
            </c:ext>
          </c:extLst>
        </c:ser>
        <c:dLbls>
          <c:showLegendKey val="0"/>
          <c:showVal val="0"/>
          <c:showCatName val="0"/>
          <c:showSerName val="0"/>
          <c:showPercent val="0"/>
          <c:showBubbleSize val="0"/>
        </c:dLbls>
        <c:marker val="1"/>
        <c:smooth val="0"/>
        <c:axId val="1910012864"/>
        <c:axId val="1909993280"/>
      </c:lineChart>
      <c:catAx>
        <c:axId val="191001286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en-US"/>
          </a:p>
        </c:txPr>
        <c:crossAx val="1909993280"/>
        <c:crosses val="autoZero"/>
        <c:auto val="1"/>
        <c:lblAlgn val="ctr"/>
        <c:lblOffset val="100"/>
        <c:tickLblSkip val="1"/>
        <c:tickMarkSkip val="1"/>
        <c:noMultiLvlLbl val="0"/>
      </c:catAx>
      <c:valAx>
        <c:axId val="1909993280"/>
        <c:scaling>
          <c:orientation val="minMax"/>
        </c:scaling>
        <c:delete val="0"/>
        <c:axPos val="l"/>
        <c:majorGridlines>
          <c:spPr>
            <a:ln w="3175">
              <a:solidFill>
                <a:srgbClr val="000000"/>
              </a:solidFill>
              <a:prstDash val="solid"/>
            </a:ln>
          </c:spPr>
        </c:majorGridlines>
        <c:title>
          <c:tx>
            <c:rich>
              <a:bodyPr/>
              <a:lstStyle/>
              <a:p>
                <a:pPr>
                  <a:defRPr sz="250" b="0" i="0" u="none" strike="noStrike" baseline="0">
                    <a:solidFill>
                      <a:srgbClr val="000000"/>
                    </a:solidFill>
                    <a:latin typeface="Arial"/>
                    <a:ea typeface="Arial"/>
                    <a:cs typeface="Arial"/>
                  </a:defRPr>
                </a:pPr>
                <a:r>
                  <a:rPr lang="en-ZA"/>
                  <a:t>c/kg</a:t>
                </a:r>
              </a:p>
            </c:rich>
          </c:tx>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en-US"/>
          </a:p>
        </c:txPr>
        <c:crossAx val="1910012864"/>
        <c:crosses val="autoZero"/>
        <c:crossBetween val="between"/>
        <c:majorUnit val="1000"/>
      </c:valAx>
      <c:spPr>
        <a:noFill/>
        <a:ln w="12700">
          <a:solidFill>
            <a:srgbClr val="808080"/>
          </a:solidFill>
          <a:prstDash val="solid"/>
        </a:ln>
      </c:spPr>
    </c:plotArea>
    <c:legend>
      <c:legendPos val="b"/>
      <c:overlay val="0"/>
      <c:spPr>
        <a:noFill/>
        <a:ln w="25400">
          <a:noFill/>
        </a:ln>
      </c:spPr>
      <c:txPr>
        <a:bodyPr/>
        <a:lstStyle/>
        <a:p>
          <a:pPr>
            <a:defRPr sz="23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250" b="0" i="0" u="none" strike="noStrike" baseline="0">
          <a:solidFill>
            <a:srgbClr val="000000"/>
          </a:solidFill>
          <a:latin typeface="Arial"/>
          <a:ea typeface="Arial"/>
          <a:cs typeface="Arial"/>
        </a:defRPr>
      </a:pPr>
      <a:endParaRPr lang="en-US"/>
    </a:p>
  </c:txPr>
  <c:printSettings>
    <c:headerFooter alignWithMargins="0"/>
    <c:pageMargins b="1" l="0.75000000000000022" r="0.75000000000000022"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50" b="1" i="0" u="none" strike="noStrike" baseline="0">
                <a:solidFill>
                  <a:srgbClr val="000000"/>
                </a:solidFill>
                <a:latin typeface="Arial"/>
                <a:ea typeface="Arial"/>
                <a:cs typeface="Arial"/>
              </a:defRPr>
            </a:pPr>
            <a:r>
              <a:rPr lang="en-ZA"/>
              <a:t>Beef:Maize price ratio outlook</a:t>
            </a:r>
          </a:p>
        </c:rich>
      </c:tx>
      <c:overlay val="0"/>
      <c:spPr>
        <a:noFill/>
        <a:ln w="25400">
          <a:noFill/>
        </a:ln>
      </c:spPr>
    </c:title>
    <c:autoTitleDeleted val="0"/>
    <c:plotArea>
      <c:layout/>
      <c:barChart>
        <c:barDir val="col"/>
        <c:grouping val="clustered"/>
        <c:varyColors val="0"/>
        <c:ser>
          <c:idx val="0"/>
          <c:order val="0"/>
          <c:spPr>
            <a:solidFill>
              <a:srgbClr val="0000FF"/>
            </a:solidFill>
            <a:ln w="12700">
              <a:solidFill>
                <a:srgbClr val="000000"/>
              </a:solidFill>
              <a:prstDash val="solid"/>
            </a:ln>
          </c:spPr>
          <c:invertIfNegative val="0"/>
          <c:val>
            <c:numRef>
              <c:f>Data!#REF!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Data!#REF!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Data!#REF!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0-B07A-430E-847B-882FB6A03E40}"/>
            </c:ext>
          </c:extLst>
        </c:ser>
        <c:ser>
          <c:idx val="1"/>
          <c:order val="1"/>
          <c:spPr>
            <a:solidFill>
              <a:srgbClr val="FF0000"/>
            </a:solidFill>
            <a:ln w="12700">
              <a:solidFill>
                <a:srgbClr val="000000"/>
              </a:solidFill>
              <a:prstDash val="solid"/>
            </a:ln>
          </c:spPr>
          <c:invertIfNegative val="0"/>
          <c:val>
            <c:numRef>
              <c:f>Data!#REF!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Data!#REF!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Data!#REF!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1-B07A-430E-847B-882FB6A03E40}"/>
            </c:ext>
          </c:extLst>
        </c:ser>
        <c:dLbls>
          <c:showLegendKey val="0"/>
          <c:showVal val="0"/>
          <c:showCatName val="0"/>
          <c:showSerName val="0"/>
          <c:showPercent val="0"/>
          <c:showBubbleSize val="0"/>
        </c:dLbls>
        <c:gapWidth val="150"/>
        <c:axId val="1909999808"/>
        <c:axId val="1910000896"/>
      </c:barChart>
      <c:catAx>
        <c:axId val="1909999808"/>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25" b="0" i="0" u="none" strike="noStrike" baseline="0">
                <a:solidFill>
                  <a:srgbClr val="000000"/>
                </a:solidFill>
                <a:latin typeface="Arial"/>
                <a:ea typeface="Arial"/>
                <a:cs typeface="Arial"/>
              </a:defRPr>
            </a:pPr>
            <a:endParaRPr lang="en-US"/>
          </a:p>
        </c:txPr>
        <c:crossAx val="1910000896"/>
        <c:crosses val="autoZero"/>
        <c:auto val="1"/>
        <c:lblAlgn val="ctr"/>
        <c:lblOffset val="100"/>
        <c:tickLblSkip val="1"/>
        <c:tickMarkSkip val="1"/>
        <c:noMultiLvlLbl val="0"/>
      </c:catAx>
      <c:valAx>
        <c:axId val="191000089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225" b="0" i="0" u="none" strike="noStrike" baseline="0">
                <a:solidFill>
                  <a:srgbClr val="000000"/>
                </a:solidFill>
                <a:latin typeface="Arial"/>
                <a:ea typeface="Arial"/>
                <a:cs typeface="Arial"/>
              </a:defRPr>
            </a:pPr>
            <a:endParaRPr lang="en-US"/>
          </a:p>
        </c:txPr>
        <c:crossAx val="1909999808"/>
        <c:crosses val="autoZero"/>
        <c:crossBetween val="between"/>
      </c:valAx>
      <c:spPr>
        <a:noFill/>
        <a:ln w="12700">
          <a:solidFill>
            <a:srgbClr val="808080"/>
          </a:solidFill>
          <a:prstDash val="solid"/>
        </a:ln>
      </c:spPr>
    </c:plotArea>
    <c:legend>
      <c:legendPos val="b"/>
      <c:overlay val="0"/>
      <c:spPr>
        <a:noFill/>
        <a:ln w="25400">
          <a:noFill/>
        </a:ln>
      </c:spPr>
      <c:txPr>
        <a:bodyPr/>
        <a:lstStyle/>
        <a:p>
          <a:pPr>
            <a:defRPr sz="110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225" b="0" i="0" u="none" strike="noStrike" baseline="0">
          <a:solidFill>
            <a:srgbClr val="000000"/>
          </a:solidFill>
          <a:latin typeface="Arial"/>
          <a:ea typeface="Arial"/>
          <a:cs typeface="Arial"/>
        </a:defRPr>
      </a:pPr>
      <a:endParaRPr lang="en-US"/>
    </a:p>
  </c:txPr>
  <c:printSettings>
    <c:headerFooter alignWithMargins="0"/>
    <c:pageMargins b="1" l="0.75000000000000022" r="0.75000000000000022" t="1"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spPr>
            <a:solidFill>
              <a:srgbClr val="339966"/>
            </a:solidFill>
            <a:ln w="12700">
              <a:solidFill>
                <a:srgbClr val="000000"/>
              </a:solidFill>
              <a:prstDash val="solid"/>
            </a:ln>
          </c:spPr>
          <c:invertIfNegative val="0"/>
          <c:trendline>
            <c:spPr>
              <a:ln w="25400">
                <a:solidFill>
                  <a:srgbClr val="FF0000"/>
                </a:solidFill>
                <a:prstDash val="sysDash"/>
              </a:ln>
            </c:spPr>
            <c:trendlineType val="linear"/>
            <c:dispRSqr val="0"/>
            <c:dispEq val="0"/>
          </c:trendline>
          <c:val>
            <c:numRef>
              <c:f>Data!#REF!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Data!#REF!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Data!#REF!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0-2001-47AC-96D9-508B160716E2}"/>
            </c:ext>
          </c:extLst>
        </c:ser>
        <c:ser>
          <c:idx val="1"/>
          <c:order val="1"/>
          <c:spPr>
            <a:solidFill>
              <a:srgbClr val="808080"/>
            </a:solidFill>
            <a:ln w="12700">
              <a:solidFill>
                <a:srgbClr val="000000"/>
              </a:solidFill>
              <a:prstDash val="solid"/>
            </a:ln>
          </c:spPr>
          <c:invertIfNegative val="0"/>
          <c:trendline>
            <c:spPr>
              <a:ln w="25400">
                <a:solidFill>
                  <a:srgbClr val="000000"/>
                </a:solidFill>
                <a:prstDash val="solid"/>
              </a:ln>
            </c:spPr>
            <c:trendlineType val="linear"/>
            <c:dispRSqr val="0"/>
            <c:dispEq val="0"/>
          </c:trendline>
          <c:val>
            <c:numRef>
              <c:f>Data!#REF!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Data!#REF!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Data!#REF!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1-2001-47AC-96D9-508B160716E2}"/>
            </c:ext>
          </c:extLst>
        </c:ser>
        <c:dLbls>
          <c:showLegendKey val="0"/>
          <c:showVal val="0"/>
          <c:showCatName val="0"/>
          <c:showSerName val="0"/>
          <c:showPercent val="0"/>
          <c:showBubbleSize val="0"/>
        </c:dLbls>
        <c:gapWidth val="150"/>
        <c:axId val="1910001440"/>
        <c:axId val="1910004160"/>
      </c:barChart>
      <c:catAx>
        <c:axId val="191000144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en-US"/>
          </a:p>
        </c:txPr>
        <c:crossAx val="1910004160"/>
        <c:crosses val="autoZero"/>
        <c:auto val="1"/>
        <c:lblAlgn val="ctr"/>
        <c:lblOffset val="100"/>
        <c:tickLblSkip val="2"/>
        <c:tickMarkSkip val="1"/>
        <c:noMultiLvlLbl val="0"/>
      </c:catAx>
      <c:valAx>
        <c:axId val="1910004160"/>
        <c:scaling>
          <c:orientation val="minMax"/>
        </c:scaling>
        <c:delete val="0"/>
        <c:axPos val="l"/>
        <c:majorGridlines>
          <c:spPr>
            <a:ln w="3175">
              <a:solidFill>
                <a:srgbClr val="000000"/>
              </a:solidFill>
              <a:prstDash val="solid"/>
            </a:ln>
          </c:spPr>
        </c:majorGridlines>
        <c:title>
          <c:tx>
            <c:rich>
              <a:bodyPr/>
              <a:lstStyle/>
              <a:p>
                <a:pPr>
                  <a:defRPr sz="275" b="0" i="0" u="none" strike="noStrike" baseline="0">
                    <a:solidFill>
                      <a:srgbClr val="000000"/>
                    </a:solidFill>
                    <a:latin typeface="Arial"/>
                    <a:ea typeface="Arial"/>
                    <a:cs typeface="Arial"/>
                  </a:defRPr>
                </a:pPr>
                <a:r>
                  <a:rPr lang="en-ZA"/>
                  <a:t>Thousand tons</a:t>
                </a:r>
              </a:p>
            </c:rich>
          </c:tx>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en-US"/>
          </a:p>
        </c:txPr>
        <c:crossAx val="1910001440"/>
        <c:crosses val="autoZero"/>
        <c:crossBetween val="between"/>
        <c:majorUnit val="200"/>
      </c:valAx>
      <c:spPr>
        <a:noFill/>
        <a:ln w="12700">
          <a:solidFill>
            <a:srgbClr val="808080"/>
          </a:solidFill>
          <a:prstDash val="solid"/>
        </a:ln>
      </c:spPr>
    </c:plotArea>
    <c:legend>
      <c:legendPos val="r"/>
      <c:legendEntry>
        <c:idx val="2"/>
        <c:delete val="1"/>
      </c:legendEntry>
      <c:legendEntry>
        <c:idx val="3"/>
        <c:delete val="1"/>
      </c:legendEntry>
      <c:overlay val="0"/>
      <c:spPr>
        <a:noFill/>
        <a:ln w="25400">
          <a:noFill/>
        </a:ln>
      </c:spPr>
      <c:txPr>
        <a:bodyPr/>
        <a:lstStyle/>
        <a:p>
          <a:pPr>
            <a:defRPr sz="128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275" b="0" i="0" u="none" strike="noStrike" baseline="0">
          <a:solidFill>
            <a:srgbClr val="000000"/>
          </a:solidFill>
          <a:latin typeface="Arial"/>
          <a:ea typeface="Arial"/>
          <a:cs typeface="Arial"/>
        </a:defRPr>
      </a:pPr>
      <a:endParaRPr lang="en-US"/>
    </a:p>
  </c:txPr>
  <c:printSettings>
    <c:headerFooter alignWithMargins="0"/>
    <c:pageMargins b="1" l="0.75000000000000022" r="0.75000000000000022" t="1" header="0.5" footer="0.5"/>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38100">
              <a:solidFill>
                <a:srgbClr val="FF0000"/>
              </a:solidFill>
              <a:prstDash val="solid"/>
            </a:ln>
          </c:spPr>
          <c:marker>
            <c:symbol val="diamond"/>
            <c:size val="9"/>
            <c:spPr>
              <a:solidFill>
                <a:srgbClr val="FF0000"/>
              </a:solidFill>
              <a:ln>
                <a:solidFill>
                  <a:srgbClr val="FF0000"/>
                </a:solidFill>
                <a:prstDash val="solid"/>
              </a:ln>
            </c:spPr>
          </c:marker>
          <c:val>
            <c:numRef>
              <c:f>Data!#REF!</c:f>
              <c:numCache>
                <c:formatCode>General</c:formatCode>
                <c:ptCount val="1"/>
                <c:pt idx="0">
                  <c:v>1</c:v>
                </c:pt>
              </c:numCache>
            </c:numRef>
          </c:val>
          <c:smooth val="0"/>
          <c:extLst>
            <c:ext xmlns:c15="http://schemas.microsoft.com/office/drawing/2012/chart" uri="{02D57815-91ED-43cb-92C2-25804820EDAC}">
              <c15:filteredSeriesTitle>
                <c15:tx>
                  <c:strRef>
                    <c:extLst>
                      <c:ext uri="{02D57815-91ED-43cb-92C2-25804820EDAC}">
                        <c15:formulaRef>
                          <c15:sqref>Data!#REF!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Data!#REF!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0-176A-454D-9E8D-7C35430BA000}"/>
            </c:ext>
          </c:extLst>
        </c:ser>
        <c:ser>
          <c:idx val="1"/>
          <c:order val="1"/>
          <c:spPr>
            <a:ln w="38100">
              <a:solidFill>
                <a:srgbClr val="333333"/>
              </a:solidFill>
              <a:prstDash val="sysDash"/>
            </a:ln>
          </c:spPr>
          <c:marker>
            <c:symbol val="square"/>
            <c:size val="9"/>
            <c:spPr>
              <a:noFill/>
              <a:ln>
                <a:solidFill>
                  <a:srgbClr val="333333"/>
                </a:solidFill>
                <a:prstDash val="solid"/>
              </a:ln>
            </c:spPr>
          </c:marker>
          <c:val>
            <c:numRef>
              <c:f>Data!#REF!</c:f>
              <c:numCache>
                <c:formatCode>General</c:formatCode>
                <c:ptCount val="1"/>
                <c:pt idx="0">
                  <c:v>1</c:v>
                </c:pt>
              </c:numCache>
            </c:numRef>
          </c:val>
          <c:smooth val="0"/>
          <c:extLst>
            <c:ext xmlns:c15="http://schemas.microsoft.com/office/drawing/2012/chart" uri="{02D57815-91ED-43cb-92C2-25804820EDAC}">
              <c15:filteredSeriesTitle>
                <c15:tx>
                  <c:strRef>
                    <c:extLst>
                      <c:ext uri="{02D57815-91ED-43cb-92C2-25804820EDAC}">
                        <c15:formulaRef>
                          <c15:sqref>Data!#REF!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Data!#REF!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1-176A-454D-9E8D-7C35430BA000}"/>
            </c:ext>
          </c:extLst>
        </c:ser>
        <c:dLbls>
          <c:showLegendKey val="0"/>
          <c:showVal val="0"/>
          <c:showCatName val="0"/>
          <c:showSerName val="0"/>
          <c:showPercent val="0"/>
          <c:showBubbleSize val="0"/>
        </c:dLbls>
        <c:marker val="1"/>
        <c:smooth val="0"/>
        <c:axId val="1909986208"/>
        <c:axId val="1910006336"/>
      </c:lineChart>
      <c:catAx>
        <c:axId val="1909986208"/>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300" b="0" i="0" u="none" strike="noStrike" baseline="0">
                <a:solidFill>
                  <a:srgbClr val="000000"/>
                </a:solidFill>
                <a:latin typeface="Arial"/>
                <a:ea typeface="Arial"/>
                <a:cs typeface="Arial"/>
              </a:defRPr>
            </a:pPr>
            <a:endParaRPr lang="en-US"/>
          </a:p>
        </c:txPr>
        <c:crossAx val="1910006336"/>
        <c:crosses val="autoZero"/>
        <c:auto val="1"/>
        <c:lblAlgn val="ctr"/>
        <c:lblOffset val="100"/>
        <c:tickLblSkip val="2"/>
        <c:tickMarkSkip val="1"/>
        <c:noMultiLvlLbl val="0"/>
      </c:catAx>
      <c:valAx>
        <c:axId val="1910006336"/>
        <c:scaling>
          <c:orientation val="minMax"/>
        </c:scaling>
        <c:delete val="0"/>
        <c:axPos val="l"/>
        <c:majorGridlines>
          <c:spPr>
            <a:ln w="3175">
              <a:solidFill>
                <a:srgbClr val="000000"/>
              </a:solidFill>
              <a:prstDash val="solid"/>
            </a:ln>
          </c:spPr>
        </c:majorGridlines>
        <c:title>
          <c:tx>
            <c:rich>
              <a:bodyPr/>
              <a:lstStyle/>
              <a:p>
                <a:pPr>
                  <a:defRPr sz="300" b="0" i="0" u="none" strike="noStrike" baseline="0">
                    <a:solidFill>
                      <a:srgbClr val="000000"/>
                    </a:solidFill>
                    <a:latin typeface="Arial"/>
                    <a:ea typeface="Arial"/>
                    <a:cs typeface="Arial"/>
                  </a:defRPr>
                </a:pPr>
                <a:r>
                  <a:rPr lang="en-ZA"/>
                  <a:t>Thousand tons</a:t>
                </a:r>
              </a:p>
            </c:rich>
          </c:tx>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300" b="0" i="0" u="none" strike="noStrike" baseline="0">
                <a:solidFill>
                  <a:srgbClr val="000000"/>
                </a:solidFill>
                <a:latin typeface="Arial"/>
                <a:ea typeface="Arial"/>
                <a:cs typeface="Arial"/>
              </a:defRPr>
            </a:pPr>
            <a:endParaRPr lang="en-US"/>
          </a:p>
        </c:txPr>
        <c:crossAx val="1909986208"/>
        <c:crosses val="autoZero"/>
        <c:crossBetween val="between"/>
        <c:majorUnit val="200"/>
      </c:valAx>
      <c:spPr>
        <a:noFill/>
        <a:ln w="12700">
          <a:solidFill>
            <a:srgbClr val="808080"/>
          </a:solidFill>
          <a:prstDash val="solid"/>
        </a:ln>
      </c:spPr>
    </c:plotArea>
    <c:legend>
      <c:legendPos val="b"/>
      <c:overlay val="0"/>
      <c:spPr>
        <a:solidFill>
          <a:srgbClr val="FFFFFF"/>
        </a:solidFill>
        <a:ln w="25400">
          <a:noFill/>
        </a:ln>
      </c:spPr>
      <c:txPr>
        <a:bodyPr/>
        <a:lstStyle/>
        <a:p>
          <a:pPr>
            <a:defRPr sz="128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275" b="0" i="0" u="none" strike="noStrike" baseline="0">
          <a:solidFill>
            <a:srgbClr val="000000"/>
          </a:solidFill>
          <a:latin typeface="Arial"/>
          <a:ea typeface="Arial"/>
          <a:cs typeface="Arial"/>
        </a:defRPr>
      </a:pPr>
      <a:endParaRPr lang="en-US"/>
    </a:p>
  </c:txPr>
  <c:printSettings>
    <c:headerFooter alignWithMargins="0"/>
    <c:pageMargins b="1" l="0.75000000000000022" r="0.75000000000000022" t="1"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'BFAP verification'!$B$4</c:f>
              <c:strCache>
                <c:ptCount val="1"/>
                <c:pt idx="0">
                  <c:v>Chicken production (BFAP)</c:v>
                </c:pt>
              </c:strCache>
            </c:strRef>
          </c:tx>
          <c:spPr>
            <a:ln w="28575" cap="rnd">
              <a:solidFill>
                <a:schemeClr val="accent1"/>
              </a:solidFill>
              <a:round/>
            </a:ln>
            <a:effectLst/>
          </c:spPr>
          <c:marker>
            <c:symbol val="none"/>
          </c:marker>
          <c:cat>
            <c:numRef>
              <c:f>'BFAP verification'!$C$3:$BA$3</c:f>
              <c:numCache>
                <c:formatCode>0_ ;\-0\ </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f>'BFAP verification'!$C$4:$BA$4</c:f>
              <c:numCache>
                <c:formatCode>0.00</c:formatCode>
                <c:ptCount val="51"/>
                <c:pt idx="0">
                  <c:v>993.09182234073091</c:v>
                </c:pt>
                <c:pt idx="1">
                  <c:v>993.09182234073091</c:v>
                </c:pt>
                <c:pt idx="2">
                  <c:v>993.09182234073091</c:v>
                </c:pt>
                <c:pt idx="3">
                  <c:v>1043.5184288423109</c:v>
                </c:pt>
                <c:pt idx="4">
                  <c:v>1063.935684388</c:v>
                </c:pt>
                <c:pt idx="5">
                  <c:v>1250.3949420410001</c:v>
                </c:pt>
                <c:pt idx="6">
                  <c:v>1361.4582773811801</c:v>
                </c:pt>
                <c:pt idx="7">
                  <c:v>1418.12680256985</c:v>
                </c:pt>
                <c:pt idx="8">
                  <c:v>1510.0595450369999</c:v>
                </c:pt>
                <c:pt idx="9">
                  <c:v>1467.5146597320002</c:v>
                </c:pt>
                <c:pt idx="10">
                  <c:v>1455.5368726329998</c:v>
                </c:pt>
                <c:pt idx="11">
                  <c:v>1511.75508982</c:v>
                </c:pt>
                <c:pt idx="12">
                  <c:v>1600</c:v>
                </c:pt>
                <c:pt idx="13">
                  <c:v>1550</c:v>
                </c:pt>
                <c:pt idx="14">
                  <c:v>1500</c:v>
                </c:pt>
                <c:pt idx="15">
                  <c:v>1604.9091918984675</c:v>
                </c:pt>
                <c:pt idx="16">
                  <c:v>1560</c:v>
                </c:pt>
                <c:pt idx="17">
                  <c:v>1530</c:v>
                </c:pt>
                <c:pt idx="18">
                  <c:v>1620</c:v>
                </c:pt>
                <c:pt idx="19">
                  <c:v>1680</c:v>
                </c:pt>
                <c:pt idx="20">
                  <c:v>1715</c:v>
                </c:pt>
                <c:pt idx="21">
                  <c:v>1780</c:v>
                </c:pt>
                <c:pt idx="22">
                  <c:v>1785</c:v>
                </c:pt>
                <c:pt idx="23">
                  <c:v>1790</c:v>
                </c:pt>
                <c:pt idx="24">
                  <c:v>1795</c:v>
                </c:pt>
                <c:pt idx="25">
                  <c:v>1800</c:v>
                </c:pt>
                <c:pt idx="26">
                  <c:v>1805</c:v>
                </c:pt>
                <c:pt idx="27">
                  <c:v>1810</c:v>
                </c:pt>
                <c:pt idx="28">
                  <c:v>1815</c:v>
                </c:pt>
              </c:numCache>
            </c:numRef>
          </c:val>
          <c:smooth val="0"/>
          <c:extLst>
            <c:ext xmlns:c16="http://schemas.microsoft.com/office/drawing/2014/chart" uri="{C3380CC4-5D6E-409C-BE32-E72D297353CC}">
              <c16:uniqueId val="{00000000-0961-441D-9E04-BF04E6707262}"/>
            </c:ext>
          </c:extLst>
        </c:ser>
        <c:ser>
          <c:idx val="1"/>
          <c:order val="1"/>
          <c:tx>
            <c:strRef>
              <c:f>'BFAP verification'!$B$5</c:f>
              <c:strCache>
                <c:ptCount val="1"/>
                <c:pt idx="0">
                  <c:v>Chicken consumption (BFAP)</c:v>
                </c:pt>
              </c:strCache>
            </c:strRef>
          </c:tx>
          <c:spPr>
            <a:ln w="28575" cap="rnd">
              <a:solidFill>
                <a:schemeClr val="accent2"/>
              </a:solidFill>
              <a:round/>
            </a:ln>
            <a:effectLst/>
          </c:spPr>
          <c:marker>
            <c:symbol val="none"/>
          </c:marker>
          <c:cat>
            <c:numRef>
              <c:f>'BFAP verification'!$C$3:$BA$3</c:f>
              <c:numCache>
                <c:formatCode>0_ ;\-0\ </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f>'BFAP verification'!$C$5:$BA$5</c:f>
              <c:numCache>
                <c:formatCode>0.00</c:formatCode>
                <c:ptCount val="51"/>
                <c:pt idx="0">
                  <c:v>1079.3522583407307</c:v>
                </c:pt>
                <c:pt idx="1">
                  <c:v>1079.3522583407307</c:v>
                </c:pt>
                <c:pt idx="2">
                  <c:v>1079.3522583407307</c:v>
                </c:pt>
                <c:pt idx="3">
                  <c:v>1188.8597378423108</c:v>
                </c:pt>
                <c:pt idx="4">
                  <c:v>1206.674888388</c:v>
                </c:pt>
                <c:pt idx="5">
                  <c:v>1426.810047041</c:v>
                </c:pt>
                <c:pt idx="6">
                  <c:v>1614.02513538118</c:v>
                </c:pt>
                <c:pt idx="7">
                  <c:v>1649.1401165698499</c:v>
                </c:pt>
                <c:pt idx="8">
                  <c:v>1693.2698300369998</c:v>
                </c:pt>
                <c:pt idx="9">
                  <c:v>1660.260131732</c:v>
                </c:pt>
                <c:pt idx="10">
                  <c:v>1679.6840026329999</c:v>
                </c:pt>
                <c:pt idx="11">
                  <c:v>1828.6388368200001</c:v>
                </c:pt>
                <c:pt idx="12">
                  <c:v>1876.7825659999999</c:v>
                </c:pt>
                <c:pt idx="13">
                  <c:v>1848.129913</c:v>
                </c:pt>
                <c:pt idx="14">
                  <c:v>1879.0711650000001</c:v>
                </c:pt>
                <c:pt idx="15">
                  <c:v>1922.8356980734377</c:v>
                </c:pt>
                <c:pt idx="16">
                  <c:v>1990.456203544496</c:v>
                </c:pt>
                <c:pt idx="17">
                  <c:v>2057.8989690155481</c:v>
                </c:pt>
                <c:pt idx="18">
                  <c:v>2126.2640708919885</c:v>
                </c:pt>
                <c:pt idx="19">
                  <c:v>2198.3453171198826</c:v>
                </c:pt>
                <c:pt idx="20">
                  <c:v>2269.7994713342828</c:v>
                </c:pt>
                <c:pt idx="21">
                  <c:v>2342.1782343068635</c:v>
                </c:pt>
                <c:pt idx="22">
                  <c:v>2416.4818482639166</c:v>
                </c:pt>
                <c:pt idx="23">
                  <c:v>2491.5186816187529</c:v>
                </c:pt>
                <c:pt idx="24">
                  <c:v>2570.8561685926552</c:v>
                </c:pt>
              </c:numCache>
            </c:numRef>
          </c:val>
          <c:smooth val="0"/>
          <c:extLst>
            <c:ext xmlns:c16="http://schemas.microsoft.com/office/drawing/2014/chart" uri="{C3380CC4-5D6E-409C-BE32-E72D297353CC}">
              <c16:uniqueId val="{00000001-0961-441D-9E04-BF04E6707262}"/>
            </c:ext>
          </c:extLst>
        </c:ser>
        <c:ser>
          <c:idx val="2"/>
          <c:order val="2"/>
          <c:tx>
            <c:strRef>
              <c:f>'BFAP verification'!$B$6</c:f>
              <c:strCache>
                <c:ptCount val="1"/>
                <c:pt idx="0">
                  <c:v>Chicken production (model)</c:v>
                </c:pt>
              </c:strCache>
            </c:strRef>
          </c:tx>
          <c:spPr>
            <a:ln w="28575" cap="rnd">
              <a:solidFill>
                <a:schemeClr val="accent3"/>
              </a:solidFill>
              <a:round/>
            </a:ln>
            <a:effectLst/>
          </c:spPr>
          <c:marker>
            <c:symbol val="none"/>
          </c:marker>
          <c:cat>
            <c:numRef>
              <c:f>'BFAP verification'!$C$3:$BA$3</c:f>
              <c:numCache>
                <c:formatCode>0_ ;\-0\ </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f>'BFAP verification'!$C$6:$BA$6</c:f>
              <c:numCache>
                <c:formatCode>0.00</c:formatCode>
                <c:ptCount val="51"/>
                <c:pt idx="0">
                  <c:v>850</c:v>
                </c:pt>
                <c:pt idx="1">
                  <c:v>869</c:v>
                </c:pt>
                <c:pt idx="2">
                  <c:v>896</c:v>
                </c:pt>
                <c:pt idx="3">
                  <c:v>925</c:v>
                </c:pt>
                <c:pt idx="4">
                  <c:v>1043</c:v>
                </c:pt>
                <c:pt idx="5">
                  <c:v>1273</c:v>
                </c:pt>
                <c:pt idx="6">
                  <c:v>1427</c:v>
                </c:pt>
                <c:pt idx="7">
                  <c:v>1499</c:v>
                </c:pt>
                <c:pt idx="8">
                  <c:v>1584</c:v>
                </c:pt>
                <c:pt idx="9">
                  <c:v>1644</c:v>
                </c:pt>
                <c:pt idx="10">
                  <c:v>1681</c:v>
                </c:pt>
                <c:pt idx="11">
                  <c:v>1721</c:v>
                </c:pt>
                <c:pt idx="12">
                  <c:v>1462.6971526267841</c:v>
                </c:pt>
                <c:pt idx="13">
                  <c:v>1513.4648048522904</c:v>
                </c:pt>
                <c:pt idx="14">
                  <c:v>1548.046127042116</c:v>
                </c:pt>
                <c:pt idx="15">
                  <c:v>1569.9793735739602</c:v>
                </c:pt>
                <c:pt idx="16">
                  <c:v>1578.2479088916159</c:v>
                </c:pt>
                <c:pt idx="17">
                  <c:v>1602.4962226106677</c:v>
                </c:pt>
                <c:pt idx="18">
                  <c:v>1623.0571586586602</c:v>
                </c:pt>
                <c:pt idx="19">
                  <c:v>1642.1037801912205</c:v>
                </c:pt>
                <c:pt idx="20">
                  <c:v>1389.7498776989564</c:v>
                </c:pt>
                <c:pt idx="21">
                  <c:v>1448.7694344440868</c:v>
                </c:pt>
                <c:pt idx="22">
                  <c:v>1504.7364288821625</c:v>
                </c:pt>
                <c:pt idx="23">
                  <c:v>1562.4506125783525</c:v>
                </c:pt>
                <c:pt idx="24">
                  <c:v>1625.49913249561</c:v>
                </c:pt>
                <c:pt idx="25">
                  <c:v>1696.5308081454782</c:v>
                </c:pt>
                <c:pt idx="26">
                  <c:v>1773.2526373172336</c:v>
                </c:pt>
                <c:pt idx="27">
                  <c:v>1855.738355661131</c:v>
                </c:pt>
                <c:pt idx="28">
                  <c:v>1944.6760949602115</c:v>
                </c:pt>
                <c:pt idx="29">
                  <c:v>2045.7092474885644</c:v>
                </c:pt>
                <c:pt idx="30">
                  <c:v>2146.7187778740695</c:v>
                </c:pt>
                <c:pt idx="31">
                  <c:v>2267.7244234408026</c:v>
                </c:pt>
                <c:pt idx="32">
                  <c:v>2393.8782725009892</c:v>
                </c:pt>
                <c:pt idx="33">
                  <c:v>2524.685423769693</c:v>
                </c:pt>
                <c:pt idx="34">
                  <c:v>2659.600443826323</c:v>
                </c:pt>
                <c:pt idx="35">
                  <c:v>2785.7354397391123</c:v>
                </c:pt>
                <c:pt idx="36">
                  <c:v>2919.9356001896422</c:v>
                </c:pt>
                <c:pt idx="37">
                  <c:v>3064.1892915412682</c:v>
                </c:pt>
                <c:pt idx="38">
                  <c:v>3215.9959424973636</c:v>
                </c:pt>
                <c:pt idx="39">
                  <c:v>3365.7186086873999</c:v>
                </c:pt>
                <c:pt idx="40">
                  <c:v>3518.6578547953281</c:v>
                </c:pt>
                <c:pt idx="41">
                  <c:v>3679.8239314954499</c:v>
                </c:pt>
                <c:pt idx="42">
                  <c:v>3849.5312787314087</c:v>
                </c:pt>
                <c:pt idx="43">
                  <c:v>4029.7211081192022</c:v>
                </c:pt>
                <c:pt idx="44">
                  <c:v>4219.7996280429452</c:v>
                </c:pt>
                <c:pt idx="45">
                  <c:v>4423.8034060073724</c:v>
                </c:pt>
                <c:pt idx="46">
                  <c:v>4641.5127523259216</c:v>
                </c:pt>
                <c:pt idx="47">
                  <c:v>4869.5821518939347</c:v>
                </c:pt>
                <c:pt idx="48">
                  <c:v>5098.1106470125733</c:v>
                </c:pt>
                <c:pt idx="49">
                  <c:v>5337.9915448986812</c:v>
                </c:pt>
                <c:pt idx="50">
                  <c:v>5591.8811192875692</c:v>
                </c:pt>
              </c:numCache>
            </c:numRef>
          </c:val>
          <c:smooth val="0"/>
          <c:extLst>
            <c:ext xmlns:c16="http://schemas.microsoft.com/office/drawing/2014/chart" uri="{C3380CC4-5D6E-409C-BE32-E72D297353CC}">
              <c16:uniqueId val="{00000002-0961-441D-9E04-BF04E6707262}"/>
            </c:ext>
          </c:extLst>
        </c:ser>
        <c:ser>
          <c:idx val="3"/>
          <c:order val="3"/>
          <c:tx>
            <c:strRef>
              <c:f>'BFAP verification'!$B$7</c:f>
              <c:strCache>
                <c:ptCount val="1"/>
                <c:pt idx="0">
                  <c:v>Chicken consumption (model)</c:v>
                </c:pt>
              </c:strCache>
            </c:strRef>
          </c:tx>
          <c:spPr>
            <a:ln w="28575" cap="rnd">
              <a:solidFill>
                <a:schemeClr val="accent4"/>
              </a:solidFill>
              <a:round/>
            </a:ln>
            <a:effectLst/>
          </c:spPr>
          <c:marker>
            <c:symbol val="none"/>
          </c:marker>
          <c:cat>
            <c:numRef>
              <c:f>'BFAP verification'!$C$3:$BA$3</c:f>
              <c:numCache>
                <c:formatCode>0_ ;\-0\ </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f>'BFAP verification'!$C$7:$BA$7</c:f>
              <c:numCache>
                <c:formatCode>0.00</c:formatCode>
                <c:ptCount val="51"/>
                <c:pt idx="0">
                  <c:v>927</c:v>
                </c:pt>
                <c:pt idx="1">
                  <c:v>938</c:v>
                </c:pt>
                <c:pt idx="2">
                  <c:v>965</c:v>
                </c:pt>
                <c:pt idx="3">
                  <c:v>1032</c:v>
                </c:pt>
                <c:pt idx="4">
                  <c:v>1196</c:v>
                </c:pt>
                <c:pt idx="5">
                  <c:v>1455</c:v>
                </c:pt>
                <c:pt idx="6">
                  <c:v>1664</c:v>
                </c:pt>
                <c:pt idx="7">
                  <c:v>1767</c:v>
                </c:pt>
                <c:pt idx="8">
                  <c:v>1813</c:v>
                </c:pt>
                <c:pt idx="9">
                  <c:v>1841</c:v>
                </c:pt>
                <c:pt idx="10">
                  <c:v>1887</c:v>
                </c:pt>
                <c:pt idx="11">
                  <c:v>1987</c:v>
                </c:pt>
                <c:pt idx="12">
                  <c:v>1781.6013456390224</c:v>
                </c:pt>
                <c:pt idx="13">
                  <c:v>1852.0340575111579</c:v>
                </c:pt>
                <c:pt idx="14">
                  <c:v>1900.0105975948802</c:v>
                </c:pt>
                <c:pt idx="15">
                  <c:v>1930.4397777061829</c:v>
                </c:pt>
                <c:pt idx="16">
                  <c:v>1941.911164309726</c:v>
                </c:pt>
                <c:pt idx="17">
                  <c:v>1975.5521624392611</c:v>
                </c:pt>
                <c:pt idx="18">
                  <c:v>2004.0774619362126</c:v>
                </c:pt>
                <c:pt idx="19">
                  <c:v>2030.501870939441</c:v>
                </c:pt>
                <c:pt idx="20">
                  <c:v>1680.3976426584895</c:v>
                </c:pt>
                <c:pt idx="21">
                  <c:v>1762.2786683278709</c:v>
                </c:pt>
                <c:pt idx="22">
                  <c:v>1839.9247090802919</c:v>
                </c:pt>
                <c:pt idx="23">
                  <c:v>1919.9947200619492</c:v>
                </c:pt>
                <c:pt idx="24">
                  <c:v>2007.4653444188061</c:v>
                </c:pt>
                <c:pt idx="25">
                  <c:v>2106.0114328339127</c:v>
                </c:pt>
                <c:pt idx="26">
                  <c:v>2212.4517792252427</c:v>
                </c:pt>
                <c:pt idx="27">
                  <c:v>2326.8886810515396</c:v>
                </c:pt>
                <c:pt idx="28">
                  <c:v>2450.2768207824543</c:v>
                </c:pt>
                <c:pt idx="29">
                  <c:v>2590.4455819840568</c:v>
                </c:pt>
                <c:pt idx="30">
                  <c:v>2730.5815709082722</c:v>
                </c:pt>
                <c:pt idx="31">
                  <c:v>2898.4592527684858</c:v>
                </c:pt>
                <c:pt idx="32">
                  <c:v>3073.4793159959295</c:v>
                </c:pt>
                <c:pt idx="33">
                  <c:v>3254.9551572501105</c:v>
                </c:pt>
                <c:pt idx="34">
                  <c:v>3442.1300672235498</c:v>
                </c:pt>
                <c:pt idx="35">
                  <c:v>3617.1239744591307</c:v>
                </c:pt>
                <c:pt idx="36">
                  <c:v>3803.3071210072726</c:v>
                </c:pt>
                <c:pt idx="37">
                  <c:v>4003.438075149691</c:v>
                </c:pt>
                <c:pt idx="38">
                  <c:v>4214.0476589762338</c:v>
                </c:pt>
                <c:pt idx="39">
                  <c:v>4421.7660179353788</c:v>
                </c:pt>
                <c:pt idx="40">
                  <c:v>4633.9469123209064</c:v>
                </c:pt>
                <c:pt idx="41">
                  <c:v>4857.5413340869591</c:v>
                </c:pt>
                <c:pt idx="42">
                  <c:v>5092.9855227872868</c:v>
                </c:pt>
                <c:pt idx="43">
                  <c:v>5342.9726263702159</c:v>
                </c:pt>
                <c:pt idx="44">
                  <c:v>5606.6788455864125</c:v>
                </c:pt>
                <c:pt idx="45">
                  <c:v>5889.7043290255824</c:v>
                </c:pt>
                <c:pt idx="46">
                  <c:v>6191.7442892942472</c:v>
                </c:pt>
                <c:pt idx="47">
                  <c:v>6508.1573122024511</c:v>
                </c:pt>
                <c:pt idx="48">
                  <c:v>6825.2072632178551</c:v>
                </c:pt>
                <c:pt idx="49">
                  <c:v>7158.0070170727895</c:v>
                </c:pt>
                <c:pt idx="50">
                  <c:v>7510.2417660984183</c:v>
                </c:pt>
              </c:numCache>
            </c:numRef>
          </c:val>
          <c:smooth val="0"/>
          <c:extLst>
            <c:ext xmlns:c16="http://schemas.microsoft.com/office/drawing/2014/chart" uri="{C3380CC4-5D6E-409C-BE32-E72D297353CC}">
              <c16:uniqueId val="{00000003-0961-441D-9E04-BF04E6707262}"/>
            </c:ext>
          </c:extLst>
        </c:ser>
        <c:dLbls>
          <c:showLegendKey val="0"/>
          <c:showVal val="0"/>
          <c:showCatName val="0"/>
          <c:showSerName val="0"/>
          <c:showPercent val="0"/>
          <c:showBubbleSize val="0"/>
        </c:dLbls>
        <c:smooth val="0"/>
        <c:axId val="1913240207"/>
        <c:axId val="1913233551"/>
      </c:lineChart>
      <c:catAx>
        <c:axId val="1913240207"/>
        <c:scaling>
          <c:orientation val="minMax"/>
        </c:scaling>
        <c:delete val="0"/>
        <c:axPos val="b"/>
        <c:numFmt formatCode="0_ ;\-0\ "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3233551"/>
        <c:crosses val="autoZero"/>
        <c:auto val="1"/>
        <c:lblAlgn val="ctr"/>
        <c:lblOffset val="100"/>
        <c:noMultiLvlLbl val="0"/>
      </c:catAx>
      <c:valAx>
        <c:axId val="1913233551"/>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324020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'BFAP verification'!$B$10</c:f>
              <c:strCache>
                <c:ptCount val="1"/>
                <c:pt idx="0">
                  <c:v>Egg production (BFAP)</c:v>
                </c:pt>
              </c:strCache>
            </c:strRef>
          </c:tx>
          <c:spPr>
            <a:ln w="28575" cap="rnd">
              <a:solidFill>
                <a:schemeClr val="accent1"/>
              </a:solidFill>
              <a:round/>
            </a:ln>
            <a:effectLst/>
          </c:spPr>
          <c:marker>
            <c:symbol val="none"/>
          </c:marker>
          <c:cat>
            <c:numRef>
              <c:f>'BFAP verification'!$C$9:$BA$9</c:f>
              <c:numCache>
                <c:formatCode>0_ ;\-0\ </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f>'BFAP verification'!$C$10:$BA$10</c:f>
              <c:numCache>
                <c:formatCode>0.00</c:formatCode>
                <c:ptCount val="51"/>
                <c:pt idx="0">
                  <c:v>325.34589665653499</c:v>
                </c:pt>
                <c:pt idx="1">
                  <c:v>325.34589665653499</c:v>
                </c:pt>
                <c:pt idx="2">
                  <c:v>325.34589665653499</c:v>
                </c:pt>
                <c:pt idx="3">
                  <c:v>318.8389787234043</c:v>
                </c:pt>
                <c:pt idx="4">
                  <c:v>318.8389787234043</c:v>
                </c:pt>
                <c:pt idx="5">
                  <c:v>325.21575829787241</c:v>
                </c:pt>
                <c:pt idx="6">
                  <c:v>328.46791588085114</c:v>
                </c:pt>
                <c:pt idx="7">
                  <c:v>363.86063999999999</c:v>
                </c:pt>
                <c:pt idx="8">
                  <c:v>368.28791999999999</c:v>
                </c:pt>
                <c:pt idx="9">
                  <c:v>373.60199999999998</c:v>
                </c:pt>
                <c:pt idx="10">
                  <c:v>386.43599999999998</c:v>
                </c:pt>
                <c:pt idx="11">
                  <c:v>404.49</c:v>
                </c:pt>
                <c:pt idx="12">
                  <c:v>450.04</c:v>
                </c:pt>
                <c:pt idx="13">
                  <c:v>439.4</c:v>
                </c:pt>
                <c:pt idx="14">
                  <c:v>421.88</c:v>
                </c:pt>
                <c:pt idx="15">
                  <c:v>433.92676812049251</c:v>
                </c:pt>
                <c:pt idx="16">
                  <c:v>435</c:v>
                </c:pt>
                <c:pt idx="17">
                  <c:v>400</c:v>
                </c:pt>
                <c:pt idx="18">
                  <c:v>410</c:v>
                </c:pt>
                <c:pt idx="19">
                  <c:v>415</c:v>
                </c:pt>
                <c:pt idx="20">
                  <c:v>424</c:v>
                </c:pt>
                <c:pt idx="21">
                  <c:v>440</c:v>
                </c:pt>
                <c:pt idx="22">
                  <c:v>450</c:v>
                </c:pt>
                <c:pt idx="23">
                  <c:v>458</c:v>
                </c:pt>
                <c:pt idx="24">
                  <c:v>460</c:v>
                </c:pt>
                <c:pt idx="25">
                  <c:v>470</c:v>
                </c:pt>
                <c:pt idx="26">
                  <c:v>480</c:v>
                </c:pt>
                <c:pt idx="27">
                  <c:v>490</c:v>
                </c:pt>
                <c:pt idx="28">
                  <c:v>500</c:v>
                </c:pt>
              </c:numCache>
            </c:numRef>
          </c:val>
          <c:smooth val="0"/>
          <c:extLst>
            <c:ext xmlns:c16="http://schemas.microsoft.com/office/drawing/2014/chart" uri="{C3380CC4-5D6E-409C-BE32-E72D297353CC}">
              <c16:uniqueId val="{00000000-76CF-4086-B27B-5C61DEAA5E1D}"/>
            </c:ext>
          </c:extLst>
        </c:ser>
        <c:ser>
          <c:idx val="1"/>
          <c:order val="1"/>
          <c:tx>
            <c:strRef>
              <c:f>'BFAP verification'!$B$11</c:f>
              <c:strCache>
                <c:ptCount val="1"/>
                <c:pt idx="0">
                  <c:v>Egg consumption (BFAP)</c:v>
                </c:pt>
              </c:strCache>
            </c:strRef>
          </c:tx>
          <c:spPr>
            <a:ln w="28575" cap="rnd">
              <a:solidFill>
                <a:schemeClr val="accent2"/>
              </a:solidFill>
              <a:round/>
            </a:ln>
            <a:effectLst/>
          </c:spPr>
          <c:marker>
            <c:symbol val="none"/>
          </c:marker>
          <c:cat>
            <c:numRef>
              <c:f>'BFAP verification'!$C$9:$BA$9</c:f>
              <c:numCache>
                <c:formatCode>0_ ;\-0\ </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f>'BFAP verification'!$C$11:$BA$11</c:f>
              <c:numCache>
                <c:formatCode>0.00</c:formatCode>
                <c:ptCount val="51"/>
                <c:pt idx="0">
                  <c:v>321.91089665653499</c:v>
                </c:pt>
                <c:pt idx="1">
                  <c:v>321.91089665653499</c:v>
                </c:pt>
                <c:pt idx="2">
                  <c:v>321.91089665653499</c:v>
                </c:pt>
                <c:pt idx="3">
                  <c:v>316.1402608231254</c:v>
                </c:pt>
                <c:pt idx="4">
                  <c:v>317.8939787234043</c:v>
                </c:pt>
                <c:pt idx="5">
                  <c:v>324.27075829787242</c:v>
                </c:pt>
                <c:pt idx="6">
                  <c:v>328.91791588085113</c:v>
                </c:pt>
                <c:pt idx="7">
                  <c:v>364.32063999999997</c:v>
                </c:pt>
                <c:pt idx="8">
                  <c:v>367.77791999999999</c:v>
                </c:pt>
                <c:pt idx="9">
                  <c:v>371.36519499999997</c:v>
                </c:pt>
                <c:pt idx="10">
                  <c:v>382.88327899999996</c:v>
                </c:pt>
                <c:pt idx="11">
                  <c:v>401.97165999999999</c:v>
                </c:pt>
                <c:pt idx="12">
                  <c:v>445.23</c:v>
                </c:pt>
                <c:pt idx="13">
                  <c:v>435.75099999999998</c:v>
                </c:pt>
                <c:pt idx="14">
                  <c:v>416.88200000000001</c:v>
                </c:pt>
                <c:pt idx="15">
                  <c:v>429.92676812049251</c:v>
                </c:pt>
                <c:pt idx="16">
                  <c:v>431</c:v>
                </c:pt>
                <c:pt idx="17">
                  <c:v>396</c:v>
                </c:pt>
                <c:pt idx="18">
                  <c:v>406</c:v>
                </c:pt>
                <c:pt idx="19">
                  <c:v>411</c:v>
                </c:pt>
                <c:pt idx="20">
                  <c:v>420</c:v>
                </c:pt>
                <c:pt idx="21">
                  <c:v>436</c:v>
                </c:pt>
                <c:pt idx="22">
                  <c:v>446</c:v>
                </c:pt>
                <c:pt idx="23">
                  <c:v>454</c:v>
                </c:pt>
                <c:pt idx="24">
                  <c:v>456</c:v>
                </c:pt>
                <c:pt idx="25">
                  <c:v>466</c:v>
                </c:pt>
                <c:pt idx="26">
                  <c:v>476</c:v>
                </c:pt>
                <c:pt idx="27">
                  <c:v>486</c:v>
                </c:pt>
                <c:pt idx="28">
                  <c:v>496</c:v>
                </c:pt>
              </c:numCache>
            </c:numRef>
          </c:val>
          <c:smooth val="0"/>
          <c:extLst>
            <c:ext xmlns:c16="http://schemas.microsoft.com/office/drawing/2014/chart" uri="{C3380CC4-5D6E-409C-BE32-E72D297353CC}">
              <c16:uniqueId val="{00000001-76CF-4086-B27B-5C61DEAA5E1D}"/>
            </c:ext>
          </c:extLst>
        </c:ser>
        <c:ser>
          <c:idx val="2"/>
          <c:order val="2"/>
          <c:tx>
            <c:strRef>
              <c:f>'BFAP verification'!$B$12</c:f>
              <c:strCache>
                <c:ptCount val="1"/>
                <c:pt idx="0">
                  <c:v>Egg production (model)</c:v>
                </c:pt>
              </c:strCache>
            </c:strRef>
          </c:tx>
          <c:spPr>
            <a:ln w="28575" cap="rnd">
              <a:solidFill>
                <a:schemeClr val="accent3"/>
              </a:solidFill>
              <a:round/>
            </a:ln>
            <a:effectLst/>
          </c:spPr>
          <c:marker>
            <c:symbol val="none"/>
          </c:marker>
          <c:cat>
            <c:numRef>
              <c:f>'BFAP verification'!$C$9:$BA$9</c:f>
              <c:numCache>
                <c:formatCode>0_ ;\-0\ </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f>'BFAP verification'!$C$12:$BA$12</c:f>
              <c:numCache>
                <c:formatCode>0.00</c:formatCode>
                <c:ptCount val="51"/>
                <c:pt idx="0">
                  <c:v>329</c:v>
                </c:pt>
                <c:pt idx="1">
                  <c:v>330</c:v>
                </c:pt>
                <c:pt idx="2">
                  <c:v>340</c:v>
                </c:pt>
                <c:pt idx="3">
                  <c:v>328</c:v>
                </c:pt>
                <c:pt idx="4">
                  <c:v>348</c:v>
                </c:pt>
                <c:pt idx="5">
                  <c:v>375</c:v>
                </c:pt>
                <c:pt idx="6">
                  <c:v>412</c:v>
                </c:pt>
                <c:pt idx="7">
                  <c:v>438</c:v>
                </c:pt>
                <c:pt idx="8">
                  <c:v>426</c:v>
                </c:pt>
                <c:pt idx="9">
                  <c:v>404</c:v>
                </c:pt>
                <c:pt idx="10">
                  <c:v>413</c:v>
                </c:pt>
                <c:pt idx="11">
                  <c:v>452</c:v>
                </c:pt>
                <c:pt idx="12">
                  <c:v>449.02419564662893</c:v>
                </c:pt>
                <c:pt idx="13">
                  <c:v>459.49666412706989</c:v>
                </c:pt>
                <c:pt idx="14">
                  <c:v>468.25593144272074</c:v>
                </c:pt>
                <c:pt idx="15">
                  <c:v>475.72025257353272</c:v>
                </c:pt>
                <c:pt idx="16">
                  <c:v>481.77823605726775</c:v>
                </c:pt>
                <c:pt idx="17">
                  <c:v>489.88633837309965</c:v>
                </c:pt>
                <c:pt idx="18">
                  <c:v>497.63600119318806</c:v>
                </c:pt>
                <c:pt idx="19">
                  <c:v>505.29610645415357</c:v>
                </c:pt>
                <c:pt idx="20">
                  <c:v>481.46606790795232</c:v>
                </c:pt>
                <c:pt idx="21">
                  <c:v>492.33563326547289</c:v>
                </c:pt>
                <c:pt idx="22">
                  <c:v>502.89611003156915</c:v>
                </c:pt>
                <c:pt idx="23">
                  <c:v>513.70649286065714</c:v>
                </c:pt>
                <c:pt idx="24">
                  <c:v>525.18469270580943</c:v>
                </c:pt>
                <c:pt idx="25">
                  <c:v>537.63944977425922</c:v>
                </c:pt>
                <c:pt idx="26">
                  <c:v>550.19064037407009</c:v>
                </c:pt>
                <c:pt idx="27">
                  <c:v>563.44816245964591</c:v>
                </c:pt>
                <c:pt idx="28">
                  <c:v>577.49243341185763</c:v>
                </c:pt>
                <c:pt idx="29">
                  <c:v>592.98043197477773</c:v>
                </c:pt>
                <c:pt idx="30">
                  <c:v>608.50243409366772</c:v>
                </c:pt>
                <c:pt idx="31">
                  <c:v>625.88089816854733</c:v>
                </c:pt>
                <c:pt idx="32">
                  <c:v>643.88652526765895</c:v>
                </c:pt>
                <c:pt idx="33">
                  <c:v>662.46197258192399</c:v>
                </c:pt>
                <c:pt idx="34">
                  <c:v>681.54401980287582</c:v>
                </c:pt>
                <c:pt idx="35">
                  <c:v>699.63337028646583</c:v>
                </c:pt>
                <c:pt idx="36">
                  <c:v>718.20093862629756</c:v>
                </c:pt>
                <c:pt idx="37">
                  <c:v>737.95988187038904</c:v>
                </c:pt>
                <c:pt idx="38">
                  <c:v>758.61941009386067</c:v>
                </c:pt>
                <c:pt idx="39">
                  <c:v>779.05839830441266</c:v>
                </c:pt>
                <c:pt idx="40">
                  <c:v>799.89374208391621</c:v>
                </c:pt>
                <c:pt idx="41">
                  <c:v>821.24411043329928</c:v>
                </c:pt>
                <c:pt idx="42">
                  <c:v>843.60441622986104</c:v>
                </c:pt>
                <c:pt idx="43">
                  <c:v>867.20062490263228</c:v>
                </c:pt>
                <c:pt idx="44">
                  <c:v>891.96374805008224</c:v>
                </c:pt>
                <c:pt idx="45">
                  <c:v>918.36355265083114</c:v>
                </c:pt>
                <c:pt idx="46">
                  <c:v>945.89731205088367</c:v>
                </c:pt>
                <c:pt idx="47">
                  <c:v>974.64773593055384</c:v>
                </c:pt>
                <c:pt idx="48">
                  <c:v>1003.4628785979564</c:v>
                </c:pt>
                <c:pt idx="49">
                  <c:v>1033.6102633784826</c:v>
                </c:pt>
                <c:pt idx="50">
                  <c:v>1065.3990128631981</c:v>
                </c:pt>
              </c:numCache>
            </c:numRef>
          </c:val>
          <c:smooth val="0"/>
          <c:extLst>
            <c:ext xmlns:c16="http://schemas.microsoft.com/office/drawing/2014/chart" uri="{C3380CC4-5D6E-409C-BE32-E72D297353CC}">
              <c16:uniqueId val="{00000002-76CF-4086-B27B-5C61DEAA5E1D}"/>
            </c:ext>
          </c:extLst>
        </c:ser>
        <c:ser>
          <c:idx val="3"/>
          <c:order val="3"/>
          <c:tx>
            <c:strRef>
              <c:f>'BFAP verification'!$B$13</c:f>
              <c:strCache>
                <c:ptCount val="1"/>
                <c:pt idx="0">
                  <c:v>Egg consumption (model)</c:v>
                </c:pt>
              </c:strCache>
            </c:strRef>
          </c:tx>
          <c:spPr>
            <a:ln w="28575" cap="rnd">
              <a:solidFill>
                <a:schemeClr val="accent4"/>
              </a:solidFill>
              <a:round/>
            </a:ln>
            <a:effectLst/>
          </c:spPr>
          <c:marker>
            <c:symbol val="none"/>
          </c:marker>
          <c:cat>
            <c:numRef>
              <c:f>'BFAP verification'!$C$9:$BA$9</c:f>
              <c:numCache>
                <c:formatCode>0_ ;\-0\ </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f>'BFAP verification'!$C$13:$BA$13</c:f>
              <c:numCache>
                <c:formatCode>0.00</c:formatCode>
                <c:ptCount val="51"/>
                <c:pt idx="0">
                  <c:v>310</c:v>
                </c:pt>
                <c:pt idx="1">
                  <c:v>308</c:v>
                </c:pt>
                <c:pt idx="2">
                  <c:v>313</c:v>
                </c:pt>
                <c:pt idx="3">
                  <c:v>305</c:v>
                </c:pt>
                <c:pt idx="4">
                  <c:v>329</c:v>
                </c:pt>
                <c:pt idx="5">
                  <c:v>357</c:v>
                </c:pt>
                <c:pt idx="6">
                  <c:v>392</c:v>
                </c:pt>
                <c:pt idx="7">
                  <c:v>416</c:v>
                </c:pt>
                <c:pt idx="8">
                  <c:v>404</c:v>
                </c:pt>
                <c:pt idx="9">
                  <c:v>379</c:v>
                </c:pt>
                <c:pt idx="10">
                  <c:v>386</c:v>
                </c:pt>
                <c:pt idx="11">
                  <c:v>426</c:v>
                </c:pt>
                <c:pt idx="12">
                  <c:v>419.32473869071464</c:v>
                </c:pt>
                <c:pt idx="13">
                  <c:v>428.95279625378515</c:v>
                </c:pt>
                <c:pt idx="14">
                  <c:v>437.00579064406833</c:v>
                </c:pt>
                <c:pt idx="15">
                  <c:v>443.86825231210048</c:v>
                </c:pt>
                <c:pt idx="16">
                  <c:v>449.43777145712971</c:v>
                </c:pt>
                <c:pt idx="17">
                  <c:v>456.89210526294579</c:v>
                </c:pt>
                <c:pt idx="18">
                  <c:v>464.01690108978966</c:v>
                </c:pt>
                <c:pt idx="19">
                  <c:v>471.05936051848101</c:v>
                </c:pt>
                <c:pt idx="20">
                  <c:v>449.15077389618409</c:v>
                </c:pt>
                <c:pt idx="21">
                  <c:v>459.14390981664275</c:v>
                </c:pt>
                <c:pt idx="22">
                  <c:v>468.85287942465266</c:v>
                </c:pt>
                <c:pt idx="23">
                  <c:v>478.79160479314436</c:v>
                </c:pt>
                <c:pt idx="24">
                  <c:v>489.34430008518103</c:v>
                </c:pt>
                <c:pt idx="25">
                  <c:v>500.79481131976308</c:v>
                </c:pt>
                <c:pt idx="26">
                  <c:v>512.33398050473045</c:v>
                </c:pt>
                <c:pt idx="27">
                  <c:v>524.52252860320414</c:v>
                </c:pt>
                <c:pt idx="28">
                  <c:v>537.43438882143221</c:v>
                </c:pt>
                <c:pt idx="29">
                  <c:v>551.67356671717403</c:v>
                </c:pt>
                <c:pt idx="30">
                  <c:v>565.94400641091875</c:v>
                </c:pt>
                <c:pt idx="31">
                  <c:v>581.92121873513759</c:v>
                </c:pt>
                <c:pt idx="32">
                  <c:v>598.47502498370318</c:v>
                </c:pt>
                <c:pt idx="33">
                  <c:v>615.55270598465802</c:v>
                </c:pt>
                <c:pt idx="34">
                  <c:v>633.09613897829138</c:v>
                </c:pt>
                <c:pt idx="35">
                  <c:v>649.72691786865948</c:v>
                </c:pt>
                <c:pt idx="36">
                  <c:v>666.79735518876464</c:v>
                </c:pt>
                <c:pt idx="37">
                  <c:v>684.96310505899453</c:v>
                </c:pt>
                <c:pt idx="38">
                  <c:v>703.95682438438212</c:v>
                </c:pt>
                <c:pt idx="39">
                  <c:v>722.74778617048321</c:v>
                </c:pt>
                <c:pt idx="40">
                  <c:v>741.90314477863592</c:v>
                </c:pt>
                <c:pt idx="41">
                  <c:v>761.5320007493691</c:v>
                </c:pt>
                <c:pt idx="42">
                  <c:v>782.08936138876732</c:v>
                </c:pt>
                <c:pt idx="43">
                  <c:v>803.78297219275032</c:v>
                </c:pt>
                <c:pt idx="44">
                  <c:v>826.54940739858</c:v>
                </c:pt>
                <c:pt idx="45">
                  <c:v>850.82055596537157</c:v>
                </c:pt>
                <c:pt idx="46">
                  <c:v>876.13422684693592</c:v>
                </c:pt>
                <c:pt idx="47">
                  <c:v>902.5664607174059</c:v>
                </c:pt>
                <c:pt idx="48">
                  <c:v>929.05819500221128</c:v>
                </c:pt>
                <c:pt idx="49">
                  <c:v>956.77475071064339</c:v>
                </c:pt>
                <c:pt idx="50">
                  <c:v>986.00032541334997</c:v>
                </c:pt>
              </c:numCache>
            </c:numRef>
          </c:val>
          <c:smooth val="0"/>
          <c:extLst>
            <c:ext xmlns:c16="http://schemas.microsoft.com/office/drawing/2014/chart" uri="{C3380CC4-5D6E-409C-BE32-E72D297353CC}">
              <c16:uniqueId val="{00000003-76CF-4086-B27B-5C61DEAA5E1D}"/>
            </c:ext>
          </c:extLst>
        </c:ser>
        <c:dLbls>
          <c:showLegendKey val="0"/>
          <c:showVal val="0"/>
          <c:showCatName val="0"/>
          <c:showSerName val="0"/>
          <c:showPercent val="0"/>
          <c:showBubbleSize val="0"/>
        </c:dLbls>
        <c:smooth val="0"/>
        <c:axId val="1784320671"/>
        <c:axId val="1784315263"/>
      </c:lineChart>
      <c:catAx>
        <c:axId val="1784320671"/>
        <c:scaling>
          <c:orientation val="minMax"/>
        </c:scaling>
        <c:delete val="0"/>
        <c:axPos val="b"/>
        <c:numFmt formatCode="0_ ;\-0\ "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4315263"/>
        <c:crosses val="autoZero"/>
        <c:auto val="1"/>
        <c:lblAlgn val="ctr"/>
        <c:lblOffset val="100"/>
        <c:noMultiLvlLbl val="0"/>
      </c:catAx>
      <c:valAx>
        <c:axId val="1784315263"/>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432067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1.xml"/><Relationship Id="rId3" Type="http://schemas.openxmlformats.org/officeDocument/2006/relationships/chart" Target="../charts/chart6.xml"/><Relationship Id="rId7" Type="http://schemas.openxmlformats.org/officeDocument/2006/relationships/chart" Target="../charts/chart10.xml"/><Relationship Id="rId2" Type="http://schemas.openxmlformats.org/officeDocument/2006/relationships/chart" Target="../charts/chart5.xml"/><Relationship Id="rId1" Type="http://schemas.openxmlformats.org/officeDocument/2006/relationships/chart" Target="../charts/chart4.xml"/><Relationship Id="rId6" Type="http://schemas.openxmlformats.org/officeDocument/2006/relationships/chart" Target="../charts/chart9.xml"/><Relationship Id="rId5" Type="http://schemas.openxmlformats.org/officeDocument/2006/relationships/chart" Target="../charts/chart8.xml"/><Relationship Id="rId10" Type="http://schemas.openxmlformats.org/officeDocument/2006/relationships/chart" Target="../charts/chart13.xml"/><Relationship Id="rId4" Type="http://schemas.openxmlformats.org/officeDocument/2006/relationships/chart" Target="../charts/chart7.xml"/><Relationship Id="rId9" Type="http://schemas.openxmlformats.org/officeDocument/2006/relationships/chart" Target="../charts/chart1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7.xml"/><Relationship Id="rId2" Type="http://schemas.openxmlformats.org/officeDocument/2006/relationships/chart" Target="../charts/chart16.xml"/><Relationship Id="rId1" Type="http://schemas.openxmlformats.org/officeDocument/2006/relationships/chart" Target="../charts/chart15.xml"/></Relationships>
</file>

<file path=xl/drawings/drawing1.xml><?xml version="1.0" encoding="utf-8"?>
<xdr:wsDr xmlns:xdr="http://schemas.openxmlformats.org/drawingml/2006/spreadsheetDrawing" xmlns:a="http://schemas.openxmlformats.org/drawingml/2006/main">
  <xdr:twoCellAnchor>
    <xdr:from>
      <xdr:col>6</xdr:col>
      <xdr:colOff>828681</xdr:colOff>
      <xdr:row>23</xdr:row>
      <xdr:rowOff>76200</xdr:rowOff>
    </xdr:from>
    <xdr:to>
      <xdr:col>12</xdr:col>
      <xdr:colOff>314331</xdr:colOff>
      <xdr:row>39</xdr:row>
      <xdr:rowOff>152400</xdr:rowOff>
    </xdr:to>
    <xdr:graphicFrame macro="">
      <xdr:nvGraphicFramePr>
        <xdr:cNvPr id="10" name="Chart 9">
          <a:extLst>
            <a:ext uri="{FF2B5EF4-FFF2-40B4-BE49-F238E27FC236}">
              <a16:creationId xmlns:a16="http://schemas.microsoft.com/office/drawing/2014/main" id="{00000000-0008-0000-0A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809631</xdr:colOff>
      <xdr:row>38</xdr:row>
      <xdr:rowOff>171450</xdr:rowOff>
    </xdr:from>
    <xdr:to>
      <xdr:col>9</xdr:col>
      <xdr:colOff>295281</xdr:colOff>
      <xdr:row>55</xdr:row>
      <xdr:rowOff>57150</xdr:rowOff>
    </xdr:to>
    <xdr:graphicFrame macro="">
      <xdr:nvGraphicFramePr>
        <xdr:cNvPr id="13" name="Chart 12">
          <a:extLst>
            <a:ext uri="{FF2B5EF4-FFF2-40B4-BE49-F238E27FC236}">
              <a16:creationId xmlns:a16="http://schemas.microsoft.com/office/drawing/2014/main" id="{00000000-0008-0000-0A00-00000D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685806</xdr:colOff>
      <xdr:row>15</xdr:row>
      <xdr:rowOff>171450</xdr:rowOff>
    </xdr:from>
    <xdr:to>
      <xdr:col>14</xdr:col>
      <xdr:colOff>171456</xdr:colOff>
      <xdr:row>30</xdr:row>
      <xdr:rowOff>57150</xdr:rowOff>
    </xdr:to>
    <xdr:graphicFrame macro="">
      <xdr:nvGraphicFramePr>
        <xdr:cNvPr id="2" name="Chart 1">
          <a:extLst>
            <a:ext uri="{FF2B5EF4-FFF2-40B4-BE49-F238E27FC236}">
              <a16:creationId xmlns:a16="http://schemas.microsoft.com/office/drawing/2014/main" id="{00000000-0008-0000-0A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1752600</xdr:colOff>
      <xdr:row>27</xdr:row>
      <xdr:rowOff>0</xdr:rowOff>
    </xdr:from>
    <xdr:to>
      <xdr:col>4</xdr:col>
      <xdr:colOff>247650</xdr:colOff>
      <xdr:row>27</xdr:row>
      <xdr:rowOff>0</xdr:rowOff>
    </xdr:to>
    <xdr:graphicFrame macro="">
      <xdr:nvGraphicFramePr>
        <xdr:cNvPr id="2" name="Chart 6">
          <a:extLst>
            <a:ext uri="{FF2B5EF4-FFF2-40B4-BE49-F238E27FC236}">
              <a16:creationId xmlns:a16="http://schemas.microsoft.com/office/drawing/2014/main" id="{00000000-0008-0000-0B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66675</xdr:colOff>
      <xdr:row>27</xdr:row>
      <xdr:rowOff>0</xdr:rowOff>
    </xdr:from>
    <xdr:to>
      <xdr:col>4</xdr:col>
      <xdr:colOff>561975</xdr:colOff>
      <xdr:row>27</xdr:row>
      <xdr:rowOff>0</xdr:rowOff>
    </xdr:to>
    <xdr:graphicFrame macro="">
      <xdr:nvGraphicFramePr>
        <xdr:cNvPr id="3" name="Chart 7">
          <a:extLst>
            <a:ext uri="{FF2B5EF4-FFF2-40B4-BE49-F238E27FC236}">
              <a16:creationId xmlns:a16="http://schemas.microsoft.com/office/drawing/2014/main" id="{00000000-0008-0000-0B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1171575</xdr:colOff>
      <xdr:row>27</xdr:row>
      <xdr:rowOff>0</xdr:rowOff>
    </xdr:from>
    <xdr:to>
      <xdr:col>2</xdr:col>
      <xdr:colOff>0</xdr:colOff>
      <xdr:row>27</xdr:row>
      <xdr:rowOff>0</xdr:rowOff>
    </xdr:to>
    <xdr:graphicFrame macro="">
      <xdr:nvGraphicFramePr>
        <xdr:cNvPr id="4" name="Chart 20">
          <a:extLst>
            <a:ext uri="{FF2B5EF4-FFF2-40B4-BE49-F238E27FC236}">
              <a16:creationId xmlns:a16="http://schemas.microsoft.com/office/drawing/2014/main" id="{00000000-0008-0000-0B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0</xdr:colOff>
      <xdr:row>27</xdr:row>
      <xdr:rowOff>0</xdr:rowOff>
    </xdr:from>
    <xdr:to>
      <xdr:col>2</xdr:col>
      <xdr:colOff>0</xdr:colOff>
      <xdr:row>27</xdr:row>
      <xdr:rowOff>0</xdr:rowOff>
    </xdr:to>
    <xdr:graphicFrame macro="">
      <xdr:nvGraphicFramePr>
        <xdr:cNvPr id="5" name="Chart 21">
          <a:extLst>
            <a:ext uri="{FF2B5EF4-FFF2-40B4-BE49-F238E27FC236}">
              <a16:creationId xmlns:a16="http://schemas.microsoft.com/office/drawing/2014/main" id="{00000000-0008-0000-0B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37</xdr:col>
      <xdr:colOff>519112</xdr:colOff>
      <xdr:row>13</xdr:row>
      <xdr:rowOff>23812</xdr:rowOff>
    </xdr:from>
    <xdr:to>
      <xdr:col>45</xdr:col>
      <xdr:colOff>214312</xdr:colOff>
      <xdr:row>36</xdr:row>
      <xdr:rowOff>100012</xdr:rowOff>
    </xdr:to>
    <xdr:graphicFrame macro="">
      <xdr:nvGraphicFramePr>
        <xdr:cNvPr id="6" name="Chart 5">
          <a:extLst>
            <a:ext uri="{FF2B5EF4-FFF2-40B4-BE49-F238E27FC236}">
              <a16:creationId xmlns:a16="http://schemas.microsoft.com/office/drawing/2014/main" id="{00000000-0008-0000-0B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45</xdr:col>
      <xdr:colOff>328612</xdr:colOff>
      <xdr:row>13</xdr:row>
      <xdr:rowOff>61912</xdr:rowOff>
    </xdr:from>
    <xdr:to>
      <xdr:col>53</xdr:col>
      <xdr:colOff>23812</xdr:colOff>
      <xdr:row>36</xdr:row>
      <xdr:rowOff>138112</xdr:rowOff>
    </xdr:to>
    <xdr:graphicFrame macro="">
      <xdr:nvGraphicFramePr>
        <xdr:cNvPr id="7" name="Chart 6">
          <a:extLst>
            <a:ext uri="{FF2B5EF4-FFF2-40B4-BE49-F238E27FC236}">
              <a16:creationId xmlns:a16="http://schemas.microsoft.com/office/drawing/2014/main" id="{00000000-0008-0000-0B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29</xdr:col>
      <xdr:colOff>433387</xdr:colOff>
      <xdr:row>21</xdr:row>
      <xdr:rowOff>42862</xdr:rowOff>
    </xdr:from>
    <xdr:to>
      <xdr:col>37</xdr:col>
      <xdr:colOff>128587</xdr:colOff>
      <xdr:row>41</xdr:row>
      <xdr:rowOff>119062</xdr:rowOff>
    </xdr:to>
    <xdr:graphicFrame macro="">
      <xdr:nvGraphicFramePr>
        <xdr:cNvPr id="8" name="Chart 7">
          <a:extLst>
            <a:ext uri="{FF2B5EF4-FFF2-40B4-BE49-F238E27FC236}">
              <a16:creationId xmlns:a16="http://schemas.microsoft.com/office/drawing/2014/main" id="{00000000-0008-0000-0B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37</xdr:col>
      <xdr:colOff>566737</xdr:colOff>
      <xdr:row>37</xdr:row>
      <xdr:rowOff>147637</xdr:rowOff>
    </xdr:from>
    <xdr:to>
      <xdr:col>45</xdr:col>
      <xdr:colOff>261937</xdr:colOff>
      <xdr:row>52</xdr:row>
      <xdr:rowOff>33337</xdr:rowOff>
    </xdr:to>
    <xdr:graphicFrame macro="">
      <xdr:nvGraphicFramePr>
        <xdr:cNvPr id="9" name="Chart 8">
          <a:extLst>
            <a:ext uri="{FF2B5EF4-FFF2-40B4-BE49-F238E27FC236}">
              <a16:creationId xmlns:a16="http://schemas.microsoft.com/office/drawing/2014/main" id="{00000000-0008-0000-0B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30</xdr:col>
      <xdr:colOff>80962</xdr:colOff>
      <xdr:row>42</xdr:row>
      <xdr:rowOff>52387</xdr:rowOff>
    </xdr:from>
    <xdr:to>
      <xdr:col>37</xdr:col>
      <xdr:colOff>385762</xdr:colOff>
      <xdr:row>56</xdr:row>
      <xdr:rowOff>128587</xdr:rowOff>
    </xdr:to>
    <xdr:graphicFrame macro="">
      <xdr:nvGraphicFramePr>
        <xdr:cNvPr id="10" name="Chart 9">
          <a:extLst>
            <a:ext uri="{FF2B5EF4-FFF2-40B4-BE49-F238E27FC236}">
              <a16:creationId xmlns:a16="http://schemas.microsoft.com/office/drawing/2014/main" id="{00000000-0008-0000-0B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45</xdr:col>
      <xdr:colOff>519112</xdr:colOff>
      <xdr:row>39</xdr:row>
      <xdr:rowOff>80962</xdr:rowOff>
    </xdr:from>
    <xdr:to>
      <xdr:col>53</xdr:col>
      <xdr:colOff>214312</xdr:colOff>
      <xdr:row>53</xdr:row>
      <xdr:rowOff>157162</xdr:rowOff>
    </xdr:to>
    <xdr:graphicFrame macro="">
      <xdr:nvGraphicFramePr>
        <xdr:cNvPr id="11" name="Chart 10">
          <a:extLst>
            <a:ext uri="{FF2B5EF4-FFF2-40B4-BE49-F238E27FC236}">
              <a16:creationId xmlns:a16="http://schemas.microsoft.com/office/drawing/2014/main" id="{00000000-0008-0000-0B00-00000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9</xdr:col>
      <xdr:colOff>485775</xdr:colOff>
      <xdr:row>11</xdr:row>
      <xdr:rowOff>114300</xdr:rowOff>
    </xdr:from>
    <xdr:to>
      <xdr:col>18</xdr:col>
      <xdr:colOff>219075</xdr:colOff>
      <xdr:row>37</xdr:row>
      <xdr:rowOff>9526</xdr:rowOff>
    </xdr:to>
    <xdr:graphicFrame macro="">
      <xdr:nvGraphicFramePr>
        <xdr:cNvPr id="2" name="Chart 1">
          <a:extLst>
            <a:ext uri="{FF2B5EF4-FFF2-40B4-BE49-F238E27FC236}">
              <a16:creationId xmlns:a16="http://schemas.microsoft.com/office/drawing/2014/main" id="{00000000-0008-0000-0D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361949</xdr:colOff>
      <xdr:row>81</xdr:row>
      <xdr:rowOff>33337</xdr:rowOff>
    </xdr:from>
    <xdr:to>
      <xdr:col>15</xdr:col>
      <xdr:colOff>219074</xdr:colOff>
      <xdr:row>106</xdr:row>
      <xdr:rowOff>171450</xdr:rowOff>
    </xdr:to>
    <xdr:graphicFrame macro="">
      <xdr:nvGraphicFramePr>
        <xdr:cNvPr id="4" name="Chart 3">
          <a:extLst>
            <a:ext uri="{FF2B5EF4-FFF2-40B4-BE49-F238E27FC236}">
              <a16:creationId xmlns:a16="http://schemas.microsoft.com/office/drawing/2014/main" id="{00000000-0008-0000-11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619125</xdr:colOff>
      <xdr:row>80</xdr:row>
      <xdr:rowOff>176211</xdr:rowOff>
    </xdr:from>
    <xdr:to>
      <xdr:col>26</xdr:col>
      <xdr:colOff>600075</xdr:colOff>
      <xdr:row>102</xdr:row>
      <xdr:rowOff>133350</xdr:rowOff>
    </xdr:to>
    <xdr:graphicFrame macro="">
      <xdr:nvGraphicFramePr>
        <xdr:cNvPr id="3" name="Chart 2">
          <a:extLst>
            <a:ext uri="{FF2B5EF4-FFF2-40B4-BE49-F238E27FC236}">
              <a16:creationId xmlns:a16="http://schemas.microsoft.com/office/drawing/2014/main" id="{00000000-0008-0000-11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25</xdr:col>
      <xdr:colOff>276224</xdr:colOff>
      <xdr:row>120</xdr:row>
      <xdr:rowOff>14286</xdr:rowOff>
    </xdr:from>
    <xdr:to>
      <xdr:col>35</xdr:col>
      <xdr:colOff>447674</xdr:colOff>
      <xdr:row>145</xdr:row>
      <xdr:rowOff>152399</xdr:rowOff>
    </xdr:to>
    <xdr:graphicFrame macro="">
      <xdr:nvGraphicFramePr>
        <xdr:cNvPr id="5" name="Chart 4">
          <a:extLst>
            <a:ext uri="{FF2B5EF4-FFF2-40B4-BE49-F238E27FC236}">
              <a16:creationId xmlns:a16="http://schemas.microsoft.com/office/drawing/2014/main" id="{00000000-0008-0000-11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G:\My%20Drive\Consulting\2020Projects\AFOLU%20NDC\Corrected%20inventory\LULUC%202000-2017_v7_Corrected.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Land_model_Linked.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G:\My%20Drive\Consulting\2020Projects\AFOLU%20NDC\Land%20modelling\Land%20model_v1.6.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C Log"/>
      <sheetName val="QA Log"/>
      <sheetName val="Colour coding"/>
      <sheetName val="# Look Up Table"/>
      <sheetName val="Version notes"/>
      <sheetName val="Constants &amp; CF"/>
      <sheetName val="Land recalculation"/>
      <sheetName val="Land areas"/>
      <sheetName val="Summary"/>
      <sheetName val="Land sector table"/>
      <sheetName val="Land Trends"/>
      <sheetName val="LUC Matrix"/>
      <sheetName val="LC Matrix table for NIR"/>
      <sheetName val="Annual LU"/>
      <sheetName val="Annual LU change"/>
      <sheetName val="Biomass and litter data"/>
      <sheetName val="Biomass&amp;DOM data"/>
      <sheetName val="SOC ref data"/>
      <sheetName val="Burnt area chart"/>
      <sheetName val="Burnt area"/>
      <sheetName val="Sheet1"/>
      <sheetName val="Plantation Data"/>
      <sheetName val="Woodland fuelwood estimation"/>
      <sheetName val="LC Clim Soil Overlay data"/>
      <sheetName val="Crop areas"/>
      <sheetName val="Crop management factors"/>
      <sheetName val="Moeletsi et al 2015 crop data"/>
      <sheetName val="Land tables"/>
      <sheetName val="BiomassDOMSOC"/>
      <sheetName val="Forest land Trends"/>
      <sheetName val="Forest land conversions"/>
      <sheetName val="Cropland trends 2"/>
      <sheetName val="Grassland trends 2"/>
      <sheetName val="Settlement trends 2"/>
      <sheetName val="Other land trend 2"/>
      <sheetName val="Forest land cover"/>
      <sheetName val="Forest land Biomass &amp; DOM"/>
      <sheetName val="Forest land SOC"/>
      <sheetName val="Cropland Trends"/>
      <sheetName val="Cropland cover"/>
      <sheetName val="Cropland Biomass &amp; DOM"/>
      <sheetName val="Cropland SOC"/>
      <sheetName val="Grassland weighted AGB"/>
      <sheetName val="Grassland Trends"/>
      <sheetName val="Grassland Biomass &amp; DOM"/>
      <sheetName val="Grassland SOC"/>
      <sheetName val="Wetland"/>
      <sheetName val="Wetland Trends"/>
      <sheetName val="Wetland CH4"/>
      <sheetName val="Settlement Trends"/>
      <sheetName val="Settlements Biomass &amp; DOM"/>
      <sheetName val="Settlements SOC"/>
      <sheetName val="Otherland Trends"/>
      <sheetName val="Otherland Biomass &amp; DOM"/>
      <sheetName val="Otherlands SOC"/>
      <sheetName val="LULUCF Table"/>
    </sheetNames>
    <sheetDataSet>
      <sheetData sheetId="0"/>
      <sheetData sheetId="1"/>
      <sheetData sheetId="2"/>
      <sheetData sheetId="3"/>
      <sheetData sheetId="4"/>
      <sheetData sheetId="5">
        <row r="8">
          <cell r="E8">
            <v>21</v>
          </cell>
        </row>
        <row r="52">
          <cell r="E52">
            <v>0.47</v>
          </cell>
        </row>
      </sheetData>
      <sheetData sheetId="6" refreshError="1"/>
      <sheetData sheetId="7" refreshError="1"/>
      <sheetData sheetId="8"/>
      <sheetData sheetId="9"/>
      <sheetData sheetId="10" refreshError="1"/>
      <sheetData sheetId="11"/>
      <sheetData sheetId="12"/>
      <sheetData sheetId="13"/>
      <sheetData sheetId="14"/>
      <sheetData sheetId="15"/>
      <sheetData sheetId="16"/>
      <sheetData sheetId="17"/>
      <sheetData sheetId="18" refreshError="1"/>
      <sheetData sheetId="19"/>
      <sheetData sheetId="20"/>
      <sheetData sheetId="21"/>
      <sheetData sheetId="22"/>
      <sheetData sheetId="23"/>
      <sheetData sheetId="24"/>
      <sheetData sheetId="25"/>
      <sheetData sheetId="26"/>
      <sheetData sheetId="27"/>
      <sheetData sheetId="28"/>
      <sheetData sheetId="29" refreshError="1"/>
      <sheetData sheetId="30" refreshError="1"/>
      <sheetData sheetId="31" refreshError="1"/>
      <sheetData sheetId="32" refreshError="1"/>
      <sheetData sheetId="33" refreshError="1"/>
      <sheetData sheetId="34" refreshError="1"/>
      <sheetData sheetId="35" refreshError="1"/>
      <sheetData sheetId="36"/>
      <sheetData sheetId="37"/>
      <sheetData sheetId="38" refreshError="1"/>
      <sheetData sheetId="39" refreshError="1"/>
      <sheetData sheetId="40"/>
      <sheetData sheetId="41"/>
      <sheetData sheetId="42"/>
      <sheetData sheetId="43" refreshError="1"/>
      <sheetData sheetId="44"/>
      <sheetData sheetId="45"/>
      <sheetData sheetId="46"/>
      <sheetData sheetId="47" refreshError="1"/>
      <sheetData sheetId="48"/>
      <sheetData sheetId="49" refreshError="1"/>
      <sheetData sheetId="50"/>
      <sheetData sheetId="51"/>
      <sheetData sheetId="52" refreshError="1"/>
      <sheetData sheetId="53"/>
      <sheetData sheetId="54"/>
      <sheetData sheetId="55"/>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otes"/>
      <sheetName val="IndexG2E"/>
      <sheetName val="IndexE2G"/>
      <sheetName val="DriversCGE"/>
      <sheetName val="GHGSummary"/>
      <sheetName val="IPCC Categories"/>
      <sheetName val="Drivers"/>
      <sheetName val="Calculated drivers"/>
      <sheetName val="Annual land change driver"/>
      <sheetName val="Land areas"/>
      <sheetName val="Summary land areas"/>
      <sheetName val="Constants"/>
      <sheetName val="Variables"/>
      <sheetName val="Activity data"/>
      <sheetName val="Relationships"/>
      <sheetName val="Carbon stock data"/>
      <sheetName val="Aggregated stock data"/>
      <sheetName val="Baseline Emissions &amp; Removals"/>
      <sheetName val="Baseline emission summary"/>
      <sheetName val="Clearing assumptions"/>
      <sheetName val="Mitigation input scenarios"/>
      <sheetName val="Mitigation calculations"/>
      <sheetName val="Mitigation Emissions &amp; Removals"/>
      <sheetName val="Mitigation summary"/>
      <sheetName val="Sheet1"/>
      <sheetName val="Costs"/>
      <sheetName val="Jobs"/>
      <sheetName val="Inventory"/>
      <sheetName val="Inventory comparison"/>
    </sheetNames>
    <sheetDataSet>
      <sheetData sheetId="0"/>
      <sheetData sheetId="1"/>
      <sheetData sheetId="2"/>
      <sheetData sheetId="3"/>
      <sheetData sheetId="4"/>
      <sheetData sheetId="5"/>
      <sheetData sheetId="6"/>
      <sheetData sheetId="7"/>
      <sheetData sheetId="8"/>
      <sheetData sheetId="9"/>
      <sheetData sheetId="10"/>
      <sheetData sheetId="11">
        <row r="8">
          <cell r="B8">
            <v>1E-3</v>
          </cell>
        </row>
      </sheetData>
      <sheetData sheetId="12"/>
      <sheetData sheetId="13">
        <row r="545">
          <cell r="AE545">
            <v>13597.343916991533</v>
          </cell>
          <cell r="AF545">
            <v>13591.541699530653</v>
          </cell>
          <cell r="AG545">
            <v>13585.739482069775</v>
          </cell>
          <cell r="AH545">
            <v>13579.937264608896</v>
          </cell>
          <cell r="AI545">
            <v>13574.135047148016</v>
          </cell>
          <cell r="AJ545">
            <v>13568.332829687137</v>
          </cell>
          <cell r="AK545">
            <v>13562.530612226257</v>
          </cell>
          <cell r="AL545">
            <v>13556.72839476538</v>
          </cell>
          <cell r="AM545">
            <v>13550.9261773045</v>
          </cell>
          <cell r="AN545">
            <v>13545.12395984362</v>
          </cell>
          <cell r="AO545">
            <v>13539.321742382741</v>
          </cell>
          <cell r="AP545">
            <v>13533.519524921861</v>
          </cell>
          <cell r="AQ545">
            <v>13527.717307460984</v>
          </cell>
          <cell r="AR545">
            <v>13521.915090000104</v>
          </cell>
          <cell r="AS545">
            <v>13516.112872539225</v>
          </cell>
          <cell r="AT545">
            <v>13510.310655078345</v>
          </cell>
          <cell r="AU545">
            <v>13504.508437617465</v>
          </cell>
          <cell r="AV545">
            <v>13498.706220156588</v>
          </cell>
          <cell r="AW545">
            <v>13492.904002695708</v>
          </cell>
          <cell r="AX545">
            <v>13487.101785234829</v>
          </cell>
          <cell r="AY545">
            <v>13481.299567773949</v>
          </cell>
          <cell r="AZ545">
            <v>13475.49735031307</v>
          </cell>
          <cell r="BA545">
            <v>13469.695132852192</v>
          </cell>
          <cell r="BB545">
            <v>13463.892915391312</v>
          </cell>
          <cell r="BC545">
            <v>13458.090697930433</v>
          </cell>
          <cell r="BD545">
            <v>13452.288480469553</v>
          </cell>
          <cell r="BE545">
            <v>13446.486263008674</v>
          </cell>
          <cell r="BF545">
            <v>13440.684045547796</v>
          </cell>
          <cell r="BG545">
            <v>13434.881828086916</v>
          </cell>
          <cell r="BH545">
            <v>13429.079610626037</v>
          </cell>
          <cell r="BI545">
            <v>13423.277393165157</v>
          </cell>
          <cell r="BJ545">
            <v>13417.475175704278</v>
          </cell>
          <cell r="BK545">
            <v>13411.6729582434</v>
          </cell>
          <cell r="BL545">
            <v>13405.87074078252</v>
          </cell>
          <cell r="BM545">
            <v>13400.068523321641</v>
          </cell>
          <cell r="BN545">
            <v>13394.266305860761</v>
          </cell>
          <cell r="BO545">
            <v>13388.464088399882</v>
          </cell>
          <cell r="BP545">
            <v>13382.661870939004</v>
          </cell>
          <cell r="BQ545">
            <v>13376.859653478125</v>
          </cell>
        </row>
        <row r="546">
          <cell r="AE546">
            <v>393930.44129440375</v>
          </cell>
          <cell r="AF546">
            <v>393306.72804719064</v>
          </cell>
          <cell r="AG546">
            <v>392683.01479997754</v>
          </cell>
          <cell r="AH546">
            <v>392059.30155276449</v>
          </cell>
          <cell r="AI546">
            <v>391435.58830555138</v>
          </cell>
          <cell r="AJ546">
            <v>390811.87505833828</v>
          </cell>
          <cell r="AK546">
            <v>390188.16181112523</v>
          </cell>
          <cell r="AL546">
            <v>389564.44856391213</v>
          </cell>
          <cell r="AM546">
            <v>388940.73531669908</v>
          </cell>
          <cell r="AN546">
            <v>388317.02206948597</v>
          </cell>
          <cell r="AO546">
            <v>387693.30882227287</v>
          </cell>
          <cell r="AP546">
            <v>387069.59557505982</v>
          </cell>
          <cell r="AQ546">
            <v>386445.88232784672</v>
          </cell>
          <cell r="AR546">
            <v>385822.16908063361</v>
          </cell>
          <cell r="AS546">
            <v>385198.45583342056</v>
          </cell>
          <cell r="AT546">
            <v>384574.74258620746</v>
          </cell>
          <cell r="AU546">
            <v>383951.02933899435</v>
          </cell>
          <cell r="AV546">
            <v>383327.31609178131</v>
          </cell>
          <cell r="AW546">
            <v>382703.6028445682</v>
          </cell>
          <cell r="AX546">
            <v>382079.88959735516</v>
          </cell>
          <cell r="AY546">
            <v>381456.17635014205</v>
          </cell>
          <cell r="AZ546">
            <v>380832.46310292894</v>
          </cell>
          <cell r="BA546">
            <v>380208.7498557159</v>
          </cell>
          <cell r="BB546">
            <v>379585.03660850279</v>
          </cell>
          <cell r="BC546">
            <v>378961.32336128969</v>
          </cell>
          <cell r="BD546">
            <v>378337.61011407664</v>
          </cell>
          <cell r="BE546">
            <v>377713.89686686354</v>
          </cell>
          <cell r="BF546">
            <v>377090.18361965049</v>
          </cell>
          <cell r="BG546">
            <v>376466.47037243738</v>
          </cell>
          <cell r="BH546">
            <v>375842.75712522428</v>
          </cell>
          <cell r="BI546">
            <v>375219.04387801123</v>
          </cell>
          <cell r="BJ546">
            <v>374595.33063079813</v>
          </cell>
          <cell r="BK546">
            <v>373971.61738358502</v>
          </cell>
          <cell r="BL546">
            <v>373347.90413637197</v>
          </cell>
          <cell r="BM546">
            <v>372724.19088915887</v>
          </cell>
          <cell r="BN546">
            <v>372100.47764194576</v>
          </cell>
          <cell r="BO546">
            <v>371476.76439473272</v>
          </cell>
          <cell r="BP546">
            <v>370853.05114751961</v>
          </cell>
          <cell r="BQ546">
            <v>370229.33790030656</v>
          </cell>
        </row>
        <row r="547">
          <cell r="AE547">
            <v>664355.50457407185</v>
          </cell>
          <cell r="AF547">
            <v>665519.12191991892</v>
          </cell>
          <cell r="AG547">
            <v>666682.73926576588</v>
          </cell>
          <cell r="AH547">
            <v>667846.35661161283</v>
          </cell>
          <cell r="AI547">
            <v>669009.97395745991</v>
          </cell>
          <cell r="AJ547">
            <v>670173.59130330686</v>
          </cell>
          <cell r="AK547">
            <v>671337.20864915382</v>
          </cell>
          <cell r="AL547">
            <v>666658.3555590522</v>
          </cell>
          <cell r="AM547">
            <v>661979.50246895046</v>
          </cell>
          <cell r="AN547">
            <v>657300.64937884873</v>
          </cell>
          <cell r="AO547">
            <v>652621.79628874699</v>
          </cell>
          <cell r="AP547">
            <v>647942.94319864525</v>
          </cell>
          <cell r="AQ547">
            <v>643264.09010854363</v>
          </cell>
          <cell r="AR547">
            <v>638585.2370184419</v>
          </cell>
          <cell r="AS547">
            <v>633906.38392834016</v>
          </cell>
          <cell r="AT547">
            <v>629227.53083823842</v>
          </cell>
          <cell r="AU547">
            <v>624548.67774813669</v>
          </cell>
          <cell r="AV547">
            <v>619869.82465803507</v>
          </cell>
          <cell r="AW547">
            <v>615190.97156793333</v>
          </cell>
          <cell r="AX547">
            <v>610512.11847783159</v>
          </cell>
          <cell r="AY547">
            <v>605833.26538772986</v>
          </cell>
          <cell r="AZ547">
            <v>601154.41229762812</v>
          </cell>
          <cell r="BA547">
            <v>596475.55920752638</v>
          </cell>
          <cell r="BB547">
            <v>591796.70611742476</v>
          </cell>
          <cell r="BC547">
            <v>587117.85302732303</v>
          </cell>
          <cell r="BD547">
            <v>582438.99993722129</v>
          </cell>
          <cell r="BE547">
            <v>577760.14684711955</v>
          </cell>
          <cell r="BF547">
            <v>573081.29375701782</v>
          </cell>
          <cell r="BG547">
            <v>568402.44066691608</v>
          </cell>
          <cell r="BH547">
            <v>563723.58757681435</v>
          </cell>
          <cell r="BI547">
            <v>559044.73448671272</v>
          </cell>
          <cell r="BJ547">
            <v>554365.88139661099</v>
          </cell>
          <cell r="BK547">
            <v>549687.02830650925</v>
          </cell>
          <cell r="BL547">
            <v>545008.17521640752</v>
          </cell>
          <cell r="BM547">
            <v>540329.32212630589</v>
          </cell>
          <cell r="BN547">
            <v>535650.46903620427</v>
          </cell>
          <cell r="BO547">
            <v>530971.61594610265</v>
          </cell>
          <cell r="BP547">
            <v>526292.76285600092</v>
          </cell>
          <cell r="BQ547">
            <v>521613.90976589912</v>
          </cell>
        </row>
        <row r="548">
          <cell r="AE548">
            <v>13285.999123176394</v>
          </cell>
          <cell r="AF548">
            <v>24983.999123176392</v>
          </cell>
          <cell r="AG548">
            <v>20172.999123176392</v>
          </cell>
          <cell r="AH548">
            <v>15648.999123176394</v>
          </cell>
          <cell r="AI548">
            <v>17908.999123176392</v>
          </cell>
          <cell r="AJ548">
            <v>19831.999123176392</v>
          </cell>
          <cell r="AK548">
            <v>19831.999123176392</v>
          </cell>
          <cell r="AL548">
            <v>19918.097396718102</v>
          </cell>
          <cell r="AM548">
            <v>20004.195670259811</v>
          </cell>
          <cell r="AN548">
            <v>20090.29394380152</v>
          </cell>
          <cell r="AO548">
            <v>20176.392217343229</v>
          </cell>
          <cell r="AP548">
            <v>20262.490490884938</v>
          </cell>
          <cell r="AQ548">
            <v>20348.588764426648</v>
          </cell>
          <cell r="AR548">
            <v>20434.687037968357</v>
          </cell>
          <cell r="AS548">
            <v>20520.785311510066</v>
          </cell>
          <cell r="AT548">
            <v>20606.883585051775</v>
          </cell>
          <cell r="AU548">
            <v>20692.981858593485</v>
          </cell>
          <cell r="AV548">
            <v>20779.080132135194</v>
          </cell>
          <cell r="AW548">
            <v>20865.178405676903</v>
          </cell>
          <cell r="AX548">
            <v>20865.178405676903</v>
          </cell>
          <cell r="AY548">
            <v>20865.178405676903</v>
          </cell>
          <cell r="AZ548">
            <v>20865.178405676903</v>
          </cell>
          <cell r="BA548">
            <v>20865.178405676903</v>
          </cell>
          <cell r="BB548">
            <v>20865.178405676903</v>
          </cell>
          <cell r="BC548">
            <v>20865.178405676903</v>
          </cell>
          <cell r="BD548">
            <v>20865.178405676903</v>
          </cell>
          <cell r="BE548">
            <v>20865.178405676903</v>
          </cell>
          <cell r="BF548">
            <v>20779.080132135194</v>
          </cell>
          <cell r="BG548">
            <v>20692.981858593485</v>
          </cell>
          <cell r="BH548">
            <v>20606.883585051775</v>
          </cell>
          <cell r="BI548">
            <v>20520.785311510066</v>
          </cell>
          <cell r="BJ548">
            <v>20434.687037968357</v>
          </cell>
          <cell r="BK548">
            <v>20348.588764426648</v>
          </cell>
          <cell r="BL548">
            <v>20262.490490884938</v>
          </cell>
          <cell r="BM548">
            <v>20176.392217343229</v>
          </cell>
          <cell r="BN548">
            <v>20090.29394380152</v>
          </cell>
          <cell r="BO548">
            <v>20004.195670259811</v>
          </cell>
          <cell r="BP548">
            <v>19918.097396718102</v>
          </cell>
          <cell r="BQ548">
            <v>19831.999123176392</v>
          </cell>
        </row>
        <row r="549">
          <cell r="AE549">
            <v>329614.7597349711</v>
          </cell>
          <cell r="AF549">
            <v>328711.1609496483</v>
          </cell>
          <cell r="AG549">
            <v>327807.5621643255</v>
          </cell>
          <cell r="AH549">
            <v>326903.96337900264</v>
          </cell>
          <cell r="AI549">
            <v>326000.36459367984</v>
          </cell>
          <cell r="AJ549">
            <v>325096.76580835704</v>
          </cell>
          <cell r="AK549">
            <v>324193.16702303418</v>
          </cell>
          <cell r="AL549">
            <v>323289.56823771138</v>
          </cell>
          <cell r="AM549">
            <v>322385.96945238858</v>
          </cell>
          <cell r="AN549">
            <v>321482.37066706573</v>
          </cell>
          <cell r="AO549">
            <v>320578.77188174293</v>
          </cell>
          <cell r="AP549">
            <v>319675.17309642013</v>
          </cell>
          <cell r="AQ549">
            <v>318771.57431109727</v>
          </cell>
          <cell r="AR549">
            <v>317867.97552577447</v>
          </cell>
          <cell r="AS549">
            <v>316964.37674045167</v>
          </cell>
          <cell r="AT549">
            <v>316060.77795512887</v>
          </cell>
          <cell r="AU549">
            <v>315157.17916980601</v>
          </cell>
          <cell r="AV549">
            <v>314253.58038448321</v>
          </cell>
          <cell r="AW549">
            <v>313349.98159916041</v>
          </cell>
          <cell r="AX549">
            <v>312446.38281383755</v>
          </cell>
          <cell r="AY549">
            <v>311542.78402851475</v>
          </cell>
          <cell r="AZ549">
            <v>310639.18524319195</v>
          </cell>
          <cell r="BA549">
            <v>309735.5864578691</v>
          </cell>
          <cell r="BB549">
            <v>308831.9876725463</v>
          </cell>
          <cell r="BC549">
            <v>307928.3888872235</v>
          </cell>
          <cell r="BD549">
            <v>307024.79010190064</v>
          </cell>
          <cell r="BE549">
            <v>306121.19131657784</v>
          </cell>
          <cell r="BF549">
            <v>305217.59253125504</v>
          </cell>
          <cell r="BG549">
            <v>304313.99374593218</v>
          </cell>
          <cell r="BH549">
            <v>303410.39496060938</v>
          </cell>
          <cell r="BI549">
            <v>302506.79617528658</v>
          </cell>
          <cell r="BJ549">
            <v>301603.19738996372</v>
          </cell>
          <cell r="BK549">
            <v>300699.59860464092</v>
          </cell>
          <cell r="BL549">
            <v>299795.99981931812</v>
          </cell>
          <cell r="BM549">
            <v>298892.40103399527</v>
          </cell>
          <cell r="BN549">
            <v>297988.80224867247</v>
          </cell>
          <cell r="BO549">
            <v>297085.20346334967</v>
          </cell>
          <cell r="BP549">
            <v>296181.60467802687</v>
          </cell>
          <cell r="BQ549">
            <v>295278.00589270401</v>
          </cell>
        </row>
        <row r="550">
          <cell r="AE550">
            <v>27272.800964105933</v>
          </cell>
          <cell r="AF550">
            <v>28102.087515757019</v>
          </cell>
          <cell r="AG550">
            <v>28931.374067408098</v>
          </cell>
          <cell r="AH550">
            <v>29760.660619059196</v>
          </cell>
          <cell r="AI550">
            <v>30589.947170710278</v>
          </cell>
          <cell r="AJ550">
            <v>31419.233722361369</v>
          </cell>
          <cell r="AK550">
            <v>32248.520274012448</v>
          </cell>
          <cell r="AL550">
            <v>33077.806825663531</v>
          </cell>
          <cell r="AM550">
            <v>33907.093377314624</v>
          </cell>
          <cell r="AN550">
            <v>34736.379928965718</v>
          </cell>
          <cell r="AO550">
            <v>35565.666480616797</v>
          </cell>
          <cell r="AP550">
            <v>36394.953032267884</v>
          </cell>
          <cell r="AQ550">
            <v>37224.23958391897</v>
          </cell>
          <cell r="AR550">
            <v>38053.526135570057</v>
          </cell>
          <cell r="AS550">
            <v>38882.812687221151</v>
          </cell>
          <cell r="AT550">
            <v>39712.09923887223</v>
          </cell>
          <cell r="AU550">
            <v>40541.385790523324</v>
          </cell>
          <cell r="AV550">
            <v>41370.67234217441</v>
          </cell>
          <cell r="AW550">
            <v>42199.958893825504</v>
          </cell>
          <cell r="AX550">
            <v>43029.245445476583</v>
          </cell>
          <cell r="AY550">
            <v>43858.531997127677</v>
          </cell>
          <cell r="AZ550">
            <v>44687.818548778749</v>
          </cell>
          <cell r="BA550">
            <v>45517.105100429842</v>
          </cell>
          <cell r="BB550">
            <v>46346.391652080929</v>
          </cell>
          <cell r="BC550">
            <v>47175.678203732023</v>
          </cell>
          <cell r="BD550">
            <v>48004.964755383102</v>
          </cell>
          <cell r="BE550">
            <v>48834.251307034181</v>
          </cell>
          <cell r="BF550">
            <v>49663.537858685289</v>
          </cell>
          <cell r="BG550">
            <v>50492.824410336369</v>
          </cell>
          <cell r="BH550">
            <v>51322.110961987448</v>
          </cell>
          <cell r="BI550">
            <v>52151.397513638527</v>
          </cell>
          <cell r="BJ550">
            <v>52980.684065289621</v>
          </cell>
          <cell r="BK550">
            <v>53809.970616940707</v>
          </cell>
          <cell r="BL550">
            <v>54639.257168591786</v>
          </cell>
          <cell r="BM550">
            <v>55468.54372024288</v>
          </cell>
          <cell r="BN550">
            <v>56297.830271893945</v>
          </cell>
          <cell r="BO550">
            <v>57127.116823545024</v>
          </cell>
          <cell r="BP550">
            <v>57956.403375196111</v>
          </cell>
          <cell r="BQ550">
            <v>58785.68992684719</v>
          </cell>
        </row>
        <row r="551">
          <cell r="AE551">
            <v>3227.9349368076064</v>
          </cell>
          <cell r="AF551">
            <v>3255.5028892035903</v>
          </cell>
          <cell r="AG551">
            <v>3283.0708415995737</v>
          </cell>
          <cell r="AH551">
            <v>3310.6387939955575</v>
          </cell>
          <cell r="AI551">
            <v>3338.2067463915409</v>
          </cell>
          <cell r="AJ551">
            <v>3365.7746987875248</v>
          </cell>
          <cell r="AK551">
            <v>3393.3426511835082</v>
          </cell>
          <cell r="AL551">
            <v>3420.9106035794921</v>
          </cell>
          <cell r="AM551">
            <v>3448.4785559754755</v>
          </cell>
          <cell r="AN551">
            <v>3476.0465083714594</v>
          </cell>
          <cell r="AO551">
            <v>3503.6144607674428</v>
          </cell>
          <cell r="AP551">
            <v>3531.1824131634266</v>
          </cell>
          <cell r="AQ551">
            <v>3558.7503655594105</v>
          </cell>
          <cell r="AR551">
            <v>3586.3183179553939</v>
          </cell>
          <cell r="AS551">
            <v>3613.8862703513778</v>
          </cell>
          <cell r="AT551">
            <v>3641.4542227473612</v>
          </cell>
          <cell r="AU551">
            <v>3669.0221751433451</v>
          </cell>
          <cell r="AV551">
            <v>3696.5901275393285</v>
          </cell>
          <cell r="AW551">
            <v>3724.1580799353123</v>
          </cell>
          <cell r="AX551">
            <v>3751.7260323312958</v>
          </cell>
          <cell r="AY551">
            <v>3779.2939847272796</v>
          </cell>
          <cell r="AZ551">
            <v>3806.861937123263</v>
          </cell>
          <cell r="BA551">
            <v>3834.4298895192469</v>
          </cell>
          <cell r="BB551">
            <v>3861.9978419152303</v>
          </cell>
          <cell r="BC551">
            <v>3889.5657943112142</v>
          </cell>
          <cell r="BD551">
            <v>3917.1337467071976</v>
          </cell>
          <cell r="BE551">
            <v>3944.7016991031815</v>
          </cell>
          <cell r="BF551">
            <v>3972.2696514991649</v>
          </cell>
          <cell r="BG551">
            <v>3999.8376038951487</v>
          </cell>
          <cell r="BH551">
            <v>4027.4055562911321</v>
          </cell>
          <cell r="BI551">
            <v>4054.973508687116</v>
          </cell>
          <cell r="BJ551">
            <v>4082.5414610830994</v>
          </cell>
          <cell r="BK551">
            <v>4110.1094134790837</v>
          </cell>
          <cell r="BL551">
            <v>4137.6773658750672</v>
          </cell>
          <cell r="BM551">
            <v>4165.2453182710506</v>
          </cell>
          <cell r="BN551">
            <v>4192.813270667034</v>
          </cell>
          <cell r="BO551">
            <v>4220.3812230630174</v>
          </cell>
          <cell r="BP551">
            <v>4247.9491754590017</v>
          </cell>
          <cell r="BQ551">
            <v>4275.5171278549851</v>
          </cell>
        </row>
        <row r="552">
          <cell r="AE552">
            <v>892.04273910080849</v>
          </cell>
          <cell r="AF552">
            <v>897.91643360164323</v>
          </cell>
          <cell r="AG552">
            <v>903.79012810247798</v>
          </cell>
          <cell r="AH552">
            <v>909.66382260331272</v>
          </cell>
          <cell r="AI552">
            <v>915.53751710414724</v>
          </cell>
          <cell r="AJ552">
            <v>921.41121160498199</v>
          </cell>
          <cell r="AK552">
            <v>927.28490610581673</v>
          </cell>
          <cell r="AL552">
            <v>933.15860060665148</v>
          </cell>
          <cell r="AM552">
            <v>939.03229510748622</v>
          </cell>
          <cell r="AN552">
            <v>944.90598960832097</v>
          </cell>
          <cell r="AO552">
            <v>950.77968410915571</v>
          </cell>
          <cell r="AP552">
            <v>956.65337860999045</v>
          </cell>
          <cell r="AQ552">
            <v>962.5270731108252</v>
          </cell>
          <cell r="AR552">
            <v>968.40076761165994</v>
          </cell>
          <cell r="AS552">
            <v>974.27446211249469</v>
          </cell>
          <cell r="AT552">
            <v>980.14815661332921</v>
          </cell>
          <cell r="AU552">
            <v>986.02185111416395</v>
          </cell>
          <cell r="AV552">
            <v>991.8955456149987</v>
          </cell>
          <cell r="AW552">
            <v>997.76924011583344</v>
          </cell>
          <cell r="AX552">
            <v>1003.6429346166682</v>
          </cell>
          <cell r="AY552">
            <v>1009.5166291175029</v>
          </cell>
          <cell r="AZ552">
            <v>1015.3903236183377</v>
          </cell>
          <cell r="BA552">
            <v>1021.2640181191724</v>
          </cell>
          <cell r="BB552">
            <v>1027.1377126200073</v>
          </cell>
          <cell r="BC552">
            <v>1033.011407120842</v>
          </cell>
          <cell r="BD552">
            <v>1038.885101621677</v>
          </cell>
          <cell r="BE552">
            <v>1044.7587961225115</v>
          </cell>
          <cell r="BF552">
            <v>1050.6324906233463</v>
          </cell>
          <cell r="BG552">
            <v>1056.506185124181</v>
          </cell>
          <cell r="BH552">
            <v>1062.3798796250157</v>
          </cell>
          <cell r="BI552">
            <v>1068.2535741258505</v>
          </cell>
          <cell r="BJ552">
            <v>1074.1272686266852</v>
          </cell>
          <cell r="BK552">
            <v>1080.00096312752</v>
          </cell>
          <cell r="BL552">
            <v>1085.8746576283547</v>
          </cell>
          <cell r="BM552">
            <v>1091.7483521291895</v>
          </cell>
          <cell r="BN552">
            <v>1097.6220466300242</v>
          </cell>
          <cell r="BO552">
            <v>1103.495741130859</v>
          </cell>
          <cell r="BP552">
            <v>1109.3694356316935</v>
          </cell>
          <cell r="BQ552">
            <v>1115.2431301325282</v>
          </cell>
        </row>
        <row r="553">
          <cell r="AE553">
            <v>111446.90580100549</v>
          </cell>
          <cell r="AF553">
            <v>111463.54344556993</v>
          </cell>
          <cell r="AG553">
            <v>111480.18109013437</v>
          </cell>
          <cell r="AH553">
            <v>111496.81873469881</v>
          </cell>
          <cell r="AI553">
            <v>111513.45637926325</v>
          </cell>
          <cell r="AJ553">
            <v>111530.0940238277</v>
          </cell>
          <cell r="AK553">
            <v>111546.73166839214</v>
          </cell>
          <cell r="AL553">
            <v>111563.36931295661</v>
          </cell>
          <cell r="AM553">
            <v>111580.00695752105</v>
          </cell>
          <cell r="AN553">
            <v>111596.64460208549</v>
          </cell>
          <cell r="AO553">
            <v>111613.28224664993</v>
          </cell>
          <cell r="AP553">
            <v>111629.91989121438</v>
          </cell>
          <cell r="AQ553">
            <v>111646.55753577882</v>
          </cell>
          <cell r="AR553">
            <v>111663.19518034326</v>
          </cell>
          <cell r="AS553">
            <v>111679.83282490773</v>
          </cell>
          <cell r="AT553">
            <v>111696.47046947217</v>
          </cell>
          <cell r="AU553">
            <v>111713.10811403662</v>
          </cell>
          <cell r="AV553">
            <v>111729.74575860106</v>
          </cell>
          <cell r="AW553">
            <v>111746.3834031655</v>
          </cell>
          <cell r="AX553">
            <v>111763.02104772994</v>
          </cell>
          <cell r="AY553">
            <v>111779.65869229441</v>
          </cell>
          <cell r="AZ553">
            <v>111796.29633685885</v>
          </cell>
          <cell r="BA553">
            <v>111812.9339814233</v>
          </cell>
          <cell r="BB553">
            <v>111829.57162598774</v>
          </cell>
          <cell r="BC553">
            <v>111846.20927055218</v>
          </cell>
          <cell r="BD553">
            <v>111862.84691511662</v>
          </cell>
          <cell r="BE553">
            <v>111879.48455968106</v>
          </cell>
          <cell r="BF553">
            <v>111896.12220424553</v>
          </cell>
          <cell r="BG553">
            <v>111912.75984880998</v>
          </cell>
          <cell r="BH553">
            <v>111929.39749337442</v>
          </cell>
          <cell r="BI553">
            <v>111946.03513793886</v>
          </cell>
          <cell r="BJ553">
            <v>111962.6727825033</v>
          </cell>
          <cell r="BK553">
            <v>111979.31042706774</v>
          </cell>
          <cell r="BL553">
            <v>111995.94807163219</v>
          </cell>
          <cell r="BM553">
            <v>112012.58571619666</v>
          </cell>
          <cell r="BN553">
            <v>112029.2233607611</v>
          </cell>
          <cell r="BO553">
            <v>112045.86100532554</v>
          </cell>
          <cell r="BP553">
            <v>112062.49864988998</v>
          </cell>
          <cell r="BQ553">
            <v>112079.13629445442</v>
          </cell>
        </row>
        <row r="554">
          <cell r="AE554">
            <v>2029778.8780198463</v>
          </cell>
          <cell r="AF554">
            <v>2042800.9812413759</v>
          </cell>
          <cell r="AG554">
            <v>2055823.0844629053</v>
          </cell>
          <cell r="AH554">
            <v>2068845.1876844347</v>
          </cell>
          <cell r="AI554">
            <v>2081867.2909059643</v>
          </cell>
          <cell r="AJ554">
            <v>2094889.3941274937</v>
          </cell>
          <cell r="AK554">
            <v>2107911.4973490234</v>
          </cell>
          <cell r="AL554">
            <v>2129780.2741153426</v>
          </cell>
          <cell r="AM554">
            <v>2151649.0508816615</v>
          </cell>
          <cell r="AN554">
            <v>2173517.8276479808</v>
          </cell>
          <cell r="AO554">
            <v>2195386.6044142996</v>
          </cell>
          <cell r="AP554">
            <v>2217255.3811806189</v>
          </cell>
          <cell r="AQ554">
            <v>2239124.1579469377</v>
          </cell>
          <cell r="AR554">
            <v>2260992.934713257</v>
          </cell>
          <cell r="AS554">
            <v>2282861.7114795758</v>
          </cell>
          <cell r="AT554">
            <v>2304730.4882458951</v>
          </cell>
          <cell r="AU554">
            <v>2326599.2650122144</v>
          </cell>
          <cell r="AV554">
            <v>2348468.0417785333</v>
          </cell>
          <cell r="AW554">
            <v>2370336.8185448521</v>
          </cell>
          <cell r="AX554">
            <v>2392578.6068636663</v>
          </cell>
          <cell r="AY554">
            <v>2414820.3951824801</v>
          </cell>
          <cell r="AZ554">
            <v>2437062.1835012939</v>
          </cell>
          <cell r="BA554">
            <v>2459303.9718201077</v>
          </cell>
          <cell r="BB554">
            <v>2481545.7601389214</v>
          </cell>
          <cell r="BC554">
            <v>2503787.5484577357</v>
          </cell>
          <cell r="BD554">
            <v>2526029.336776549</v>
          </cell>
          <cell r="BE554">
            <v>2548271.1250953628</v>
          </cell>
          <cell r="BF554">
            <v>2570512.9134141766</v>
          </cell>
          <cell r="BG554">
            <v>2592754.7017329903</v>
          </cell>
          <cell r="BH554">
            <v>2614996.4900518041</v>
          </cell>
          <cell r="BI554">
            <v>2637238.2783706179</v>
          </cell>
          <cell r="BJ554">
            <v>2659480.0666894317</v>
          </cell>
          <cell r="BK554">
            <v>2681721.8550082454</v>
          </cell>
          <cell r="BL554">
            <v>2703963.6433270597</v>
          </cell>
          <cell r="BM554">
            <v>2726205.4316458735</v>
          </cell>
          <cell r="BN554">
            <v>2748447.2199646872</v>
          </cell>
          <cell r="BO554">
            <v>2770689.008283501</v>
          </cell>
          <cell r="BP554">
            <v>2792930.7966023148</v>
          </cell>
          <cell r="BQ554">
            <v>2815172.5849211286</v>
          </cell>
        </row>
        <row r="555">
          <cell r="AE555">
            <v>273139.2561664434</v>
          </cell>
          <cell r="AF555">
            <v>272318.52883358276</v>
          </cell>
          <cell r="AG555">
            <v>271497.80150072213</v>
          </cell>
          <cell r="AH555">
            <v>270677.07416786149</v>
          </cell>
          <cell r="AI555">
            <v>269856.34683500085</v>
          </cell>
          <cell r="AJ555">
            <v>269035.61950214021</v>
          </cell>
          <cell r="AK555">
            <v>268214.89216927957</v>
          </cell>
          <cell r="AL555">
            <v>267394.16483641899</v>
          </cell>
          <cell r="AM555">
            <v>266573.43750355835</v>
          </cell>
          <cell r="AN555">
            <v>265752.71017069771</v>
          </cell>
          <cell r="AO555">
            <v>264931.98283783707</v>
          </cell>
          <cell r="AP555">
            <v>264111.25550497643</v>
          </cell>
          <cell r="AQ555">
            <v>263290.5281721158</v>
          </cell>
          <cell r="AR555">
            <v>262469.80083925516</v>
          </cell>
          <cell r="AS555">
            <v>261649.07350639458</v>
          </cell>
          <cell r="AT555">
            <v>260828.34617353394</v>
          </cell>
          <cell r="AU555">
            <v>260007.6188406733</v>
          </cell>
          <cell r="AV555">
            <v>259186.89150781266</v>
          </cell>
          <cell r="AW555">
            <v>258366.16417495205</v>
          </cell>
          <cell r="AX555">
            <v>257545.43684209141</v>
          </cell>
          <cell r="AY555">
            <v>256724.70950923077</v>
          </cell>
          <cell r="AZ555">
            <v>255903.98217637016</v>
          </cell>
          <cell r="BA555">
            <v>255083.25484350952</v>
          </cell>
          <cell r="BB555">
            <v>254262.52751064888</v>
          </cell>
          <cell r="BC555">
            <v>253441.80017778825</v>
          </cell>
          <cell r="BD555">
            <v>252621.07284492764</v>
          </cell>
          <cell r="BE555">
            <v>251800.345512067</v>
          </cell>
          <cell r="BF555">
            <v>250979.61817920636</v>
          </cell>
          <cell r="BG555">
            <v>250158.89084634575</v>
          </cell>
          <cell r="BH555">
            <v>249338.16351348511</v>
          </cell>
          <cell r="BI555">
            <v>248517.43618062447</v>
          </cell>
          <cell r="BJ555">
            <v>247696.70884776386</v>
          </cell>
          <cell r="BK555">
            <v>246875.98151490322</v>
          </cell>
          <cell r="BL555">
            <v>246055.25418204258</v>
          </cell>
          <cell r="BM555">
            <v>245234.52684918194</v>
          </cell>
          <cell r="BN555">
            <v>244413.79951632133</v>
          </cell>
          <cell r="BO555">
            <v>243593.0721834607</v>
          </cell>
          <cell r="BP555">
            <v>242772.34485060006</v>
          </cell>
          <cell r="BQ555">
            <v>241951.61751773945</v>
          </cell>
        </row>
        <row r="556">
          <cell r="AE556">
            <v>57963.822619231716</v>
          </cell>
          <cell r="AF556">
            <v>57963.822619231716</v>
          </cell>
          <cell r="AG556">
            <v>57963.822619231716</v>
          </cell>
          <cell r="AH556">
            <v>57963.822619231716</v>
          </cell>
          <cell r="AI556">
            <v>57963.822619231716</v>
          </cell>
          <cell r="AJ556">
            <v>57963.822619231716</v>
          </cell>
          <cell r="AK556">
            <v>57963.822619231716</v>
          </cell>
          <cell r="AL556">
            <v>57963.822619231716</v>
          </cell>
          <cell r="AM556">
            <v>57963.822619231716</v>
          </cell>
          <cell r="AN556">
            <v>57963.822619231716</v>
          </cell>
          <cell r="AO556">
            <v>57963.822619231716</v>
          </cell>
          <cell r="AP556">
            <v>57963.822619231716</v>
          </cell>
          <cell r="AQ556">
            <v>57963.822619231716</v>
          </cell>
          <cell r="AR556">
            <v>57963.822619231716</v>
          </cell>
          <cell r="AS556">
            <v>57963.822619231716</v>
          </cell>
          <cell r="AT556">
            <v>57963.822619231716</v>
          </cell>
          <cell r="AU556">
            <v>57963.822619231716</v>
          </cell>
          <cell r="AV556">
            <v>57963.822619231716</v>
          </cell>
          <cell r="AW556">
            <v>57963.822619231716</v>
          </cell>
          <cell r="AX556">
            <v>57963.822619231716</v>
          </cell>
          <cell r="AY556">
            <v>57963.822619231716</v>
          </cell>
          <cell r="AZ556">
            <v>57963.822619231716</v>
          </cell>
          <cell r="BA556">
            <v>57963.822619231716</v>
          </cell>
          <cell r="BB556">
            <v>57963.822619231716</v>
          </cell>
          <cell r="BC556">
            <v>57963.822619231716</v>
          </cell>
          <cell r="BD556">
            <v>57963.822619231716</v>
          </cell>
          <cell r="BE556">
            <v>57963.822619231716</v>
          </cell>
          <cell r="BF556">
            <v>57963.822619231716</v>
          </cell>
          <cell r="BG556">
            <v>57963.822619231716</v>
          </cell>
          <cell r="BH556">
            <v>57963.822619231716</v>
          </cell>
          <cell r="BI556">
            <v>57963.822619231716</v>
          </cell>
          <cell r="BJ556">
            <v>57963.822619231716</v>
          </cell>
          <cell r="BK556">
            <v>57963.822619231716</v>
          </cell>
          <cell r="BL556">
            <v>57963.822619231716</v>
          </cell>
          <cell r="BM556">
            <v>57963.822619231716</v>
          </cell>
          <cell r="BN556">
            <v>57963.822619231716</v>
          </cell>
          <cell r="BO556">
            <v>57963.822619231716</v>
          </cell>
          <cell r="BP556">
            <v>57963.822619231716</v>
          </cell>
          <cell r="BQ556">
            <v>57963.822619231716</v>
          </cell>
        </row>
        <row r="557">
          <cell r="AE557">
            <v>91537.108006573035</v>
          </cell>
          <cell r="AF557">
            <v>91537.108006573035</v>
          </cell>
          <cell r="AG557">
            <v>91537.108006573035</v>
          </cell>
          <cell r="AH557">
            <v>91537.108006573035</v>
          </cell>
          <cell r="AI557">
            <v>91537.108006573035</v>
          </cell>
          <cell r="AJ557">
            <v>91537.108006573035</v>
          </cell>
          <cell r="AK557">
            <v>91537.108006573035</v>
          </cell>
          <cell r="AL557">
            <v>91537.108006573035</v>
          </cell>
          <cell r="AM557">
            <v>91537.108006573035</v>
          </cell>
          <cell r="AN557">
            <v>91537.108006573035</v>
          </cell>
          <cell r="AO557">
            <v>91537.108006573035</v>
          </cell>
          <cell r="AP557">
            <v>91537.108006573035</v>
          </cell>
          <cell r="AQ557">
            <v>91537.108006573035</v>
          </cell>
          <cell r="AR557">
            <v>91537.108006573035</v>
          </cell>
          <cell r="AS557">
            <v>91537.108006573035</v>
          </cell>
          <cell r="AT557">
            <v>91537.108006573035</v>
          </cell>
          <cell r="AU557">
            <v>91537.108006573035</v>
          </cell>
          <cell r="AV557">
            <v>91537.108006573035</v>
          </cell>
          <cell r="AW557">
            <v>91537.108006573035</v>
          </cell>
          <cell r="AX557">
            <v>91537.108006573035</v>
          </cell>
          <cell r="AY557">
            <v>91537.108006573035</v>
          </cell>
          <cell r="AZ557">
            <v>91537.108006573035</v>
          </cell>
          <cell r="BA557">
            <v>91537.108006573035</v>
          </cell>
          <cell r="BB557">
            <v>91537.108006573035</v>
          </cell>
          <cell r="BC557">
            <v>91537.108006573035</v>
          </cell>
          <cell r="BD557">
            <v>91537.108006573035</v>
          </cell>
          <cell r="BE557">
            <v>91537.108006573035</v>
          </cell>
          <cell r="BF557">
            <v>91537.108006573035</v>
          </cell>
          <cell r="BG557">
            <v>91537.108006573035</v>
          </cell>
          <cell r="BH557">
            <v>91537.108006573035</v>
          </cell>
          <cell r="BI557">
            <v>91537.108006573035</v>
          </cell>
          <cell r="BJ557">
            <v>91537.108006573035</v>
          </cell>
          <cell r="BK557">
            <v>91537.108006573035</v>
          </cell>
          <cell r="BL557">
            <v>91537.108006573035</v>
          </cell>
          <cell r="BM557">
            <v>91537.108006573035</v>
          </cell>
          <cell r="BN557">
            <v>91537.108006573035</v>
          </cell>
          <cell r="BO557">
            <v>91537.108006573035</v>
          </cell>
          <cell r="BP557">
            <v>91537.108006573035</v>
          </cell>
          <cell r="BQ557">
            <v>91537.108006573035</v>
          </cell>
        </row>
        <row r="558">
          <cell r="AE558">
            <v>45569.714076613083</v>
          </cell>
          <cell r="AF558">
            <v>45666.022187618808</v>
          </cell>
          <cell r="AG558">
            <v>45762.330298624533</v>
          </cell>
          <cell r="AH558">
            <v>45858.638409630257</v>
          </cell>
          <cell r="AI558">
            <v>45954.946520635982</v>
          </cell>
          <cell r="AJ558">
            <v>46051.254631641707</v>
          </cell>
          <cell r="AK558">
            <v>46147.562742647431</v>
          </cell>
          <cell r="AL558">
            <v>46243.870853653156</v>
          </cell>
          <cell r="AM558">
            <v>46340.17896465888</v>
          </cell>
          <cell r="AN558">
            <v>46436.487075664612</v>
          </cell>
          <cell r="AO558">
            <v>46532.795186670337</v>
          </cell>
          <cell r="AP558">
            <v>46629.103297676062</v>
          </cell>
          <cell r="AQ558">
            <v>46725.411408681786</v>
          </cell>
          <cell r="AR558">
            <v>46821.719519687511</v>
          </cell>
          <cell r="AS558">
            <v>46918.027630693236</v>
          </cell>
          <cell r="AT558">
            <v>47014.33574169896</v>
          </cell>
          <cell r="AU558">
            <v>47110.643852704685</v>
          </cell>
          <cell r="AV558">
            <v>47206.951963710409</v>
          </cell>
          <cell r="AW558">
            <v>47303.260074716134</v>
          </cell>
          <cell r="AX558">
            <v>47399.568185721859</v>
          </cell>
          <cell r="AY558">
            <v>47495.876296727583</v>
          </cell>
          <cell r="AZ558">
            <v>47592.184407733308</v>
          </cell>
          <cell r="BA558">
            <v>47688.492518739033</v>
          </cell>
          <cell r="BB558">
            <v>47784.800629744757</v>
          </cell>
          <cell r="BC558">
            <v>47881.108740750482</v>
          </cell>
          <cell r="BD558">
            <v>47977.416851756207</v>
          </cell>
          <cell r="BE558">
            <v>48073.724962761939</v>
          </cell>
          <cell r="BF558">
            <v>48170.033073767663</v>
          </cell>
          <cell r="BG558">
            <v>48266.341184773388</v>
          </cell>
          <cell r="BH558">
            <v>48362.649295779112</v>
          </cell>
          <cell r="BI558">
            <v>48458.957406784837</v>
          </cell>
          <cell r="BJ558">
            <v>48555.265517790562</v>
          </cell>
          <cell r="BK558">
            <v>48651.573628796286</v>
          </cell>
          <cell r="BL558">
            <v>48747.881739802011</v>
          </cell>
          <cell r="BM558">
            <v>48844.189850807736</v>
          </cell>
          <cell r="BN558">
            <v>48940.49796181346</v>
          </cell>
          <cell r="BO558">
            <v>49036.806072819185</v>
          </cell>
          <cell r="BP558">
            <v>49133.11418382491</v>
          </cell>
          <cell r="BQ558">
            <v>49229.422294830634</v>
          </cell>
        </row>
        <row r="559">
          <cell r="AE559">
            <v>0</v>
          </cell>
          <cell r="AF559">
            <v>0</v>
          </cell>
          <cell r="AG559">
            <v>0</v>
          </cell>
          <cell r="AH559">
            <v>0</v>
          </cell>
          <cell r="AI559">
            <v>0</v>
          </cell>
          <cell r="AJ559">
            <v>0</v>
          </cell>
          <cell r="AK559">
            <v>0</v>
          </cell>
          <cell r="AL559">
            <v>0</v>
          </cell>
          <cell r="AM559">
            <v>0</v>
          </cell>
          <cell r="AN559">
            <v>0</v>
          </cell>
          <cell r="AO559">
            <v>0</v>
          </cell>
          <cell r="AP559">
            <v>0</v>
          </cell>
          <cell r="AQ559">
            <v>0</v>
          </cell>
          <cell r="AR559">
            <v>0</v>
          </cell>
          <cell r="AS559">
            <v>0</v>
          </cell>
          <cell r="AT559">
            <v>0</v>
          </cell>
          <cell r="AU559">
            <v>0</v>
          </cell>
          <cell r="AV559">
            <v>0</v>
          </cell>
          <cell r="AW559">
            <v>0</v>
          </cell>
          <cell r="AX559">
            <v>0</v>
          </cell>
          <cell r="AY559">
            <v>0</v>
          </cell>
          <cell r="AZ559">
            <v>0</v>
          </cell>
          <cell r="BA559">
            <v>0</v>
          </cell>
          <cell r="BB559">
            <v>0</v>
          </cell>
          <cell r="BC559">
            <v>0</v>
          </cell>
          <cell r="BD559">
            <v>0</v>
          </cell>
          <cell r="BE559">
            <v>0</v>
          </cell>
          <cell r="BF559">
            <v>0</v>
          </cell>
          <cell r="BG559">
            <v>0</v>
          </cell>
          <cell r="BH559">
            <v>0</v>
          </cell>
          <cell r="BI559">
            <v>0</v>
          </cell>
          <cell r="BJ559">
            <v>0</v>
          </cell>
          <cell r="BK559">
            <v>0</v>
          </cell>
          <cell r="BL559">
            <v>0</v>
          </cell>
          <cell r="BM559">
            <v>0</v>
          </cell>
          <cell r="BN559">
            <v>0</v>
          </cell>
          <cell r="BO559">
            <v>0</v>
          </cell>
          <cell r="BP559">
            <v>0</v>
          </cell>
          <cell r="BQ559">
            <v>0</v>
          </cell>
        </row>
        <row r="560">
          <cell r="AE560">
            <v>0</v>
          </cell>
          <cell r="AF560">
            <v>0</v>
          </cell>
          <cell r="AG560">
            <v>0</v>
          </cell>
          <cell r="AH560">
            <v>0</v>
          </cell>
          <cell r="AI560">
            <v>0</v>
          </cell>
          <cell r="AJ560">
            <v>0</v>
          </cell>
          <cell r="AK560">
            <v>0</v>
          </cell>
          <cell r="AL560">
            <v>0</v>
          </cell>
          <cell r="AM560">
            <v>0</v>
          </cell>
          <cell r="AN560">
            <v>0</v>
          </cell>
          <cell r="AO560">
            <v>0</v>
          </cell>
          <cell r="AP560">
            <v>0</v>
          </cell>
          <cell r="AQ560">
            <v>0</v>
          </cell>
          <cell r="AR560">
            <v>0</v>
          </cell>
          <cell r="AS560">
            <v>0</v>
          </cell>
          <cell r="AT560">
            <v>0</v>
          </cell>
          <cell r="AU560">
            <v>0</v>
          </cell>
          <cell r="AV560">
            <v>0</v>
          </cell>
          <cell r="AW560">
            <v>0</v>
          </cell>
          <cell r="AX560">
            <v>0</v>
          </cell>
          <cell r="AY560">
            <v>0</v>
          </cell>
          <cell r="AZ560">
            <v>0</v>
          </cell>
          <cell r="BA560">
            <v>0</v>
          </cell>
          <cell r="BB560">
            <v>0</v>
          </cell>
          <cell r="BC560">
            <v>0</v>
          </cell>
          <cell r="BD560">
            <v>0</v>
          </cell>
          <cell r="BE560">
            <v>0</v>
          </cell>
          <cell r="BF560">
            <v>0</v>
          </cell>
          <cell r="BG560">
            <v>0</v>
          </cell>
          <cell r="BH560">
            <v>0</v>
          </cell>
          <cell r="BI560">
            <v>0</v>
          </cell>
          <cell r="BJ560">
            <v>0</v>
          </cell>
          <cell r="BK560">
            <v>0</v>
          </cell>
          <cell r="BL560">
            <v>0</v>
          </cell>
          <cell r="BM560">
            <v>0</v>
          </cell>
          <cell r="BN560">
            <v>0</v>
          </cell>
          <cell r="BO560">
            <v>0</v>
          </cell>
          <cell r="BP560">
            <v>0</v>
          </cell>
          <cell r="BQ560">
            <v>0</v>
          </cell>
        </row>
      </sheetData>
      <sheetData sheetId="14"/>
      <sheetData sheetId="15">
        <row r="4">
          <cell r="H4">
            <v>0.55347199999999996</v>
          </cell>
        </row>
        <row r="5">
          <cell r="H5">
            <v>1.0504499999999999</v>
          </cell>
        </row>
        <row r="6">
          <cell r="H6">
            <v>0.52451999999999999</v>
          </cell>
        </row>
        <row r="7">
          <cell r="H7">
            <v>5.1056799268327744</v>
          </cell>
        </row>
        <row r="13">
          <cell r="H13">
            <v>0.27</v>
          </cell>
        </row>
        <row r="14">
          <cell r="H14">
            <v>0.35</v>
          </cell>
        </row>
        <row r="17">
          <cell r="H17">
            <v>6.3906039999999997</v>
          </cell>
        </row>
        <row r="22">
          <cell r="H22">
            <v>0</v>
          </cell>
        </row>
        <row r="91">
          <cell r="H91">
            <v>0.85</v>
          </cell>
        </row>
        <row r="92">
          <cell r="H92">
            <v>1.0640000000000001</v>
          </cell>
        </row>
        <row r="96">
          <cell r="H96">
            <v>1.86</v>
          </cell>
        </row>
        <row r="97">
          <cell r="H97">
            <v>0.12</v>
          </cell>
        </row>
        <row r="98">
          <cell r="H98">
            <v>8.0828531999999995E-2</v>
          </cell>
        </row>
        <row r="99">
          <cell r="H99">
            <v>0.15409999999999999</v>
          </cell>
        </row>
        <row r="100">
          <cell r="H100">
            <v>17.29</v>
          </cell>
        </row>
      </sheetData>
      <sheetData sheetId="16"/>
      <sheetData sheetId="17"/>
      <sheetData sheetId="18"/>
      <sheetData sheetId="19"/>
      <sheetData sheetId="20"/>
      <sheetData sheetId="21"/>
      <sheetData sheetId="22"/>
      <sheetData sheetId="23">
        <row r="11">
          <cell r="G11">
            <v>0</v>
          </cell>
          <cell r="H11">
            <v>0</v>
          </cell>
          <cell r="I11">
            <v>0</v>
          </cell>
          <cell r="J11">
            <v>0</v>
          </cell>
          <cell r="K11">
            <v>0</v>
          </cell>
          <cell r="L11">
            <v>0</v>
          </cell>
          <cell r="M11">
            <v>0</v>
          </cell>
          <cell r="N11">
            <v>0</v>
          </cell>
          <cell r="O11">
            <v>0</v>
          </cell>
          <cell r="P11">
            <v>0</v>
          </cell>
          <cell r="Q11">
            <v>0</v>
          </cell>
          <cell r="R11">
            <v>0</v>
          </cell>
          <cell r="S11">
            <v>0</v>
          </cell>
          <cell r="T11">
            <v>0</v>
          </cell>
          <cell r="U11">
            <v>0</v>
          </cell>
          <cell r="V11">
            <v>0</v>
          </cell>
          <cell r="W11">
            <v>0</v>
          </cell>
          <cell r="X11">
            <v>0</v>
          </cell>
          <cell r="Y11">
            <v>0</v>
          </cell>
          <cell r="Z11">
            <v>0</v>
          </cell>
          <cell r="AA11">
            <v>0</v>
          </cell>
          <cell r="AB11">
            <v>0</v>
          </cell>
          <cell r="AC11">
            <v>0</v>
          </cell>
          <cell r="AD11">
            <v>0</v>
          </cell>
          <cell r="AE11">
            <v>0</v>
          </cell>
          <cell r="AF11">
            <v>0</v>
          </cell>
          <cell r="AG11">
            <v>0</v>
          </cell>
          <cell r="AH11">
            <v>0</v>
          </cell>
          <cell r="AI11">
            <v>0</v>
          </cell>
          <cell r="AJ11">
            <v>0</v>
          </cell>
          <cell r="AK11">
            <v>0</v>
          </cell>
          <cell r="AL11">
            <v>0</v>
          </cell>
          <cell r="AM11">
            <v>0</v>
          </cell>
          <cell r="AN11">
            <v>0</v>
          </cell>
          <cell r="AO11">
            <v>0</v>
          </cell>
          <cell r="AP11">
            <v>0</v>
          </cell>
          <cell r="AQ11">
            <v>0</v>
          </cell>
          <cell r="AR11">
            <v>0</v>
          </cell>
          <cell r="AS11">
            <v>0</v>
          </cell>
        </row>
        <row r="16">
          <cell r="G16">
            <v>-2033.0187784308416</v>
          </cell>
          <cell r="H16">
            <v>-2033.0187784308416</v>
          </cell>
          <cell r="I16">
            <v>-2033.0187784308416</v>
          </cell>
          <cell r="J16">
            <v>-2033.0187784308416</v>
          </cell>
          <cell r="K16">
            <v>-2033.0187784308416</v>
          </cell>
          <cell r="L16">
            <v>-2033.0187784308416</v>
          </cell>
          <cell r="M16">
            <v>-2033.0187784308416</v>
          </cell>
          <cell r="N16">
            <v>-2033.0187784308416</v>
          </cell>
          <cell r="O16">
            <v>-2033.0187784308416</v>
          </cell>
          <cell r="P16">
            <v>-2033.0187784308416</v>
          </cell>
          <cell r="Q16">
            <v>-2033.0187784308416</v>
          </cell>
          <cell r="R16">
            <v>-2033.0187784308416</v>
          </cell>
          <cell r="S16">
            <v>-2033.0187784308416</v>
          </cell>
          <cell r="T16">
            <v>-2033.0187784308416</v>
          </cell>
          <cell r="U16">
            <v>-2033.0187784308416</v>
          </cell>
          <cell r="V16">
            <v>-2033.0187784308416</v>
          </cell>
          <cell r="W16">
            <v>-2033.0187784308416</v>
          </cell>
          <cell r="X16">
            <v>-2033.0187784308416</v>
          </cell>
          <cell r="Y16">
            <v>-2033.0187784308416</v>
          </cell>
          <cell r="Z16">
            <v>-2033.0187784308416</v>
          </cell>
          <cell r="AA16">
            <v>-2033.0187784308416</v>
          </cell>
          <cell r="AB16">
            <v>-2033.0187784308416</v>
          </cell>
          <cell r="AC16">
            <v>-2033.0187784308416</v>
          </cell>
          <cell r="AD16">
            <v>-2033.0187784308416</v>
          </cell>
          <cell r="AE16">
            <v>-2033.0187784308416</v>
          </cell>
          <cell r="AF16">
            <v>-2033.0187784308416</v>
          </cell>
          <cell r="AG16">
            <v>-2033.0187784308416</v>
          </cell>
          <cell r="AH16">
            <v>-2033.0187784308416</v>
          </cell>
          <cell r="AI16">
            <v>-2033.0187784308416</v>
          </cell>
          <cell r="AJ16">
            <v>-2035.9216395513552</v>
          </cell>
          <cell r="AK16">
            <v>-2038.8245006718687</v>
          </cell>
          <cell r="AL16">
            <v>-2041.727361792382</v>
          </cell>
          <cell r="AM16">
            <v>-2044.6302229128955</v>
          </cell>
          <cell r="AN16">
            <v>-2047.5330840334091</v>
          </cell>
          <cell r="AO16">
            <v>-2050.4359451539226</v>
          </cell>
          <cell r="AP16">
            <v>-2053.3388062744357</v>
          </cell>
          <cell r="AQ16">
            <v>-2056.2416673949492</v>
          </cell>
          <cell r="AR16">
            <v>-2059.1445285154628</v>
          </cell>
          <cell r="AS16">
            <v>-2062.0473896359763</v>
          </cell>
        </row>
        <row r="24">
          <cell r="G24">
            <v>12.039584863281849</v>
          </cell>
          <cell r="H24">
            <v>12.025408588332189</v>
          </cell>
          <cell r="I24">
            <v>12.011232313382529</v>
          </cell>
          <cell r="J24">
            <v>11.997056038432865</v>
          </cell>
          <cell r="K24">
            <v>11.982879763483202</v>
          </cell>
          <cell r="L24">
            <v>11.96870348853354</v>
          </cell>
          <cell r="M24">
            <v>11.95452721358388</v>
          </cell>
          <cell r="N24">
            <v>11.94035093863422</v>
          </cell>
          <cell r="O24">
            <v>11.926174663684558</v>
          </cell>
          <cell r="P24">
            <v>11.911998388734897</v>
          </cell>
          <cell r="Q24">
            <v>11.897822113785235</v>
          </cell>
          <cell r="R24">
            <v>11.883645838835573</v>
          </cell>
          <cell r="S24">
            <v>11.869469563885913</v>
          </cell>
          <cell r="T24">
            <v>11.855293288936252</v>
          </cell>
          <cell r="U24">
            <v>11.841117013986592</v>
          </cell>
          <cell r="V24">
            <v>11.826940739036928</v>
          </cell>
          <cell r="W24">
            <v>11.812764464087271</v>
          </cell>
          <cell r="X24">
            <v>11.798588189137607</v>
          </cell>
          <cell r="Y24">
            <v>11.784411914187945</v>
          </cell>
          <cell r="Z24">
            <v>11.770235639238283</v>
          </cell>
          <cell r="AA24">
            <v>11.756059364288626</v>
          </cell>
          <cell r="AB24">
            <v>11.741883089338963</v>
          </cell>
          <cell r="AC24">
            <v>11.7277068143893</v>
          </cell>
          <cell r="AD24">
            <v>11.713530539439638</v>
          </cell>
          <cell r="AE24">
            <v>11.699354264489978</v>
          </cell>
          <cell r="AF24">
            <v>11.685177989540316</v>
          </cell>
          <cell r="AG24">
            <v>11.671001714590655</v>
          </cell>
          <cell r="AH24">
            <v>11.656825439640995</v>
          </cell>
          <cell r="AI24">
            <v>11.642649164691337</v>
          </cell>
          <cell r="AJ24">
            <v>11.628472889741671</v>
          </cell>
          <cell r="AK24">
            <v>11.614296614792011</v>
          </cell>
          <cell r="AL24">
            <v>11.60012033984235</v>
          </cell>
          <cell r="AM24">
            <v>11.585944064892692</v>
          </cell>
          <cell r="AN24">
            <v>11.571767789943026</v>
          </cell>
          <cell r="AO24">
            <v>11.557591514993369</v>
          </cell>
          <cell r="AP24">
            <v>11.543415240043705</v>
          </cell>
          <cell r="AQ24">
            <v>11.529238965094041</v>
          </cell>
          <cell r="AR24">
            <v>11.515062690144381</v>
          </cell>
          <cell r="AS24">
            <v>11.500886415194721</v>
          </cell>
        </row>
        <row r="29">
          <cell r="G29">
            <v>1715.7336191464217</v>
          </cell>
          <cell r="H29">
            <v>1719.709290401963</v>
          </cell>
          <cell r="I29">
            <v>1723.6849616575048</v>
          </cell>
          <cell r="J29">
            <v>1727.6606329130461</v>
          </cell>
          <cell r="K29">
            <v>1731.6363041685877</v>
          </cell>
          <cell r="L29">
            <v>1735.6119754241288</v>
          </cell>
          <cell r="M29">
            <v>1739.5876466796708</v>
          </cell>
          <cell r="N29">
            <v>1743.5633179352121</v>
          </cell>
          <cell r="O29">
            <v>1747.5389891907532</v>
          </cell>
          <cell r="P29">
            <v>1751.5146604462952</v>
          </cell>
          <cell r="Q29">
            <v>1755.4903317018363</v>
          </cell>
          <cell r="R29">
            <v>1759.4660029573779</v>
          </cell>
          <cell r="S29">
            <v>1763.4416742129195</v>
          </cell>
          <cell r="T29">
            <v>1767.4173454684612</v>
          </cell>
          <cell r="U29">
            <v>1771.3930167240023</v>
          </cell>
          <cell r="V29">
            <v>1775.3686879795443</v>
          </cell>
          <cell r="W29">
            <v>1779.3443592350852</v>
          </cell>
          <cell r="X29">
            <v>1783.3200304906268</v>
          </cell>
          <cell r="Y29">
            <v>1787.2957017461686</v>
          </cell>
          <cell r="Z29">
            <v>1791.2713730017101</v>
          </cell>
          <cell r="AA29">
            <v>1795.2470442572514</v>
          </cell>
          <cell r="AB29">
            <v>1799.222715512793</v>
          </cell>
          <cell r="AC29">
            <v>1803.1983867683346</v>
          </cell>
          <cell r="AD29">
            <v>1807.1740580238759</v>
          </cell>
          <cell r="AE29">
            <v>1811.1497292794177</v>
          </cell>
          <cell r="AF29">
            <v>1815.125400534959</v>
          </cell>
          <cell r="AG29">
            <v>1819.1010717905003</v>
          </cell>
          <cell r="AH29">
            <v>1823.0767430460423</v>
          </cell>
          <cell r="AI29">
            <v>1827.0524143015834</v>
          </cell>
          <cell r="AJ29">
            <v>1831.028085557125</v>
          </cell>
          <cell r="AK29">
            <v>1835.0037568126666</v>
          </cell>
          <cell r="AL29">
            <v>1838.9794280682081</v>
          </cell>
          <cell r="AM29">
            <v>1842.9550993237494</v>
          </cell>
          <cell r="AN29">
            <v>1846.9307705792914</v>
          </cell>
          <cell r="AO29">
            <v>1850.9064418348325</v>
          </cell>
          <cell r="AP29">
            <v>1854.8821130903739</v>
          </cell>
          <cell r="AQ29">
            <v>1858.8577843459154</v>
          </cell>
          <cell r="AR29">
            <v>1862.8334556014568</v>
          </cell>
          <cell r="AS29">
            <v>1866.8091268569985</v>
          </cell>
        </row>
        <row r="37">
          <cell r="G37">
            <v>2015.9027318282567</v>
          </cell>
          <cell r="H37">
            <v>2015.9027318282567</v>
          </cell>
          <cell r="I37">
            <v>2015.9027318282567</v>
          </cell>
          <cell r="J37">
            <v>2015.9027318282567</v>
          </cell>
          <cell r="K37">
            <v>2015.9027318282567</v>
          </cell>
          <cell r="L37">
            <v>2015.9027318282567</v>
          </cell>
          <cell r="M37">
            <v>2015.9027318282567</v>
          </cell>
          <cell r="N37">
            <v>2015.9027318282567</v>
          </cell>
          <cell r="O37">
            <v>2015.9027318282567</v>
          </cell>
          <cell r="P37">
            <v>2015.9027318282567</v>
          </cell>
          <cell r="Q37">
            <v>2015.9027318282567</v>
          </cell>
          <cell r="R37">
            <v>2015.9027318282567</v>
          </cell>
          <cell r="S37">
            <v>2015.9027318282567</v>
          </cell>
          <cell r="T37">
            <v>2015.9027318282567</v>
          </cell>
          <cell r="U37">
            <v>2015.9027318282567</v>
          </cell>
          <cell r="V37">
            <v>2015.9027318282567</v>
          </cell>
          <cell r="W37">
            <v>2015.9027318282567</v>
          </cell>
          <cell r="X37">
            <v>2015.9027318282567</v>
          </cell>
          <cell r="Y37">
            <v>2015.9027318282567</v>
          </cell>
          <cell r="Z37">
            <v>2015.9027318282567</v>
          </cell>
          <cell r="AA37">
            <v>2015.9027318282567</v>
          </cell>
          <cell r="AB37">
            <v>2015.9027318282567</v>
          </cell>
          <cell r="AC37">
            <v>2015.9027318282567</v>
          </cell>
          <cell r="AD37">
            <v>2015.9027318282567</v>
          </cell>
          <cell r="AE37">
            <v>2015.9027318282567</v>
          </cell>
          <cell r="AF37">
            <v>2015.9027318282567</v>
          </cell>
          <cell r="AG37">
            <v>2015.9027318282567</v>
          </cell>
          <cell r="AH37">
            <v>2015.9027318282567</v>
          </cell>
          <cell r="AI37">
            <v>2015.9027318282567</v>
          </cell>
          <cell r="AJ37">
            <v>2015.9027318282567</v>
          </cell>
          <cell r="AK37">
            <v>2015.9027318282567</v>
          </cell>
          <cell r="AL37">
            <v>2015.9027318282567</v>
          </cell>
          <cell r="AM37">
            <v>2015.9027318282567</v>
          </cell>
          <cell r="AN37">
            <v>2015.9027318282567</v>
          </cell>
          <cell r="AO37">
            <v>2015.9027318282567</v>
          </cell>
          <cell r="AP37">
            <v>2015.9027318282567</v>
          </cell>
          <cell r="AQ37">
            <v>2015.9027318282567</v>
          </cell>
          <cell r="AR37">
            <v>2015.9027318282567</v>
          </cell>
          <cell r="AS37">
            <v>2015.9027318282567</v>
          </cell>
        </row>
        <row r="42">
          <cell r="G42">
            <v>-16356.408910494018</v>
          </cell>
          <cell r="H42">
            <v>-16356.408910494018</v>
          </cell>
          <cell r="I42">
            <v>-16356.408910494018</v>
          </cell>
          <cell r="J42">
            <v>-16356.408910494018</v>
          </cell>
          <cell r="K42">
            <v>-16356.408910494018</v>
          </cell>
          <cell r="L42">
            <v>-16356.408910494018</v>
          </cell>
          <cell r="M42">
            <v>-16356.408910494018</v>
          </cell>
          <cell r="N42">
            <v>-16356.408910494018</v>
          </cell>
          <cell r="O42">
            <v>-16356.408910494018</v>
          </cell>
          <cell r="P42">
            <v>-16356.408910494018</v>
          </cell>
          <cell r="Q42">
            <v>-16356.408910494018</v>
          </cell>
          <cell r="R42">
            <v>-16356.408910494018</v>
          </cell>
          <cell r="S42">
            <v>-16356.408910494018</v>
          </cell>
          <cell r="T42">
            <v>-16356.408910494018</v>
          </cell>
          <cell r="U42">
            <v>-16356.408910494018</v>
          </cell>
          <cell r="V42">
            <v>-16356.408910494018</v>
          </cell>
          <cell r="W42">
            <v>-16356.408910494018</v>
          </cell>
          <cell r="X42">
            <v>-16356.408910494018</v>
          </cell>
          <cell r="Y42">
            <v>-16356.408910494018</v>
          </cell>
          <cell r="Z42">
            <v>-16356.408910494018</v>
          </cell>
          <cell r="AA42">
            <v>-16356.408910494018</v>
          </cell>
          <cell r="AB42">
            <v>-16356.408910494018</v>
          </cell>
          <cell r="AC42">
            <v>-16356.408910494018</v>
          </cell>
          <cell r="AD42">
            <v>-16356.408910494018</v>
          </cell>
          <cell r="AE42">
            <v>-16356.408910494018</v>
          </cell>
          <cell r="AF42">
            <v>-16356.408910494018</v>
          </cell>
          <cell r="AG42">
            <v>-16356.408910494018</v>
          </cell>
          <cell r="AH42">
            <v>-16356.408910494018</v>
          </cell>
          <cell r="AI42">
            <v>-16356.408910494018</v>
          </cell>
          <cell r="AJ42">
            <v>-16356.40018606854</v>
          </cell>
          <cell r="AK42">
            <v>-16356.391461643068</v>
          </cell>
          <cell r="AL42">
            <v>-16356.382737217593</v>
          </cell>
          <cell r="AM42">
            <v>-16356.374012792119</v>
          </cell>
          <cell r="AN42">
            <v>-16356.365288366647</v>
          </cell>
          <cell r="AO42">
            <v>-16356.35656394117</v>
          </cell>
          <cell r="AP42">
            <v>-16356.347839515698</v>
          </cell>
          <cell r="AQ42">
            <v>-16356.339115090224</v>
          </cell>
          <cell r="AR42">
            <v>-16356.330390664745</v>
          </cell>
          <cell r="AS42">
            <v>-16356.321666239275</v>
          </cell>
        </row>
        <row r="53">
          <cell r="G53">
            <v>0.19614065557239718</v>
          </cell>
          <cell r="H53">
            <v>0.19614065557239718</v>
          </cell>
          <cell r="I53">
            <v>0.19614065557239718</v>
          </cell>
          <cell r="J53">
            <v>0.19614065557239718</v>
          </cell>
          <cell r="K53">
            <v>0.19614065557239718</v>
          </cell>
          <cell r="L53">
            <v>0.19614065557239718</v>
          </cell>
          <cell r="M53">
            <v>0.19614065557239718</v>
          </cell>
          <cell r="N53">
            <v>0.19614065557239718</v>
          </cell>
          <cell r="O53">
            <v>0.19614065557239718</v>
          </cell>
          <cell r="P53">
            <v>0.19614065557239718</v>
          </cell>
          <cell r="Q53">
            <v>0.19614065557239718</v>
          </cell>
          <cell r="R53">
            <v>0.19614065557239718</v>
          </cell>
          <cell r="S53">
            <v>0.19614065557239718</v>
          </cell>
          <cell r="T53">
            <v>0.19614065557239718</v>
          </cell>
          <cell r="U53">
            <v>0.19614065557239718</v>
          </cell>
          <cell r="V53">
            <v>0.19614065557239718</v>
          </cell>
          <cell r="W53">
            <v>0.19614065557239718</v>
          </cell>
          <cell r="X53">
            <v>0.19614065557239718</v>
          </cell>
          <cell r="Y53">
            <v>0.19614065557239718</v>
          </cell>
          <cell r="Z53">
            <v>0.19614065557239718</v>
          </cell>
          <cell r="AA53">
            <v>0.19614065557239718</v>
          </cell>
          <cell r="AB53">
            <v>0.19614065557239718</v>
          </cell>
          <cell r="AC53">
            <v>0.19614065557239718</v>
          </cell>
          <cell r="AD53">
            <v>0.19614065557239718</v>
          </cell>
          <cell r="AE53">
            <v>0.19614065557239718</v>
          </cell>
          <cell r="AF53">
            <v>0.19614065557239718</v>
          </cell>
          <cell r="AG53">
            <v>0.19614065557239718</v>
          </cell>
          <cell r="AH53">
            <v>0.19614065557239718</v>
          </cell>
          <cell r="AI53">
            <v>0.19614065557239718</v>
          </cell>
          <cell r="AJ53">
            <v>0.19614065557239718</v>
          </cell>
          <cell r="AK53">
            <v>0.19614065557239718</v>
          </cell>
          <cell r="AL53">
            <v>0.19614065557239718</v>
          </cell>
          <cell r="AM53">
            <v>0.19614065557239718</v>
          </cell>
          <cell r="AN53">
            <v>0.19614065557239718</v>
          </cell>
          <cell r="AO53">
            <v>0.19614065557239718</v>
          </cell>
          <cell r="AP53">
            <v>0.19614065557239718</v>
          </cell>
          <cell r="AQ53">
            <v>0.19614065557239718</v>
          </cell>
          <cell r="AR53">
            <v>0.19614065557239718</v>
          </cell>
          <cell r="AS53">
            <v>0.19614065557239718</v>
          </cell>
        </row>
        <row r="58">
          <cell r="G58">
            <v>213.88002646830932</v>
          </cell>
          <cell r="H58">
            <v>213.88002646830932</v>
          </cell>
          <cell r="I58">
            <v>213.88002646830932</v>
          </cell>
          <cell r="J58">
            <v>213.88002646830932</v>
          </cell>
          <cell r="K58">
            <v>213.88002646830932</v>
          </cell>
          <cell r="L58">
            <v>213.88002646830932</v>
          </cell>
          <cell r="M58">
            <v>213.88002646830932</v>
          </cell>
          <cell r="N58">
            <v>213.88002646830932</v>
          </cell>
          <cell r="O58">
            <v>213.88002646830932</v>
          </cell>
          <cell r="P58">
            <v>213.88002646830932</v>
          </cell>
          <cell r="Q58">
            <v>213.88002646830932</v>
          </cell>
          <cell r="R58">
            <v>213.88002646830932</v>
          </cell>
          <cell r="S58">
            <v>213.88002646830932</v>
          </cell>
          <cell r="T58">
            <v>213.88002646830932</v>
          </cell>
          <cell r="U58">
            <v>213.88002646830932</v>
          </cell>
          <cell r="V58">
            <v>213.88002646830932</v>
          </cell>
          <cell r="W58">
            <v>213.88002646830932</v>
          </cell>
          <cell r="X58">
            <v>213.88002646830932</v>
          </cell>
          <cell r="Y58">
            <v>213.88002646830932</v>
          </cell>
          <cell r="Z58">
            <v>213.88002646830932</v>
          </cell>
          <cell r="AA58">
            <v>213.88002646830932</v>
          </cell>
          <cell r="AB58">
            <v>213.88002646830932</v>
          </cell>
          <cell r="AC58">
            <v>213.88002646830932</v>
          </cell>
          <cell r="AD58">
            <v>213.88002646830932</v>
          </cell>
          <cell r="AE58">
            <v>213.88002646830932</v>
          </cell>
          <cell r="AF58">
            <v>213.88002646830932</v>
          </cell>
          <cell r="AG58">
            <v>213.88002646830932</v>
          </cell>
          <cell r="AH58">
            <v>213.88002646830932</v>
          </cell>
          <cell r="AI58">
            <v>213.88002646830932</v>
          </cell>
          <cell r="AJ58">
            <v>213.88002646830932</v>
          </cell>
          <cell r="AK58">
            <v>213.88002646830932</v>
          </cell>
          <cell r="AL58">
            <v>213.88002646830932</v>
          </cell>
          <cell r="AM58">
            <v>213.88002646830932</v>
          </cell>
          <cell r="AN58">
            <v>213.88002646830932</v>
          </cell>
          <cell r="AO58">
            <v>213.88002646830932</v>
          </cell>
          <cell r="AP58">
            <v>213.88002646830932</v>
          </cell>
          <cell r="AQ58">
            <v>213.88002646830932</v>
          </cell>
          <cell r="AR58">
            <v>213.88002646830932</v>
          </cell>
          <cell r="AS58">
            <v>213.88002646830932</v>
          </cell>
        </row>
        <row r="66">
          <cell r="G66">
            <v>0</v>
          </cell>
          <cell r="H66">
            <v>0</v>
          </cell>
          <cell r="I66">
            <v>0</v>
          </cell>
          <cell r="J66">
            <v>0</v>
          </cell>
          <cell r="K66">
            <v>0</v>
          </cell>
          <cell r="L66">
            <v>0</v>
          </cell>
          <cell r="M66">
            <v>0</v>
          </cell>
          <cell r="N66">
            <v>0</v>
          </cell>
          <cell r="O66">
            <v>0</v>
          </cell>
          <cell r="P66">
            <v>0</v>
          </cell>
          <cell r="Q66">
            <v>0</v>
          </cell>
          <cell r="R66">
            <v>0</v>
          </cell>
          <cell r="S66">
            <v>0</v>
          </cell>
          <cell r="T66">
            <v>0</v>
          </cell>
          <cell r="U66">
            <v>0</v>
          </cell>
          <cell r="V66">
            <v>0</v>
          </cell>
          <cell r="W66">
            <v>0</v>
          </cell>
          <cell r="X66">
            <v>0</v>
          </cell>
          <cell r="Y66">
            <v>0</v>
          </cell>
          <cell r="Z66">
            <v>0</v>
          </cell>
          <cell r="AA66">
            <v>0</v>
          </cell>
          <cell r="AB66">
            <v>0</v>
          </cell>
          <cell r="AC66">
            <v>0</v>
          </cell>
          <cell r="AD66">
            <v>0</v>
          </cell>
          <cell r="AE66">
            <v>0</v>
          </cell>
          <cell r="AF66">
            <v>0</v>
          </cell>
          <cell r="AG66">
            <v>0</v>
          </cell>
          <cell r="AH66">
            <v>0</v>
          </cell>
          <cell r="AI66">
            <v>0</v>
          </cell>
          <cell r="AJ66">
            <v>0</v>
          </cell>
          <cell r="AK66">
            <v>0</v>
          </cell>
          <cell r="AL66">
            <v>0</v>
          </cell>
          <cell r="AM66">
            <v>0</v>
          </cell>
          <cell r="AN66">
            <v>0</v>
          </cell>
          <cell r="AO66">
            <v>0</v>
          </cell>
          <cell r="AP66">
            <v>0</v>
          </cell>
          <cell r="AQ66">
            <v>0</v>
          </cell>
          <cell r="AR66">
            <v>0</v>
          </cell>
          <cell r="AS66">
            <v>0</v>
          </cell>
        </row>
        <row r="71">
          <cell r="G71">
            <v>11186.601025250398</v>
          </cell>
          <cell r="H71">
            <v>11186.601025250397</v>
          </cell>
          <cell r="I71">
            <v>11186.601025250397</v>
          </cell>
          <cell r="J71">
            <v>11186.601025250397</v>
          </cell>
          <cell r="K71">
            <v>11186.601025250397</v>
          </cell>
          <cell r="L71">
            <v>11186.601025250397</v>
          </cell>
          <cell r="M71">
            <v>11186.601025250397</v>
          </cell>
          <cell r="N71">
            <v>11186.601025250397</v>
          </cell>
          <cell r="O71">
            <v>11186.601025250397</v>
          </cell>
          <cell r="P71">
            <v>11186.601025250397</v>
          </cell>
          <cell r="Q71">
            <v>11186.601025250397</v>
          </cell>
          <cell r="R71">
            <v>11186.601025250397</v>
          </cell>
          <cell r="S71">
            <v>11186.601025250397</v>
          </cell>
          <cell r="T71">
            <v>11186.601025250397</v>
          </cell>
          <cell r="U71">
            <v>11186.601025250397</v>
          </cell>
          <cell r="V71">
            <v>11186.601025250397</v>
          </cell>
          <cell r="W71">
            <v>11186.601025250397</v>
          </cell>
          <cell r="X71">
            <v>11186.601025250397</v>
          </cell>
          <cell r="Y71">
            <v>11186.601025250397</v>
          </cell>
          <cell r="Z71">
            <v>11186.601025250397</v>
          </cell>
          <cell r="AA71">
            <v>11186.601025250397</v>
          </cell>
          <cell r="AB71">
            <v>11186.601025250397</v>
          </cell>
          <cell r="AC71">
            <v>11186.601025250397</v>
          </cell>
          <cell r="AD71">
            <v>11186.601025250397</v>
          </cell>
          <cell r="AE71">
            <v>11186.601025250397</v>
          </cell>
          <cell r="AF71">
            <v>11186.601025250397</v>
          </cell>
          <cell r="AG71">
            <v>11186.601025250397</v>
          </cell>
          <cell r="AH71">
            <v>11186.601025250397</v>
          </cell>
          <cell r="AI71">
            <v>11186.601025250397</v>
          </cell>
          <cell r="AJ71">
            <v>11186.601025250397</v>
          </cell>
          <cell r="AK71">
            <v>11186.601025250397</v>
          </cell>
          <cell r="AL71">
            <v>11186.601025250397</v>
          </cell>
          <cell r="AM71">
            <v>11186.601025250397</v>
          </cell>
          <cell r="AN71">
            <v>11186.601025250397</v>
          </cell>
          <cell r="AO71">
            <v>11186.601025250397</v>
          </cell>
          <cell r="AP71">
            <v>11186.601025250397</v>
          </cell>
          <cell r="AQ71">
            <v>11186.601025250397</v>
          </cell>
          <cell r="AR71">
            <v>11186.601025250397</v>
          </cell>
          <cell r="AS71">
            <v>11186.601025250397</v>
          </cell>
        </row>
      </sheetData>
      <sheetData sheetId="24"/>
      <sheetData sheetId="25"/>
      <sheetData sheetId="26"/>
      <sheetData sheetId="27"/>
      <sheetData sheetId="28"/>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otes"/>
      <sheetName val="IPCC Categories"/>
      <sheetName val="Drivers"/>
      <sheetName val="Annual land change driver"/>
      <sheetName val="Land areas"/>
      <sheetName val="Summary land areas"/>
      <sheetName val="Constants"/>
      <sheetName val="Mitigation scenarios"/>
      <sheetName val="Activity data"/>
      <sheetName val="Carbon stock data"/>
      <sheetName val="Relationships"/>
      <sheetName val="Aggregated stock data"/>
      <sheetName val="Baseline Emissions &amp; Removals"/>
      <sheetName val="Baseline emission summary"/>
      <sheetName val="Case 1 Emissions &amp; Removals"/>
      <sheetName val="Case 2 Emissions &amp; Removals"/>
      <sheetName val="Case 3 Emissions &amp; Removals"/>
      <sheetName val="Case 1 summary"/>
      <sheetName val="Inventory comparison"/>
      <sheetName val="1990-2014 corrected"/>
      <sheetName val="1990-2014"/>
      <sheetName val="1990-2018"/>
      <sheetName val="2014-2018"/>
      <sheetName val="Inventor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ow r="11">
          <cell r="AD11">
            <v>0</v>
          </cell>
        </row>
        <row r="63">
          <cell r="G63">
            <v>0</v>
          </cell>
          <cell r="H63">
            <v>0</v>
          </cell>
          <cell r="I63">
            <v>0</v>
          </cell>
          <cell r="J63">
            <v>0</v>
          </cell>
          <cell r="K63">
            <v>0</v>
          </cell>
          <cell r="L63">
            <v>0</v>
          </cell>
          <cell r="M63">
            <v>0</v>
          </cell>
          <cell r="N63">
            <v>0</v>
          </cell>
          <cell r="O63">
            <v>0</v>
          </cell>
          <cell r="P63">
            <v>0</v>
          </cell>
          <cell r="Q63">
            <v>0</v>
          </cell>
          <cell r="R63">
            <v>0</v>
          </cell>
          <cell r="S63">
            <v>0</v>
          </cell>
          <cell r="T63">
            <v>0</v>
          </cell>
          <cell r="U63">
            <v>0</v>
          </cell>
          <cell r="V63">
            <v>0</v>
          </cell>
          <cell r="W63">
            <v>0</v>
          </cell>
          <cell r="X63">
            <v>0</v>
          </cell>
          <cell r="Y63">
            <v>0</v>
          </cell>
          <cell r="Z63">
            <v>0</v>
          </cell>
          <cell r="AA63">
            <v>0</v>
          </cell>
          <cell r="AB63">
            <v>0</v>
          </cell>
        </row>
      </sheetData>
      <sheetData sheetId="14"/>
      <sheetData sheetId="15"/>
      <sheetData sheetId="16"/>
      <sheetData sheetId="17"/>
      <sheetData sheetId="18"/>
      <sheetData sheetId="19"/>
      <sheetData sheetId="20"/>
      <sheetData sheetId="21"/>
      <sheetData sheetId="22"/>
      <sheetData sheetId="23"/>
    </sheetDataSet>
  </externalBook>
</externalLink>
</file>

<file path=xl/persons/person.xml><?xml version="1.0" encoding="utf-8"?>
<personList xmlns="http://schemas.microsoft.com/office/spreadsheetml/2018/threadedcomments" xmlns:x="http://schemas.openxmlformats.org/spreadsheetml/2006/main">
  <person displayName="bruno merven" id="{8EF51A79-3B58-4A10-AB03-6BA3328B87EC}" userId="144eb91ed0ec6402" providerId="Windows Live"/>
</personList>
</file>

<file path=xl/theme/theme1.xml><?xml version="1.0" encoding="utf-8"?>
<a:theme xmlns:a="http://schemas.openxmlformats.org/drawingml/2006/main" name="Office Theme">
  <a:themeElements>
    <a:clrScheme name="Aether">
      <a:dk1>
        <a:sysClr val="windowText" lastClr="000000"/>
      </a:dk1>
      <a:lt1>
        <a:sysClr val="window" lastClr="FFFFFF"/>
      </a:lt1>
      <a:dk2>
        <a:srgbClr val="44546A"/>
      </a:dk2>
      <a:lt2>
        <a:srgbClr val="0096C8"/>
      </a:lt2>
      <a:accent1>
        <a:srgbClr val="0096C8"/>
      </a:accent1>
      <a:accent2>
        <a:srgbClr val="ED7D31"/>
      </a:accent2>
      <a:accent3>
        <a:srgbClr val="A5A5A5"/>
      </a:accent3>
      <a:accent4>
        <a:srgbClr val="1F3864"/>
      </a:accent4>
      <a:accent5>
        <a:srgbClr val="954F72"/>
      </a:accent5>
      <a:accent6>
        <a:srgbClr val="C55A11"/>
      </a:accent6>
      <a:hlink>
        <a:srgbClr val="0070C0"/>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Z6" dT="2020-07-23T08:09:40.78" personId="{8EF51A79-3B58-4A10-AB03-6BA3328B87EC}" id="{6704E445-3F8B-48DB-A842-B7D498DA546D}">
    <text>perhaps remove this?</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2060"/>
  </sheetPr>
  <dimension ref="A1:D39"/>
  <sheetViews>
    <sheetView workbookViewId="0">
      <selection activeCell="A14" sqref="A14:XFD14"/>
    </sheetView>
  </sheetViews>
  <sheetFormatPr defaultRowHeight="15" x14ac:dyDescent="0.25"/>
  <cols>
    <col min="1" max="1" width="24.28515625" customWidth="1"/>
    <col min="2" max="2" width="18" customWidth="1"/>
    <col min="3" max="3" width="20.42578125" customWidth="1"/>
    <col min="4" max="4" width="37.28515625" customWidth="1"/>
  </cols>
  <sheetData>
    <row r="1" spans="1:4" ht="18.75" x14ac:dyDescent="0.3">
      <c r="A1" s="1" t="s">
        <v>800</v>
      </c>
    </row>
    <row r="3" spans="1:4" ht="15.75" x14ac:dyDescent="0.25">
      <c r="A3" s="20" t="s">
        <v>693</v>
      </c>
      <c r="B3" s="20"/>
      <c r="C3" s="20"/>
      <c r="D3" s="20"/>
    </row>
    <row r="4" spans="1:4" x14ac:dyDescent="0.25">
      <c r="A4" s="42" t="s">
        <v>691</v>
      </c>
      <c r="B4" s="42" t="s">
        <v>694</v>
      </c>
      <c r="C4" s="42" t="s">
        <v>695</v>
      </c>
      <c r="D4" s="42" t="s">
        <v>283</v>
      </c>
    </row>
    <row r="5" spans="1:4" x14ac:dyDescent="0.25">
      <c r="A5" t="s">
        <v>692</v>
      </c>
      <c r="B5" t="s">
        <v>696</v>
      </c>
      <c r="C5" t="s">
        <v>698</v>
      </c>
      <c r="D5" s="14"/>
    </row>
    <row r="6" spans="1:4" ht="30" x14ac:dyDescent="0.25">
      <c r="A6" t="s">
        <v>709</v>
      </c>
      <c r="B6" t="s">
        <v>696</v>
      </c>
      <c r="C6" t="s">
        <v>735</v>
      </c>
      <c r="D6" s="14" t="s">
        <v>710</v>
      </c>
    </row>
    <row r="7" spans="1:4" ht="75" x14ac:dyDescent="0.25">
      <c r="A7" t="s">
        <v>797</v>
      </c>
      <c r="B7" t="s">
        <v>696</v>
      </c>
      <c r="C7" t="s">
        <v>798</v>
      </c>
      <c r="D7" s="14" t="s">
        <v>799</v>
      </c>
    </row>
    <row r="8" spans="1:4" x14ac:dyDescent="0.25">
      <c r="A8" t="s">
        <v>802</v>
      </c>
      <c r="B8" t="s">
        <v>696</v>
      </c>
      <c r="C8" t="s">
        <v>803</v>
      </c>
      <c r="D8" s="14" t="s">
        <v>804</v>
      </c>
    </row>
    <row r="9" spans="1:4" ht="30" x14ac:dyDescent="0.25">
      <c r="A9" t="s">
        <v>819</v>
      </c>
      <c r="B9" t="s">
        <v>696</v>
      </c>
      <c r="C9" t="s">
        <v>820</v>
      </c>
      <c r="D9" s="14" t="s">
        <v>821</v>
      </c>
    </row>
    <row r="10" spans="1:4" ht="60" x14ac:dyDescent="0.25">
      <c r="A10" t="s">
        <v>822</v>
      </c>
      <c r="B10" t="s">
        <v>696</v>
      </c>
      <c r="C10" t="s">
        <v>823</v>
      </c>
      <c r="D10" s="14" t="s">
        <v>825</v>
      </c>
    </row>
    <row r="11" spans="1:4" ht="30" x14ac:dyDescent="0.25">
      <c r="A11" t="s">
        <v>824</v>
      </c>
      <c r="B11" t="s">
        <v>696</v>
      </c>
      <c r="C11" t="s">
        <v>823</v>
      </c>
      <c r="D11" s="14" t="s">
        <v>832</v>
      </c>
    </row>
    <row r="12" spans="1:4" ht="30" x14ac:dyDescent="0.25">
      <c r="A12" t="s">
        <v>879</v>
      </c>
      <c r="B12" t="s">
        <v>696</v>
      </c>
      <c r="C12" t="s">
        <v>880</v>
      </c>
      <c r="D12" s="14" t="s">
        <v>881</v>
      </c>
    </row>
    <row r="17" spans="1:4" ht="15.75" x14ac:dyDescent="0.25">
      <c r="A17" s="20" t="s">
        <v>697</v>
      </c>
      <c r="B17" s="20"/>
      <c r="C17" s="20"/>
      <c r="D17" s="20"/>
    </row>
    <row r="18" spans="1:4" x14ac:dyDescent="0.25">
      <c r="A18" s="42" t="s">
        <v>691</v>
      </c>
      <c r="B18" s="103" t="s">
        <v>700</v>
      </c>
      <c r="C18" s="103"/>
      <c r="D18" s="42" t="s">
        <v>283</v>
      </c>
    </row>
    <row r="19" spans="1:4" ht="51" customHeight="1" x14ac:dyDescent="0.25">
      <c r="A19" s="58" t="s">
        <v>7</v>
      </c>
      <c r="B19" s="99" t="s">
        <v>701</v>
      </c>
      <c r="C19" s="99"/>
      <c r="D19" s="29"/>
    </row>
    <row r="20" spans="1:4" ht="75" x14ac:dyDescent="0.25">
      <c r="A20" s="59" t="s">
        <v>316</v>
      </c>
      <c r="B20" s="99" t="s">
        <v>827</v>
      </c>
      <c r="C20" s="99"/>
      <c r="D20" s="60" t="s">
        <v>828</v>
      </c>
    </row>
    <row r="21" spans="1:4" ht="45" customHeight="1" x14ac:dyDescent="0.25">
      <c r="A21" s="63" t="s">
        <v>826</v>
      </c>
      <c r="B21" s="99" t="s">
        <v>781</v>
      </c>
      <c r="C21" s="99"/>
      <c r="D21" s="60"/>
    </row>
    <row r="22" spans="1:4" ht="99" customHeight="1" x14ac:dyDescent="0.25">
      <c r="A22" s="90" t="s">
        <v>829</v>
      </c>
      <c r="B22" s="104" t="s">
        <v>830</v>
      </c>
      <c r="C22" s="105"/>
      <c r="D22" s="60"/>
    </row>
    <row r="23" spans="1:4" x14ac:dyDescent="0.25">
      <c r="A23" s="61" t="s">
        <v>8</v>
      </c>
      <c r="B23" s="99" t="s">
        <v>728</v>
      </c>
      <c r="C23" s="99"/>
      <c r="D23" s="29"/>
    </row>
    <row r="24" spans="1:4" ht="60" customHeight="1" x14ac:dyDescent="0.25">
      <c r="A24" s="92" t="s">
        <v>876</v>
      </c>
      <c r="B24" s="104" t="s">
        <v>878</v>
      </c>
      <c r="C24" s="105"/>
      <c r="D24" s="91"/>
    </row>
    <row r="25" spans="1:4" ht="75" x14ac:dyDescent="0.25">
      <c r="A25" s="62" t="s">
        <v>783</v>
      </c>
      <c r="B25" s="99" t="s">
        <v>782</v>
      </c>
      <c r="C25" s="99"/>
      <c r="D25" s="84" t="s">
        <v>729</v>
      </c>
    </row>
    <row r="26" spans="1:4" ht="90" x14ac:dyDescent="0.25">
      <c r="A26" s="64" t="s">
        <v>142</v>
      </c>
      <c r="B26" s="99" t="s">
        <v>831</v>
      </c>
      <c r="C26" s="99"/>
      <c r="D26" s="60" t="s">
        <v>801</v>
      </c>
    </row>
    <row r="27" spans="1:4" ht="63" customHeight="1" x14ac:dyDescent="0.25">
      <c r="A27" s="64" t="s">
        <v>279</v>
      </c>
      <c r="B27" s="99" t="s">
        <v>730</v>
      </c>
      <c r="C27" s="99"/>
      <c r="D27" s="60" t="s">
        <v>731</v>
      </c>
    </row>
    <row r="28" spans="1:4" ht="46.5" customHeight="1" x14ac:dyDescent="0.25">
      <c r="A28" s="64" t="s">
        <v>699</v>
      </c>
      <c r="B28" s="99" t="s">
        <v>732</v>
      </c>
      <c r="C28" s="99"/>
      <c r="D28" s="29"/>
    </row>
    <row r="29" spans="1:4" x14ac:dyDescent="0.25">
      <c r="A29" s="64" t="s">
        <v>784</v>
      </c>
      <c r="B29" s="99" t="s">
        <v>733</v>
      </c>
      <c r="C29" s="99"/>
      <c r="D29" s="29"/>
    </row>
    <row r="30" spans="1:4" x14ac:dyDescent="0.25">
      <c r="A30" s="65" t="s">
        <v>785</v>
      </c>
      <c r="B30" s="99" t="s">
        <v>734</v>
      </c>
      <c r="C30" s="99"/>
      <c r="D30" s="29"/>
    </row>
    <row r="33" spans="1:3" ht="15.75" x14ac:dyDescent="0.25">
      <c r="A33" s="20" t="s">
        <v>702</v>
      </c>
      <c r="B33" s="101" t="s">
        <v>283</v>
      </c>
      <c r="C33" s="101"/>
    </row>
    <row r="34" spans="1:3" ht="50.25" customHeight="1" x14ac:dyDescent="0.25">
      <c r="A34" s="66" t="s">
        <v>324</v>
      </c>
      <c r="B34" s="102" t="s">
        <v>707</v>
      </c>
      <c r="C34" s="102"/>
    </row>
    <row r="35" spans="1:3" x14ac:dyDescent="0.25">
      <c r="A35" s="67" t="s">
        <v>703</v>
      </c>
      <c r="B35" s="100"/>
      <c r="C35" s="100"/>
    </row>
    <row r="36" spans="1:3" x14ac:dyDescent="0.25">
      <c r="A36" s="68" t="s">
        <v>704</v>
      </c>
      <c r="B36" s="100" t="s">
        <v>706</v>
      </c>
      <c r="C36" s="100"/>
    </row>
    <row r="37" spans="1:3" x14ac:dyDescent="0.25">
      <c r="A37" s="69" t="s">
        <v>708</v>
      </c>
      <c r="B37" s="97"/>
      <c r="C37" s="98"/>
    </row>
    <row r="38" spans="1:3" x14ac:dyDescent="0.25">
      <c r="A38" s="70" t="s">
        <v>714</v>
      </c>
      <c r="B38" s="97"/>
      <c r="C38" s="98"/>
    </row>
    <row r="39" spans="1:3" x14ac:dyDescent="0.25">
      <c r="A39" s="71" t="s">
        <v>715</v>
      </c>
      <c r="B39" s="97"/>
      <c r="C39" s="98"/>
    </row>
  </sheetData>
  <mergeCells count="20">
    <mergeCell ref="B25:C25"/>
    <mergeCell ref="B21:C21"/>
    <mergeCell ref="B26:C26"/>
    <mergeCell ref="B27:C27"/>
    <mergeCell ref="B18:C18"/>
    <mergeCell ref="B19:C19"/>
    <mergeCell ref="B20:C20"/>
    <mergeCell ref="B23:C23"/>
    <mergeCell ref="B22:C22"/>
    <mergeCell ref="B24:C24"/>
    <mergeCell ref="B37:C37"/>
    <mergeCell ref="B38:C38"/>
    <mergeCell ref="B39:C39"/>
    <mergeCell ref="B28:C28"/>
    <mergeCell ref="B29:C29"/>
    <mergeCell ref="B30:C30"/>
    <mergeCell ref="B36:C36"/>
    <mergeCell ref="B33:C33"/>
    <mergeCell ref="B34:C34"/>
    <mergeCell ref="B35:C35"/>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2" tint="0.59999389629810485"/>
  </sheetPr>
  <dimension ref="A1:BO65"/>
  <sheetViews>
    <sheetView workbookViewId="0">
      <pane xSplit="1" ySplit="3" topLeftCell="AT8" activePane="bottomRight" state="frozen"/>
      <selection pane="topRight" activeCell="B1" sqref="B1"/>
      <selection pane="bottomLeft" activeCell="A4" sqref="A4"/>
      <selection pane="bottomRight" activeCell="AG21" sqref="AG21"/>
    </sheetView>
  </sheetViews>
  <sheetFormatPr defaultRowHeight="15" x14ac:dyDescent="0.25"/>
  <cols>
    <col min="1" max="1" width="29.5703125" customWidth="1"/>
    <col min="2" max="2" width="12.85546875" customWidth="1"/>
    <col min="3" max="29" width="12.7109375" customWidth="1"/>
    <col min="30" max="30" width="13.85546875" customWidth="1"/>
    <col min="31" max="33" width="12.7109375" customWidth="1"/>
    <col min="34" max="35" width="11.42578125" customWidth="1"/>
    <col min="36" max="36" width="11.28515625" customWidth="1"/>
    <col min="37" max="63" width="11.42578125" bestFit="1" customWidth="1"/>
  </cols>
  <sheetData>
    <row r="1" spans="1:67" ht="18.75" x14ac:dyDescent="0.3">
      <c r="A1" s="1" t="s">
        <v>326</v>
      </c>
      <c r="AF1" s="11"/>
    </row>
    <row r="2" spans="1:67" x14ac:dyDescent="0.25">
      <c r="K2">
        <v>1</v>
      </c>
      <c r="L2">
        <v>2</v>
      </c>
      <c r="M2">
        <v>3</v>
      </c>
      <c r="N2">
        <v>4</v>
      </c>
      <c r="O2">
        <v>5</v>
      </c>
      <c r="P2">
        <v>6</v>
      </c>
      <c r="Q2">
        <v>7</v>
      </c>
      <c r="R2">
        <v>8</v>
      </c>
      <c r="S2">
        <v>9</v>
      </c>
      <c r="T2">
        <v>10</v>
      </c>
      <c r="U2">
        <v>11</v>
      </c>
      <c r="V2">
        <v>12</v>
      </c>
      <c r="W2">
        <v>13</v>
      </c>
      <c r="X2">
        <v>14</v>
      </c>
      <c r="Y2">
        <v>15</v>
      </c>
      <c r="Z2">
        <v>16</v>
      </c>
      <c r="AA2">
        <v>17</v>
      </c>
      <c r="AB2">
        <v>18</v>
      </c>
      <c r="AC2">
        <v>19</v>
      </c>
      <c r="AD2">
        <v>20</v>
      </c>
      <c r="AE2">
        <v>21</v>
      </c>
      <c r="AF2">
        <v>22</v>
      </c>
      <c r="AG2">
        <v>23</v>
      </c>
      <c r="AH2">
        <v>24</v>
      </c>
      <c r="AI2">
        <v>25</v>
      </c>
      <c r="AJ2">
        <v>26</v>
      </c>
      <c r="AK2">
        <v>27</v>
      </c>
      <c r="AL2">
        <v>28</v>
      </c>
      <c r="AM2">
        <v>29</v>
      </c>
      <c r="AN2">
        <v>30</v>
      </c>
      <c r="AO2">
        <v>31</v>
      </c>
      <c r="AP2">
        <v>32</v>
      </c>
      <c r="AQ2">
        <v>33</v>
      </c>
      <c r="AR2">
        <v>34</v>
      </c>
      <c r="AS2">
        <v>35</v>
      </c>
      <c r="AT2">
        <v>36</v>
      </c>
      <c r="AU2">
        <v>37</v>
      </c>
      <c r="AV2">
        <v>38</v>
      </c>
      <c r="AW2">
        <v>39</v>
      </c>
      <c r="AX2">
        <v>40</v>
      </c>
      <c r="AY2">
        <v>41</v>
      </c>
      <c r="AZ2">
        <v>42</v>
      </c>
      <c r="BA2">
        <v>43</v>
      </c>
      <c r="BB2">
        <v>44</v>
      </c>
      <c r="BC2">
        <v>45</v>
      </c>
      <c r="BD2">
        <v>46</v>
      </c>
      <c r="BE2">
        <v>47</v>
      </c>
      <c r="BF2">
        <v>48</v>
      </c>
      <c r="BG2">
        <v>49</v>
      </c>
      <c r="BH2">
        <v>50</v>
      </c>
      <c r="BI2">
        <v>51</v>
      </c>
      <c r="BJ2">
        <v>52</v>
      </c>
      <c r="BK2">
        <v>53</v>
      </c>
    </row>
    <row r="3" spans="1:67" s="19" customFormat="1" ht="29.25" customHeight="1" x14ac:dyDescent="0.25">
      <c r="A3" s="17" t="s">
        <v>325</v>
      </c>
      <c r="B3" s="17" t="s">
        <v>0</v>
      </c>
      <c r="C3" s="17">
        <v>1990</v>
      </c>
      <c r="D3" s="17">
        <v>1991</v>
      </c>
      <c r="E3" s="17">
        <v>1992</v>
      </c>
      <c r="F3" s="17">
        <v>1993</v>
      </c>
      <c r="G3" s="17">
        <v>1994</v>
      </c>
      <c r="H3" s="17">
        <v>1995</v>
      </c>
      <c r="I3" s="17">
        <v>1996</v>
      </c>
      <c r="J3" s="17">
        <v>1997</v>
      </c>
      <c r="K3" s="17">
        <v>1998</v>
      </c>
      <c r="L3" s="17">
        <v>1999</v>
      </c>
      <c r="M3" s="17">
        <v>2000</v>
      </c>
      <c r="N3" s="17">
        <v>2001</v>
      </c>
      <c r="O3" s="17">
        <v>2002</v>
      </c>
      <c r="P3" s="17">
        <v>2003</v>
      </c>
      <c r="Q3" s="17">
        <v>2004</v>
      </c>
      <c r="R3" s="17">
        <v>2005</v>
      </c>
      <c r="S3" s="17">
        <v>2006</v>
      </c>
      <c r="T3" s="17">
        <v>2007</v>
      </c>
      <c r="U3" s="17">
        <v>2008</v>
      </c>
      <c r="V3" s="17">
        <v>2009</v>
      </c>
      <c r="W3" s="17">
        <v>2010</v>
      </c>
      <c r="X3" s="17">
        <v>2011</v>
      </c>
      <c r="Y3" s="17">
        <v>2012</v>
      </c>
      <c r="Z3" s="17">
        <v>2013</v>
      </c>
      <c r="AA3" s="17">
        <v>2014</v>
      </c>
      <c r="AB3" s="17">
        <v>2015</v>
      </c>
      <c r="AC3" s="17">
        <v>2016</v>
      </c>
      <c r="AD3" s="17">
        <v>2017</v>
      </c>
      <c r="AE3" s="17">
        <v>2018</v>
      </c>
      <c r="AF3" s="17">
        <v>2019</v>
      </c>
      <c r="AG3" s="17">
        <v>2020</v>
      </c>
      <c r="AH3" s="17">
        <v>2021</v>
      </c>
      <c r="AI3" s="17">
        <v>2022</v>
      </c>
      <c r="AJ3" s="17">
        <v>2023</v>
      </c>
      <c r="AK3" s="17">
        <v>2024</v>
      </c>
      <c r="AL3" s="17">
        <v>2025</v>
      </c>
      <c r="AM3" s="17">
        <v>2026</v>
      </c>
      <c r="AN3" s="17">
        <v>2027</v>
      </c>
      <c r="AO3" s="17">
        <v>2028</v>
      </c>
      <c r="AP3" s="17">
        <v>2029</v>
      </c>
      <c r="AQ3" s="17">
        <v>2030</v>
      </c>
      <c r="AR3" s="17">
        <v>2031</v>
      </c>
      <c r="AS3" s="17">
        <v>2032</v>
      </c>
      <c r="AT3" s="17">
        <v>2033</v>
      </c>
      <c r="AU3" s="17">
        <v>2034</v>
      </c>
      <c r="AV3" s="17">
        <v>2035</v>
      </c>
      <c r="AW3" s="17">
        <v>2036</v>
      </c>
      <c r="AX3" s="17">
        <v>2037</v>
      </c>
      <c r="AY3" s="17">
        <v>2038</v>
      </c>
      <c r="AZ3" s="17">
        <v>2039</v>
      </c>
      <c r="BA3" s="17">
        <v>2040</v>
      </c>
      <c r="BB3" s="17">
        <v>2041</v>
      </c>
      <c r="BC3" s="17">
        <v>2042</v>
      </c>
      <c r="BD3" s="17">
        <v>2043</v>
      </c>
      <c r="BE3" s="17">
        <v>2044</v>
      </c>
      <c r="BF3" s="17">
        <v>2045</v>
      </c>
      <c r="BG3" s="17">
        <v>2046</v>
      </c>
      <c r="BH3" s="17">
        <v>2047</v>
      </c>
      <c r="BI3" s="17">
        <v>2048</v>
      </c>
      <c r="BJ3" s="17">
        <v>2049</v>
      </c>
      <c r="BK3" s="17">
        <v>2050</v>
      </c>
      <c r="BN3" s="18" t="s">
        <v>308</v>
      </c>
      <c r="BO3" s="17" t="s">
        <v>282</v>
      </c>
    </row>
    <row r="4" spans="1:67" x14ac:dyDescent="0.25">
      <c r="A4" t="s">
        <v>807</v>
      </c>
      <c r="B4" t="s">
        <v>808</v>
      </c>
      <c r="C4" s="22">
        <f>(Drivers!D5*1000000)/Drivers!D4</f>
        <v>38.96668606596554</v>
      </c>
      <c r="D4" s="22">
        <f>(Drivers!E5*1000000)/Drivers!E4</f>
        <v>39.15839909936151</v>
      </c>
      <c r="E4" s="22">
        <f>(Drivers!F5*1000000)/Drivers!F4</f>
        <v>39.338545462945582</v>
      </c>
      <c r="F4" s="22">
        <f>(Drivers!G5*1000000)/Drivers!G4</f>
        <v>39.536098196595873</v>
      </c>
      <c r="G4" s="22">
        <f>(Drivers!H5*1000000)/Drivers!H4</f>
        <v>39.788245719105959</v>
      </c>
      <c r="H4" s="22">
        <f>(Drivers!I5*1000000)/Drivers!I4</f>
        <v>40.119742210628822</v>
      </c>
      <c r="I4" s="22">
        <f>(Drivers!J5*1000000)/Drivers!J4</f>
        <v>41.007834549485686</v>
      </c>
      <c r="J4" s="22">
        <f>(Drivers!K5*1000000)/Drivers!K4</f>
        <v>41.343449254622662</v>
      </c>
      <c r="K4" s="22">
        <f>(Drivers!L5*1000000)/Drivers!L4</f>
        <v>40.970651743422628</v>
      </c>
      <c r="L4" s="22">
        <f>(Drivers!M5*1000000)/Drivers!M4</f>
        <v>41.454052960083345</v>
      </c>
      <c r="M4" s="22">
        <f>(Drivers!N5*1000000)/Drivers!N4</f>
        <v>42.67250737621562</v>
      </c>
      <c r="N4" s="22">
        <f>(Drivers!O5*1000000)/Drivers!O4</f>
        <v>43.328446600150649</v>
      </c>
      <c r="O4" s="22">
        <f>(Drivers!P5*1000000)/Drivers!P4</f>
        <v>44.410238344525148</v>
      </c>
      <c r="P4" s="22">
        <f>(Drivers!Q5*1000000)/Drivers!Q4</f>
        <v>45.178012991044703</v>
      </c>
      <c r="Q4" s="22">
        <f>(Drivers!R5*1000000)/Drivers!R4</f>
        <v>46.638548392745832</v>
      </c>
      <c r="R4" s="22">
        <f>(Drivers!S5*1000000)/Drivers!S4</f>
        <v>48.511998091639704</v>
      </c>
      <c r="S4" s="22">
        <f>(Drivers!T5*1000000)/Drivers!T4</f>
        <v>50.550052099115234</v>
      </c>
      <c r="T4" s="22">
        <f>(Drivers!U5*1000000)/Drivers!U4</f>
        <v>52.688735600202499</v>
      </c>
      <c r="U4" s="22">
        <f>(Drivers!V5*1000000)/Drivers!V4</f>
        <v>53.946299970070584</v>
      </c>
      <c r="V4" s="22">
        <f>(Drivers!W5*1000000)/Drivers!W4</f>
        <v>52.486723389004794</v>
      </c>
      <c r="W4" s="22">
        <f>(Drivers!X5*1000000)/Drivers!X4</f>
        <v>53.321508829093538</v>
      </c>
      <c r="X4" s="22">
        <f>(Drivers!Y5*1000000)/Drivers!Y4</f>
        <v>54.316382696129395</v>
      </c>
      <c r="Y4" s="22">
        <f>(Drivers!Z5*1000000)/Drivers!Z4</f>
        <v>55.299399175950342</v>
      </c>
      <c r="Z4" s="22">
        <f>(Drivers!AA5*1000000)/Drivers!AA4</f>
        <v>55.926160382808312</v>
      </c>
      <c r="AA4" s="22">
        <f>(Drivers!AB5*1000000)/Drivers!AB4</f>
        <v>56.204513680048407</v>
      </c>
      <c r="AB4" s="22">
        <f>(Drivers!AC5*1000000)/Drivers!AC4</f>
        <v>56.216855593021982</v>
      </c>
      <c r="AC4" s="22">
        <f>(Drivers!AD5*1000000)/Drivers!AD4</f>
        <v>55.955409974487146</v>
      </c>
      <c r="AD4" s="22">
        <f>(Drivers!AE5*1000000)/Drivers!AE4</f>
        <v>55.984220692619765</v>
      </c>
      <c r="AE4" s="22">
        <f>(Drivers!AF5*1000000)/Drivers!AF4</f>
        <v>55.9390519394831</v>
      </c>
      <c r="AF4" s="22">
        <f>(Drivers!AG5*1000000)/Drivers!AG4</f>
        <v>55.861326548788547</v>
      </c>
      <c r="AG4" s="22">
        <f>(Drivers!AH5*1000000)/Drivers!AH4</f>
        <v>50.967178304763486</v>
      </c>
      <c r="AH4" s="22">
        <f>(Drivers!AI5*1000000)/Drivers!AI4</f>
        <v>51.757275084857611</v>
      </c>
      <c r="AI4" s="22">
        <f>(Drivers!AJ5*1000000)/Drivers!AJ4</f>
        <v>52.473701847411313</v>
      </c>
      <c r="AJ4" s="22">
        <f>(Drivers!AK5*1000000)/Drivers!AK4</f>
        <v>53.200866587163922</v>
      </c>
      <c r="AK4" s="22">
        <f>(Drivers!AL5*1000000)/Drivers!AL4</f>
        <v>53.998847966861796</v>
      </c>
      <c r="AL4" s="22">
        <f>(Drivers!AM5*1000000)/Drivers!AM4</f>
        <v>54.909264320586843</v>
      </c>
      <c r="AM4" s="22">
        <f>(Drivers!AN5*1000000)/Drivers!AN4</f>
        <v>55.93356968407091</v>
      </c>
      <c r="AN4" s="22">
        <f>(Drivers!AO5*1000000)/Drivers!AO4</f>
        <v>57.030124339665655</v>
      </c>
      <c r="AO4" s="22">
        <f>(Drivers!AP5*1000000)/Drivers!AP4</f>
        <v>58.207687864934229</v>
      </c>
      <c r="AP4" s="22">
        <f>(Drivers!AQ5*1000000)/Drivers!AQ4</f>
        <v>59.554417379673005</v>
      </c>
      <c r="AQ4" s="22">
        <f>(Drivers!AR5*1000000)/Drivers!AR4</f>
        <v>60.871777721410133</v>
      </c>
      <c r="AR4" s="22">
        <f>(Drivers!AS5*1000000)/Drivers!AS4</f>
        <v>62.519215222286263</v>
      </c>
      <c r="AS4" s="22">
        <f>(Drivers!AT5*1000000)/Drivers!AT4</f>
        <v>64.217223711682806</v>
      </c>
      <c r="AT4" s="22">
        <f>(Drivers!AU5*1000000)/Drivers!AU4</f>
        <v>65.956454406800674</v>
      </c>
      <c r="AU4" s="22">
        <f>(Drivers!AV5*1000000)/Drivers!AV4</f>
        <v>67.727070327588279</v>
      </c>
      <c r="AV4" s="22">
        <f>(Drivers!AW5*1000000)/Drivers!AW4</f>
        <v>69.330944164503791</v>
      </c>
      <c r="AW4" s="22">
        <f>(Drivers!AX5*1000000)/Drivers!AX4</f>
        <v>71.077156257224374</v>
      </c>
      <c r="AX4" s="22">
        <f>(Drivers!AY5*1000000)/Drivers!AY4</f>
        <v>72.947281057914395</v>
      </c>
      <c r="AY4" s="22">
        <f>(Drivers!AZ5*1000000)/Drivers!AZ4</f>
        <v>74.900941417024157</v>
      </c>
      <c r="AZ4" s="22">
        <f>(Drivers!BA5*1000000)/Drivers!BA4</f>
        <v>76.792979096586379</v>
      </c>
      <c r="BA4" s="22">
        <f>(Drivers!BB5*1000000)/Drivers!BB4</f>
        <v>78.702506806672687</v>
      </c>
      <c r="BB4" s="22">
        <f>(Drivers!BC5*1000000)/Drivers!BC4</f>
        <v>80.758612524425388</v>
      </c>
      <c r="BC4" s="22">
        <f>(Drivers!BD5*1000000)/Drivers!BD4</f>
        <v>82.911753503424393</v>
      </c>
      <c r="BD4" s="22">
        <f>(Drivers!BE5*1000000)/Drivers!BE4</f>
        <v>85.187960577241824</v>
      </c>
      <c r="BE4" s="22">
        <f>(Drivers!BF5*1000000)/Drivers!BF4</f>
        <v>87.576162108670857</v>
      </c>
      <c r="BF4" s="22">
        <f>(Drivers!BG5*1000000)/Drivers!BG4</f>
        <v>90.131670887733975</v>
      </c>
      <c r="BG4" s="22">
        <f>(Drivers!BH5*1000000)/Drivers!BH4</f>
        <v>92.917706548849409</v>
      </c>
      <c r="BH4" s="22">
        <f>(Drivers!BI5*1000000)/Drivers!BI4</f>
        <v>95.820364293259402</v>
      </c>
      <c r="BI4" s="22">
        <f>(Drivers!BJ5*1000000)/Drivers!BJ4</f>
        <v>98.698359661516335</v>
      </c>
      <c r="BJ4" s="22">
        <f>(Drivers!BK5*1000000)/Drivers!BK4</f>
        <v>101.70430125624092</v>
      </c>
      <c r="BK4" s="22">
        <f>(Drivers!BL5*1000000)/Drivers!BL4</f>
        <v>104.87299731132799</v>
      </c>
    </row>
    <row r="5" spans="1:67" s="87" customFormat="1" x14ac:dyDescent="0.25">
      <c r="A5" s="87" t="s">
        <v>318</v>
      </c>
      <c r="B5" s="87" t="s">
        <v>321</v>
      </c>
      <c r="C5" s="28">
        <v>668000</v>
      </c>
      <c r="D5" s="28">
        <v>714000</v>
      </c>
      <c r="E5" s="28">
        <v>741000</v>
      </c>
      <c r="F5" s="28">
        <v>718000</v>
      </c>
      <c r="G5" s="28">
        <v>663000</v>
      </c>
      <c r="H5" s="28">
        <v>587000</v>
      </c>
      <c r="I5" s="28">
        <v>591000</v>
      </c>
      <c r="J5" s="28">
        <v>573000</v>
      </c>
      <c r="K5" s="28">
        <v>560000</v>
      </c>
      <c r="L5" s="28">
        <v>559000</v>
      </c>
      <c r="M5" s="28">
        <v>671000</v>
      </c>
      <c r="N5" s="28">
        <v>554000</v>
      </c>
      <c r="O5" s="28">
        <v>602000</v>
      </c>
      <c r="P5" s="28">
        <v>643000</v>
      </c>
      <c r="Q5" s="28">
        <v>675000</v>
      </c>
      <c r="R5" s="28">
        <v>723000</v>
      </c>
      <c r="S5" s="28">
        <v>825000</v>
      </c>
      <c r="T5" s="28">
        <v>865000</v>
      </c>
      <c r="U5" s="28">
        <v>767000</v>
      </c>
      <c r="V5" s="28">
        <v>784000</v>
      </c>
      <c r="W5" s="28">
        <v>880000</v>
      </c>
      <c r="X5" s="28">
        <v>879000</v>
      </c>
      <c r="Y5" s="28">
        <f>((Data!$AJ$5*'Intermediate calculations'!Y4)+Data!$AK$5)*Drivers!Z4</f>
        <v>920365.78982954903</v>
      </c>
      <c r="Z5" s="28">
        <f>((Data!$AJ$5*'Intermediate calculations'!Z4)+Data!$AK$5)*Drivers!AA4</f>
        <v>946008.36609264999</v>
      </c>
      <c r="AA5" s="28">
        <f>((Data!$AJ$5*'Intermediate calculations'!AA4)+Data!$AK$5)*Drivers!AB4</f>
        <v>965785.82304084837</v>
      </c>
      <c r="AB5" s="28">
        <f>((Data!$AJ$5*'Intermediate calculations'!AB4)+Data!$AK$5)*Drivers!AC4</f>
        <v>981042.43638118007</v>
      </c>
      <c r="AC5" s="28">
        <f>((Data!$AJ$5*'Intermediate calculations'!AC4)+Data!$AK$5)*Drivers!AD4</f>
        <v>991404.44414757832</v>
      </c>
      <c r="AD5" s="28">
        <f>((Data!$AJ$5*'Intermediate calculations'!AD4)+Data!$AK$5)*Drivers!AE4</f>
        <v>1008066.6301161026</v>
      </c>
      <c r="AE5" s="28">
        <f>((Data!$AJ$5*'Intermediate calculations'!AE4)+Data!$AK$5)*Drivers!AF4</f>
        <v>1023437.9480389802</v>
      </c>
      <c r="AF5" s="28">
        <f>((Data!$AJ$5*'Intermediate calculations'!AF4)+Data!$AK$5)*Drivers!AG4</f>
        <v>1038361.0639161571</v>
      </c>
      <c r="AG5" s="28">
        <f>((Data!$AJ$5*'Intermediate calculations'!AG4)+Data!$AK$5)*Drivers!AH4</f>
        <v>951013.29014816915</v>
      </c>
      <c r="AH5" s="28">
        <f>((Data!$AJ$5*'Intermediate calculations'!AH4)+Data!$AK$5)*Drivers!AI4</f>
        <v>978969.01348268543</v>
      </c>
      <c r="AI5" s="28">
        <f>((Data!$AJ$5*'Intermediate calculations'!AI4)+Data!$AK$5)*Drivers!AJ4</f>
        <v>1005838.5404273407</v>
      </c>
      <c r="AJ5" s="28">
        <f>((Data!$AJ$5*'Intermediate calculations'!AJ4)+Data!$AK$5)*Drivers!AK4</f>
        <v>1033433.5111378854</v>
      </c>
      <c r="AK5" s="28">
        <f>((Data!$AJ$5*'Intermediate calculations'!AK4)+Data!$AK$5)*Drivers!AL4</f>
        <v>1063108.0739595275</v>
      </c>
      <c r="AL5" s="28">
        <f>((Data!$AJ$5*'Intermediate calculations'!AL4)+Data!$AK$5)*Drivers!AM4</f>
        <v>1095862.3668527526</v>
      </c>
      <c r="AM5" s="28">
        <f>((Data!$AJ$5*'Intermediate calculations'!AM4)+Data!$AK$5)*Drivers!AN4</f>
        <v>1129959.5998307934</v>
      </c>
      <c r="AN5" s="28">
        <f>((Data!$AJ$5*'Intermediate calculations'!AN4)+Data!$AK$5)*Drivers!AO4</f>
        <v>1166282.1953816316</v>
      </c>
      <c r="AO5" s="28">
        <f>((Data!$AJ$5*'Intermediate calculations'!AO4)+Data!$AK$5)*Drivers!AP4</f>
        <v>1205090.2763958608</v>
      </c>
      <c r="AP5" s="28">
        <f>((Data!$AJ$5*'Intermediate calculations'!AP4)+Data!$AK$5)*Drivers!AQ4</f>
        <v>1248513.5282584876</v>
      </c>
      <c r="AQ5" s="28">
        <f>((Data!$AJ$5*'Intermediate calculations'!AQ4)+Data!$AK$5)*Drivers!AR4</f>
        <v>1291980.1003514274</v>
      </c>
      <c r="AR5" s="28">
        <f>((Data!$AJ$5*'Intermediate calculations'!AR4)+Data!$AK$5)*Drivers!AS4</f>
        <v>1342322.7858678184</v>
      </c>
      <c r="AS5" s="28">
        <f>((Data!$AJ$5*'Intermediate calculations'!AS4)+Data!$AK$5)*Drivers!AT4</f>
        <v>1394647.8392093042</v>
      </c>
      <c r="AT5" s="28">
        <f>((Data!$AJ$5*'Intermediate calculations'!AT4)+Data!$AK$5)*Drivers!AU4</f>
        <v>1448768.8818350923</v>
      </c>
      <c r="AU5" s="28">
        <f>((Data!$AJ$5*'Intermediate calculations'!AU4)+Data!$AK$5)*Drivers!AV4</f>
        <v>1504480.4729784301</v>
      </c>
      <c r="AV5" s="28">
        <f>((Data!$AJ$5*'Intermediate calculations'!AV4)+Data!$AK$5)*Drivers!AW4</f>
        <v>1556920.5197803588</v>
      </c>
      <c r="AW5" s="28">
        <f>((Data!$AJ$5*'Intermediate calculations'!AW4)+Data!$AK$5)*Drivers!AX4</f>
        <v>1611749.4290744429</v>
      </c>
      <c r="AX5" s="28">
        <f>((Data!$AJ$5*'Intermediate calculations'!AX4)+Data!$AK$5)*Drivers!AY4</f>
        <v>1670402.1353368061</v>
      </c>
      <c r="AY5" s="28">
        <f>((Data!$AJ$5*'Intermediate calculations'!AY4)+Data!$AK$5)*Drivers!AZ4</f>
        <v>1731935.4293579583</v>
      </c>
      <c r="AZ5" s="28">
        <f>((Data!$AJ$5*'Intermediate calculations'!AZ4)+Data!$AK$5)*Drivers!BA4</f>
        <v>1792713.6396015319</v>
      </c>
      <c r="BA5" s="28">
        <f>((Data!$AJ$5*'Intermediate calculations'!BA4)+Data!$AK$5)*Drivers!BB4</f>
        <v>1854736.8308371832</v>
      </c>
      <c r="BB5" s="28">
        <f>((Data!$AJ$5*'Intermediate calculations'!BB4)+Data!$AK$5)*Drivers!BC4</f>
        <v>1919235.4559357294</v>
      </c>
      <c r="BC5" s="28">
        <f>((Data!$AJ$5*'Intermediate calculations'!BC4)+Data!$AK$5)*Drivers!BD4</f>
        <v>1986979.5302061785</v>
      </c>
      <c r="BD5" s="28">
        <f>((Data!$AJ$5*'Intermediate calculations'!BD4)+Data!$AK$5)*Drivers!BE4</f>
        <v>2058701.5908699026</v>
      </c>
      <c r="BE5" s="28">
        <f>((Data!$AJ$5*'Intermediate calculations'!BE4)+Data!$AK$5)*Drivers!BF4</f>
        <v>2134177.7511369777</v>
      </c>
      <c r="BF5" s="28">
        <f>((Data!$AJ$5*'Intermediate calculations'!BF4)+Data!$AK$5)*Drivers!BG4</f>
        <v>2214931.1014763429</v>
      </c>
      <c r="BG5" s="28">
        <f>((Data!$AJ$5*'Intermediate calculations'!BG4)+Data!$AK$5)*Drivers!BH4</f>
        <v>2300200.6014971081</v>
      </c>
      <c r="BH5" s="28">
        <f>((Data!$AJ$5*'Intermediate calculations'!BH4)+Data!$AK$5)*Drivers!BI4</f>
        <v>2389394.8002378037</v>
      </c>
      <c r="BI5" s="28">
        <f>((Data!$AJ$5*'Intermediate calculations'!BI4)+Data!$AK$5)*Drivers!BJ4</f>
        <v>2478778.2722299406</v>
      </c>
      <c r="BJ5" s="28">
        <f>((Data!$AJ$5*'Intermediate calculations'!BJ4)+Data!$AK$5)*Drivers!BK4</f>
        <v>2572461.0075317365</v>
      </c>
      <c r="BK5" s="28">
        <f>((Data!$AJ$5*'Intermediate calculations'!BK4)+Data!$AK$5)*Drivers!BL4</f>
        <v>2671445.2672916441</v>
      </c>
    </row>
    <row r="6" spans="1:67" x14ac:dyDescent="0.25">
      <c r="A6" t="s">
        <v>318</v>
      </c>
      <c r="B6" t="s">
        <v>322</v>
      </c>
      <c r="C6" s="22">
        <f>C5/Drivers!D4</f>
        <v>1.8151922844328049E-2</v>
      </c>
      <c r="D6" s="22">
        <f>D5/Drivers!E4</f>
        <v>1.8929477093079208E-2</v>
      </c>
      <c r="E6" s="22">
        <f>E5/Drivers!F4</f>
        <v>1.9160849435363898E-2</v>
      </c>
      <c r="F6" s="22">
        <f>F5/Drivers!G4</f>
        <v>1.8115873466426971E-2</v>
      </c>
      <c r="G6" s="22">
        <f>G5/Drivers!H4</f>
        <v>1.6344518185421236E-2</v>
      </c>
      <c r="H6" s="22">
        <f>H5/Drivers!I4</f>
        <v>1.4166508067741876E-2</v>
      </c>
      <c r="I6" s="22">
        <f>I5/Drivers!J4</f>
        <v>1.3991142399503649E-2</v>
      </c>
      <c r="J6" s="22">
        <f>J5/Drivers!K4</f>
        <v>1.3329468330311484E-2</v>
      </c>
      <c r="K6" s="22">
        <f>K5/Drivers!L4</f>
        <v>1.2819849522437712E-2</v>
      </c>
      <c r="L6" s="22">
        <f>L5/Drivers!M4</f>
        <v>1.2607541028129859E-2</v>
      </c>
      <c r="M6" s="22">
        <f>M5/Drivers!N4</f>
        <v>1.4921819008431562E-2</v>
      </c>
      <c r="N6" s="22">
        <f>N5/Drivers!O4</f>
        <v>1.21567810458843E-2</v>
      </c>
      <c r="O6" s="22">
        <f>O5/Drivers!P4</f>
        <v>1.3044162311588505E-2</v>
      </c>
      <c r="P6" s="22">
        <f>P5/Drivers!Q4</f>
        <v>1.3763079313265579E-2</v>
      </c>
      <c r="Q6" s="22">
        <f>Q5/Drivers!R4</f>
        <v>1.4273144855926876E-2</v>
      </c>
      <c r="R6" s="22">
        <f>R5/Drivers!S4</f>
        <v>1.5100061087370227E-2</v>
      </c>
      <c r="S6" s="22">
        <f>S5/Drivers!T4</f>
        <v>1.701400710616301E-2</v>
      </c>
      <c r="T6" s="22">
        <f>T5/Drivers!U4</f>
        <v>1.7610021254379524E-2</v>
      </c>
      <c r="U6" s="22">
        <f>U5/Drivers!V4</f>
        <v>1.5407958031534726E-2</v>
      </c>
      <c r="V6" s="22">
        <f>V5/Drivers!W4</f>
        <v>1.553182299165852E-2</v>
      </c>
      <c r="W6" s="22">
        <f>W5/Drivers!X4</f>
        <v>1.7181807184041598E-2</v>
      </c>
      <c r="X6" s="22">
        <f>X5/Drivers!Y4</f>
        <v>1.6902490054067201E-2</v>
      </c>
      <c r="Y6" s="22"/>
      <c r="Z6" s="22"/>
      <c r="AA6" s="22"/>
      <c r="AB6" s="22"/>
      <c r="AC6" s="22"/>
      <c r="AD6" s="22"/>
      <c r="AE6" s="22"/>
      <c r="AF6" s="22"/>
      <c r="AG6" s="22"/>
      <c r="AH6" s="22"/>
      <c r="AI6" s="22"/>
      <c r="AJ6" s="22"/>
      <c r="AK6" s="22"/>
      <c r="AL6" s="22"/>
      <c r="AM6" s="22"/>
      <c r="AN6" s="22"/>
      <c r="AO6" s="22">
        <f>(AO5-AE5)/AE5</f>
        <v>0.17749227366929909</v>
      </c>
      <c r="AP6" s="22"/>
      <c r="AQ6" s="22">
        <f>(AQ8-AD8)/AD8</f>
        <v>0.31801508354254354</v>
      </c>
      <c r="AR6" s="22"/>
      <c r="AS6" s="22"/>
      <c r="AT6" s="22"/>
      <c r="AU6" s="22"/>
      <c r="AV6" s="22"/>
      <c r="AW6" s="22"/>
      <c r="AX6" s="22"/>
      <c r="AY6" s="22"/>
      <c r="AZ6" s="22"/>
      <c r="BA6" s="22"/>
      <c r="BB6" s="22"/>
      <c r="BC6" s="22"/>
      <c r="BD6" s="22"/>
      <c r="BE6" s="22"/>
      <c r="BF6" s="22"/>
      <c r="BG6" s="22"/>
      <c r="BH6" s="22"/>
      <c r="BI6" s="22"/>
      <c r="BJ6" s="22"/>
      <c r="BK6" s="22"/>
    </row>
    <row r="7" spans="1:67" x14ac:dyDescent="0.25">
      <c r="A7" t="s">
        <v>318</v>
      </c>
      <c r="B7" t="s">
        <v>663</v>
      </c>
      <c r="C7" s="53">
        <f>C5*ttokg/Drivers!D4</f>
        <v>18.151922844328048</v>
      </c>
      <c r="D7" s="53">
        <f>D5*ttokg/Drivers!E4</f>
        <v>18.929477093079207</v>
      </c>
      <c r="E7" s="53">
        <f>E5*ttokg/Drivers!F4</f>
        <v>19.1608494353639</v>
      </c>
      <c r="F7" s="53">
        <f>F5*ttokg/Drivers!G4</f>
        <v>18.115873466426972</v>
      </c>
      <c r="G7" s="53">
        <f>G5*ttokg/Drivers!H4</f>
        <v>16.344518185421236</v>
      </c>
      <c r="H7" s="53">
        <f>H5*ttokg/Drivers!I4</f>
        <v>14.166508067741876</v>
      </c>
      <c r="I7" s="53">
        <f>I5*ttokg/Drivers!J4</f>
        <v>13.991142399503648</v>
      </c>
      <c r="J7" s="53">
        <f>J5*ttokg/Drivers!K4</f>
        <v>13.329468330311483</v>
      </c>
      <c r="K7" s="53">
        <f>K5*ttokg/Drivers!L4</f>
        <v>12.819849522437712</v>
      </c>
      <c r="L7" s="53">
        <f>L5*ttokg/Drivers!M4</f>
        <v>12.607541028129861</v>
      </c>
      <c r="M7" s="53">
        <f>M5*ttokg/Drivers!N4</f>
        <v>14.921819008431562</v>
      </c>
      <c r="N7" s="53">
        <f>N5*ttokg/Drivers!O4</f>
        <v>12.1567810458843</v>
      </c>
      <c r="O7" s="53">
        <f>O5*ttokg/Drivers!P4</f>
        <v>13.044162311588506</v>
      </c>
      <c r="P7" s="53">
        <f>P5*ttokg/Drivers!Q4</f>
        <v>13.76307931326558</v>
      </c>
      <c r="Q7" s="53">
        <f>Q5*ttokg/Drivers!R4</f>
        <v>14.273144855926876</v>
      </c>
      <c r="R7" s="53">
        <f>R5*ttokg/Drivers!S4</f>
        <v>15.100061087370227</v>
      </c>
      <c r="S7" s="53">
        <f>S5*ttokg/Drivers!T4</f>
        <v>17.01400710616301</v>
      </c>
      <c r="T7" s="53">
        <f>T5*ttokg/Drivers!U4</f>
        <v>17.610021254379525</v>
      </c>
      <c r="U7" s="53">
        <f>U5*ttokg/Drivers!V4</f>
        <v>15.407958031534726</v>
      </c>
      <c r="V7" s="53">
        <f>V5*ttokg/Drivers!W4</f>
        <v>15.531822991658519</v>
      </c>
      <c r="W7" s="53">
        <f>W5*ttokg/Drivers!X4</f>
        <v>17.181807184041599</v>
      </c>
      <c r="X7" s="53">
        <f>X5*ttokg/Drivers!Y4</f>
        <v>16.902490054067201</v>
      </c>
      <c r="Y7" s="53">
        <f>Y5*ttokg/Drivers!Z4</f>
        <v>17.589262795089521</v>
      </c>
      <c r="Z7" s="53">
        <f>Z5*ttokg/Drivers!AA4</f>
        <v>17.814128534058138</v>
      </c>
      <c r="AA7" s="53">
        <f>AA5*ttokg/Drivers!AB4</f>
        <v>17.913994510435373</v>
      </c>
      <c r="AB7" s="53">
        <f>AB5*ttokg/Drivers!AC4</f>
        <v>17.918422470160259</v>
      </c>
      <c r="AC7" s="53">
        <f>AC5*ttokg/Drivers!AD4</f>
        <v>17.824622532371091</v>
      </c>
      <c r="AD7" s="53">
        <f>AD5*ttokg/Drivers!AE4</f>
        <v>17.834959074186731</v>
      </c>
      <c r="AE7" s="53">
        <f>AE5*ttokg/Drivers!AF4</f>
        <v>17.818753691752029</v>
      </c>
      <c r="AF7" s="53">
        <f>AF5*ttokg/Drivers!AG4</f>
        <v>17.790867828326032</v>
      </c>
      <c r="AG7" s="53">
        <f>AG5*ttokg/Drivers!AH4</f>
        <v>16.034973798075278</v>
      </c>
      <c r="AH7" s="53">
        <f>AH5*ttokg/Drivers!AI4</f>
        <v>16.318440123636893</v>
      </c>
      <c r="AI7" s="53">
        <f>AI5*ttokg/Drivers!AJ4</f>
        <v>16.575475548956444</v>
      </c>
      <c r="AJ7" s="53">
        <f>AJ5*ttokg/Drivers!AK4</f>
        <v>16.836363483256193</v>
      </c>
      <c r="AK7" s="53">
        <f>AK5*ttokg/Drivers!AL4</f>
        <v>17.122658599586874</v>
      </c>
      <c r="AL7" s="53">
        <f>AL5*ttokg/Drivers!AM4</f>
        <v>17.449292481692936</v>
      </c>
      <c r="AM7" s="53">
        <f>AM5*ttokg/Drivers!AN4</f>
        <v>17.816786800053901</v>
      </c>
      <c r="AN7" s="53">
        <f>AN5*ttokg/Drivers!AO4</f>
        <v>18.21020229905378</v>
      </c>
      <c r="AO7" s="53">
        <f>AO5*ttokg/Drivers!AP4</f>
        <v>18.632681688962826</v>
      </c>
      <c r="AP7" s="53">
        <f>AP5*ttokg/Drivers!AQ4</f>
        <v>19.115853468276871</v>
      </c>
      <c r="AQ7" s="53">
        <f>AQ5*ttokg/Drivers!AR4</f>
        <v>19.588488346586761</v>
      </c>
      <c r="AR7" s="53">
        <f>AR5*ttokg/Drivers!AS4</f>
        <v>20.179546387489207</v>
      </c>
      <c r="AS7" s="53">
        <f>AS5*ttokg/Drivers!AT4</f>
        <v>20.788747993404275</v>
      </c>
      <c r="AT7" s="53">
        <f>AT5*ttokg/Drivers!AU4</f>
        <v>21.41273906243547</v>
      </c>
      <c r="AU7" s="53">
        <f>AU5*ttokg/Drivers!AV4</f>
        <v>22.047990340116627</v>
      </c>
      <c r="AV7" s="53">
        <f>AV5*ttokg/Drivers!AW4</f>
        <v>22.623418863139701</v>
      </c>
      <c r="AW7" s="53">
        <f>AW5*ttokg/Drivers!AX4</f>
        <v>23.249914677381334</v>
      </c>
      <c r="AX7" s="53">
        <f>AX5*ttokg/Drivers!AY4</f>
        <v>23.920867171998637</v>
      </c>
      <c r="AY7" s="53">
        <f>AY5*ttokg/Drivers!AZ4</f>
        <v>24.621790068211755</v>
      </c>
      <c r="AZ7" s="53">
        <f>AZ5*ttokg/Drivers!BA4</f>
        <v>25.300604338010114</v>
      </c>
      <c r="BA7" s="53">
        <f>BA5*ttokg/Drivers!BB4</f>
        <v>25.985693579193669</v>
      </c>
      <c r="BB7" s="53">
        <f>BB5*ttokg/Drivers!BC4</f>
        <v>26.723371225099463</v>
      </c>
      <c r="BC7" s="53">
        <f>BC5*ttokg/Drivers!BD4</f>
        <v>27.495862617432792</v>
      </c>
      <c r="BD7" s="53">
        <f>BD5*ttokg/Drivers!BE4</f>
        <v>28.312506947201502</v>
      </c>
      <c r="BE7" s="53">
        <f>BE5*ttokg/Drivers!BF4</f>
        <v>29.169331996829172</v>
      </c>
      <c r="BF7" s="53">
        <f>BF5*ttokg/Drivers!BG4</f>
        <v>30.086182567281025</v>
      </c>
      <c r="BG7" s="53">
        <f>BG5*ttokg/Drivers!BH4</f>
        <v>31.085740231148407</v>
      </c>
      <c r="BH7" s="53">
        <f>BH5*ttokg/Drivers!BI4</f>
        <v>32.127138887491299</v>
      </c>
      <c r="BI7" s="53">
        <f>BI5*ttokg/Drivers!BJ4</f>
        <v>33.159689320016732</v>
      </c>
      <c r="BJ7" s="53">
        <f>BJ5*ttokg/Drivers!BK4</f>
        <v>34.23814355521548</v>
      </c>
      <c r="BK7" s="53">
        <f>BK5*ttokg/Drivers!BL4</f>
        <v>35.374989888711625</v>
      </c>
    </row>
    <row r="8" spans="1:67" x14ac:dyDescent="0.25">
      <c r="A8" t="s">
        <v>320</v>
      </c>
      <c r="B8" t="s">
        <v>321</v>
      </c>
      <c r="C8" s="22">
        <v>610300</v>
      </c>
      <c r="D8" s="22">
        <v>664900</v>
      </c>
      <c r="E8" s="22">
        <v>703500</v>
      </c>
      <c r="F8" s="22">
        <v>694000</v>
      </c>
      <c r="G8" s="22">
        <v>611200</v>
      </c>
      <c r="H8" s="22">
        <v>507500</v>
      </c>
      <c r="I8" s="22">
        <v>507000</v>
      </c>
      <c r="J8" s="22">
        <v>502400</v>
      </c>
      <c r="K8" s="22">
        <v>496300</v>
      </c>
      <c r="L8" s="22">
        <v>511700</v>
      </c>
      <c r="M8" s="22">
        <v>624600</v>
      </c>
      <c r="N8" s="22">
        <v>524300</v>
      </c>
      <c r="O8" s="22">
        <v>573400</v>
      </c>
      <c r="P8" s="22">
        <v>609700</v>
      </c>
      <c r="Q8" s="22">
        <v>631700</v>
      </c>
      <c r="R8" s="22">
        <v>672300</v>
      </c>
      <c r="S8" s="22">
        <v>808100</v>
      </c>
      <c r="T8" s="22">
        <v>861400</v>
      </c>
      <c r="U8" s="22">
        <v>770200</v>
      </c>
      <c r="V8" s="22">
        <v>796700</v>
      </c>
      <c r="W8" s="22">
        <v>885800</v>
      </c>
      <c r="X8" s="22">
        <v>869500</v>
      </c>
      <c r="Y8" s="22">
        <f>((Data!$AJ$14*'Intermediate calculations'!Y5)+Data!$AK$14)</f>
        <v>919842.20608981606</v>
      </c>
      <c r="Z8" s="22">
        <f>((Data!$AJ$14*'Intermediate calculations'!Z5)+Data!$AK$14)</f>
        <v>949140.56199881318</v>
      </c>
      <c r="AA8" s="22">
        <f>((Data!$AJ$14*'Intermediate calculations'!AA5)+Data!$AK$14)</f>
        <v>971737.62739106826</v>
      </c>
      <c r="AB8" s="22">
        <f>((Data!$AJ$14*'Intermediate calculations'!AB5)+Data!$AK$14)</f>
        <v>989169.32703874377</v>
      </c>
      <c r="AC8" s="22">
        <f>((Data!$AJ$14*'Intermediate calculations'!AC5)+Data!$AK$14)</f>
        <v>1001008.6129340765</v>
      </c>
      <c r="AD8" s="22">
        <f>((Data!$AJ$14*'Intermediate calculations'!AD5)+Data!$AK$14)</f>
        <v>1020046.2731800242</v>
      </c>
      <c r="AE8" s="22">
        <f>((Data!$AJ$14*'Intermediate calculations'!AE5)+Data!$AK$14)</f>
        <v>1037609.0304737545</v>
      </c>
      <c r="AF8" s="22">
        <f>((Data!$AJ$14*'Intermediate calculations'!AF5)+Data!$AK$14)</f>
        <v>1054659.6869972914</v>
      </c>
      <c r="AG8" s="22">
        <f>((Data!$AJ$14*'Intermediate calculations'!AG5)+Data!$AK$14)</f>
        <v>954859.02198393969</v>
      </c>
      <c r="AH8" s="22">
        <f>((Data!$AJ$14*'Intermediate calculations'!AH5)+Data!$AK$14)</f>
        <v>986800.30290455883</v>
      </c>
      <c r="AI8" s="22">
        <f>((Data!$AJ$14*'Intermediate calculations'!AI5)+Data!$AK$14)</f>
        <v>1017500.5319086041</v>
      </c>
      <c r="AJ8" s="22">
        <f>((Data!$AJ$14*'Intermediate calculations'!AJ5)+Data!$AK$14)</f>
        <v>1049029.6288636273</v>
      </c>
      <c r="AK8" s="22">
        <f>((Data!$AJ$14*'Intermediate calculations'!AK5)+Data!$AK$14)</f>
        <v>1082934.7986902422</v>
      </c>
      <c r="AL8" s="22">
        <f>((Data!$AJ$14*'Intermediate calculations'!AL5)+Data!$AK$14)</f>
        <v>1120358.7658020861</v>
      </c>
      <c r="AM8" s="22">
        <f>((Data!$AJ$14*'Intermediate calculations'!AM5)+Data!$AK$14)</f>
        <v>1159317.1316485067</v>
      </c>
      <c r="AN8" s="22">
        <f>((Data!$AJ$14*'Intermediate calculations'!AN5)+Data!$AK$14)</f>
        <v>1200818.1228542288</v>
      </c>
      <c r="AO8" s="22">
        <f>((Data!$AJ$14*'Intermediate calculations'!AO5)+Data!$AK$14)</f>
        <v>1245158.9471939504</v>
      </c>
      <c r="AP8" s="22">
        <f>((Data!$AJ$14*'Intermediate calculations'!AP5)+Data!$AK$14)</f>
        <v>1294772.9124501622</v>
      </c>
      <c r="AQ8" s="22">
        <f>((Data!$AJ$14*'Intermediate calculations'!AQ5)+Data!$AK$14)</f>
        <v>1344436.3739626298</v>
      </c>
      <c r="AR8" s="22">
        <f>((Data!$AJ$14*'Intermediate calculations'!AR5)+Data!$AK$14)</f>
        <v>1401956.2542796617</v>
      </c>
      <c r="AS8" s="22">
        <f>((Data!$AJ$14*'Intermediate calculations'!AS5)+Data!$AK$14)</f>
        <v>1461741.1222284453</v>
      </c>
      <c r="AT8" s="22">
        <f>((Data!$AJ$14*'Intermediate calculations'!AT5)+Data!$AK$14)</f>
        <v>1523578.0278789147</v>
      </c>
      <c r="AU8" s="22">
        <f>((Data!$AJ$14*'Intermediate calculations'!AU5)+Data!$AK$14)</f>
        <v>1587232.2414347816</v>
      </c>
      <c r="AV8" s="22">
        <f>((Data!$AJ$14*'Intermediate calculations'!AV5)+Data!$AK$14)</f>
        <v>1647148.4970919099</v>
      </c>
      <c r="AW8" s="22">
        <f>((Data!$AJ$14*'Intermediate calculations'!AW5)+Data!$AK$14)</f>
        <v>1709794.1876854778</v>
      </c>
      <c r="AX8" s="22">
        <f>((Data!$AJ$14*'Intermediate calculations'!AX5)+Data!$AK$14)</f>
        <v>1776808.821685937</v>
      </c>
      <c r="AY8" s="22">
        <f>((Data!$AJ$14*'Intermediate calculations'!AY5)+Data!$AK$14)</f>
        <v>1847114.7195796245</v>
      </c>
      <c r="AZ8" s="22">
        <f>((Data!$AJ$14*'Intermediate calculations'!AZ5)+Data!$AK$14)</f>
        <v>1916557.883829484</v>
      </c>
      <c r="BA8" s="22">
        <f>((Data!$AJ$14*'Intermediate calculations'!BA5)+Data!$AK$14)</f>
        <v>1987423.522008311</v>
      </c>
      <c r="BB8" s="22">
        <f>((Data!$AJ$14*'Intermediate calculations'!BB5)+Data!$AK$14)</f>
        <v>2061117.5086962795</v>
      </c>
      <c r="BC8" s="22">
        <f>((Data!$AJ$14*'Intermediate calculations'!BC5)+Data!$AK$14)</f>
        <v>2138519.6378090708</v>
      </c>
      <c r="BD8" s="22">
        <f>((Data!$AJ$14*'Intermediate calculations'!BD5)+Data!$AK$14)</f>
        <v>2220466.882044286</v>
      </c>
      <c r="BE8" s="22">
        <f>((Data!$AJ$14*'Intermediate calculations'!BE5)+Data!$AK$14)</f>
        <v>2306703.4357922534</v>
      </c>
      <c r="BF8" s="22">
        <f>((Data!$AJ$14*'Intermediate calculations'!BF5)+Data!$AK$14)</f>
        <v>2398969.5316326772</v>
      </c>
      <c r="BG8" s="22">
        <f>((Data!$AJ$14*'Intermediate calculations'!BG5)+Data!$AK$14)</f>
        <v>2496395.6300932104</v>
      </c>
      <c r="BH8" s="22">
        <f>((Data!$AJ$14*'Intermediate calculations'!BH5)+Data!$AK$14)</f>
        <v>2598305.9589505764</v>
      </c>
      <c r="BI8" s="22">
        <f>((Data!$AJ$14*'Intermediate calculations'!BI5)+Data!$AK$14)</f>
        <v>2700432.5451382468</v>
      </c>
      <c r="BJ8" s="22">
        <f>((Data!$AJ$14*'Intermediate calculations'!BJ5)+Data!$AK$14)</f>
        <v>2807471.3267816501</v>
      </c>
      <c r="BK8" s="22">
        <f>((Data!$AJ$14*'Intermediate calculations'!BK5)+Data!$AK$14)</f>
        <v>2920567.4541784716</v>
      </c>
    </row>
    <row r="9" spans="1:67" x14ac:dyDescent="0.25">
      <c r="A9" t="s">
        <v>845</v>
      </c>
      <c r="B9" t="s">
        <v>321</v>
      </c>
      <c r="C9" s="22">
        <f>C8*0.65</f>
        <v>396695</v>
      </c>
      <c r="D9" s="22">
        <f t="shared" ref="D9:X9" si="0">D8*0.65</f>
        <v>432185</v>
      </c>
      <c r="E9" s="22">
        <f t="shared" si="0"/>
        <v>457275</v>
      </c>
      <c r="F9" s="22">
        <f t="shared" si="0"/>
        <v>451100</v>
      </c>
      <c r="G9" s="22">
        <f t="shared" si="0"/>
        <v>397280</v>
      </c>
      <c r="H9" s="22">
        <f t="shared" si="0"/>
        <v>329875</v>
      </c>
      <c r="I9" s="22">
        <f t="shared" si="0"/>
        <v>329550</v>
      </c>
      <c r="J9" s="22">
        <f t="shared" si="0"/>
        <v>326560</v>
      </c>
      <c r="K9" s="22">
        <f t="shared" si="0"/>
        <v>322595</v>
      </c>
      <c r="L9" s="22">
        <f t="shared" si="0"/>
        <v>332605</v>
      </c>
      <c r="M9" s="22">
        <f t="shared" si="0"/>
        <v>405990</v>
      </c>
      <c r="N9" s="22">
        <f t="shared" si="0"/>
        <v>340795</v>
      </c>
      <c r="O9" s="22">
        <f t="shared" si="0"/>
        <v>372710</v>
      </c>
      <c r="P9" s="22">
        <f t="shared" si="0"/>
        <v>396305</v>
      </c>
      <c r="Q9" s="22">
        <f t="shared" si="0"/>
        <v>410605</v>
      </c>
      <c r="R9" s="22">
        <f t="shared" si="0"/>
        <v>436995</v>
      </c>
      <c r="S9" s="22">
        <f t="shared" si="0"/>
        <v>525265</v>
      </c>
      <c r="T9" s="22">
        <f t="shared" si="0"/>
        <v>559910</v>
      </c>
      <c r="U9" s="22">
        <f t="shared" si="0"/>
        <v>500630</v>
      </c>
      <c r="V9" s="22">
        <f t="shared" si="0"/>
        <v>517855</v>
      </c>
      <c r="W9" s="22">
        <f t="shared" si="0"/>
        <v>575770</v>
      </c>
      <c r="X9" s="22">
        <f t="shared" si="0"/>
        <v>565175</v>
      </c>
      <c r="Y9" s="22">
        <f t="shared" ref="Y9:BK9" si="1">Y8*Y63</f>
        <v>643889.54426287115</v>
      </c>
      <c r="Z9" s="22">
        <f t="shared" si="1"/>
        <v>669144.09620916331</v>
      </c>
      <c r="AA9" s="22">
        <f t="shared" si="1"/>
        <v>689933.71544765844</v>
      </c>
      <c r="AB9" s="22">
        <f t="shared" si="1"/>
        <v>707256.06883270177</v>
      </c>
      <c r="AC9" s="22">
        <f t="shared" si="1"/>
        <v>720726.20131253498</v>
      </c>
      <c r="AD9" s="22">
        <f t="shared" si="1"/>
        <v>739533.5480555176</v>
      </c>
      <c r="AE9" s="22">
        <f t="shared" si="1"/>
        <v>757454.59224584082</v>
      </c>
      <c r="AF9" s="22">
        <f t="shared" si="1"/>
        <v>775174.86994300911</v>
      </c>
      <c r="AG9" s="22">
        <f t="shared" si="1"/>
        <v>706595.67626811541</v>
      </c>
      <c r="AH9" s="22">
        <f t="shared" si="1"/>
        <v>732205.82475518261</v>
      </c>
      <c r="AI9" s="22">
        <f t="shared" si="1"/>
        <v>757020.39574000146</v>
      </c>
      <c r="AJ9" s="22">
        <f t="shared" si="1"/>
        <v>782576.10313226597</v>
      </c>
      <c r="AK9" s="22">
        <f t="shared" si="1"/>
        <v>810035.22942030116</v>
      </c>
      <c r="AL9" s="22">
        <f t="shared" si="1"/>
        <v>840269.07435156452</v>
      </c>
      <c r="AM9" s="22">
        <f t="shared" si="1"/>
        <v>871806.48299967707</v>
      </c>
      <c r="AN9" s="22">
        <f t="shared" si="1"/>
        <v>905416.86463208857</v>
      </c>
      <c r="AO9" s="22">
        <f t="shared" si="1"/>
        <v>941340.16407862655</v>
      </c>
      <c r="AP9" s="22">
        <f t="shared" si="1"/>
        <v>981437.86763722298</v>
      </c>
      <c r="AQ9" s="22">
        <f t="shared" si="1"/>
        <v>1021771.6442115987</v>
      </c>
      <c r="AR9" s="22">
        <f t="shared" si="1"/>
        <v>1071094.5782696616</v>
      </c>
      <c r="AS9" s="22">
        <f t="shared" si="1"/>
        <v>1122617.1818714461</v>
      </c>
      <c r="AT9" s="22">
        <f t="shared" si="1"/>
        <v>1176202.2375225222</v>
      </c>
      <c r="AU9" s="22">
        <f t="shared" si="1"/>
        <v>1231692.2193533906</v>
      </c>
      <c r="AV9" s="22">
        <f t="shared" si="1"/>
        <v>1284775.8277316897</v>
      </c>
      <c r="AW9" s="22">
        <f t="shared" si="1"/>
        <v>1340478.6431454145</v>
      </c>
      <c r="AX9" s="22">
        <f t="shared" si="1"/>
        <v>1400125.3514885185</v>
      </c>
      <c r="AY9" s="22">
        <f t="shared" si="1"/>
        <v>1462914.8579070626</v>
      </c>
      <c r="AZ9" s="22">
        <f t="shared" si="1"/>
        <v>1525580.0755282694</v>
      </c>
      <c r="BA9" s="22">
        <f t="shared" si="1"/>
        <v>1589938.8176066489</v>
      </c>
      <c r="BB9" s="22">
        <f t="shared" si="1"/>
        <v>1655077.3594831126</v>
      </c>
      <c r="BC9" s="22">
        <f t="shared" si="1"/>
        <v>1723646.8280741111</v>
      </c>
      <c r="BD9" s="22">
        <f t="shared" si="1"/>
        <v>1796357.7075738276</v>
      </c>
      <c r="BE9" s="22">
        <f t="shared" si="1"/>
        <v>1873043.18986331</v>
      </c>
      <c r="BF9" s="22">
        <f t="shared" si="1"/>
        <v>1955160.168280632</v>
      </c>
      <c r="BG9" s="22">
        <f t="shared" si="1"/>
        <v>2042051.6254162462</v>
      </c>
      <c r="BH9" s="22">
        <f t="shared" si="1"/>
        <v>2133209.1922984235</v>
      </c>
      <c r="BI9" s="22">
        <f t="shared" si="1"/>
        <v>2225156.4171939157</v>
      </c>
      <c r="BJ9" s="22">
        <f t="shared" si="1"/>
        <v>2321778.7872484247</v>
      </c>
      <c r="BK9" s="22">
        <f t="shared" si="1"/>
        <v>2424070.9869681313</v>
      </c>
    </row>
    <row r="10" spans="1:67" x14ac:dyDescent="0.25">
      <c r="A10" t="s">
        <v>846</v>
      </c>
      <c r="B10" t="s">
        <v>321</v>
      </c>
      <c r="C10" s="22">
        <f t="shared" ref="C10:AH10" si="2">C8-C9</f>
        <v>213605</v>
      </c>
      <c r="D10" s="22">
        <f t="shared" si="2"/>
        <v>232715</v>
      </c>
      <c r="E10" s="22">
        <f t="shared" si="2"/>
        <v>246225</v>
      </c>
      <c r="F10" s="22">
        <f t="shared" si="2"/>
        <v>242900</v>
      </c>
      <c r="G10" s="22">
        <f t="shared" si="2"/>
        <v>213920</v>
      </c>
      <c r="H10" s="22">
        <f t="shared" si="2"/>
        <v>177625</v>
      </c>
      <c r="I10" s="22">
        <f t="shared" si="2"/>
        <v>177450</v>
      </c>
      <c r="J10" s="22">
        <f t="shared" si="2"/>
        <v>175840</v>
      </c>
      <c r="K10" s="22">
        <f t="shared" si="2"/>
        <v>173705</v>
      </c>
      <c r="L10" s="22">
        <f t="shared" si="2"/>
        <v>179095</v>
      </c>
      <c r="M10" s="22">
        <f t="shared" si="2"/>
        <v>218610</v>
      </c>
      <c r="N10" s="22">
        <f t="shared" si="2"/>
        <v>183505</v>
      </c>
      <c r="O10" s="22">
        <f t="shared" si="2"/>
        <v>200690</v>
      </c>
      <c r="P10" s="22">
        <f t="shared" si="2"/>
        <v>213395</v>
      </c>
      <c r="Q10" s="22">
        <f t="shared" si="2"/>
        <v>221095</v>
      </c>
      <c r="R10" s="22">
        <f t="shared" si="2"/>
        <v>235305</v>
      </c>
      <c r="S10" s="22">
        <f t="shared" si="2"/>
        <v>282835</v>
      </c>
      <c r="T10" s="22">
        <f t="shared" si="2"/>
        <v>301490</v>
      </c>
      <c r="U10" s="22">
        <f t="shared" si="2"/>
        <v>269570</v>
      </c>
      <c r="V10" s="22">
        <f t="shared" si="2"/>
        <v>278845</v>
      </c>
      <c r="W10" s="22">
        <f t="shared" si="2"/>
        <v>310030</v>
      </c>
      <c r="X10" s="22">
        <f t="shared" si="2"/>
        <v>304325</v>
      </c>
      <c r="Y10" s="22">
        <f t="shared" si="2"/>
        <v>275952.66182694491</v>
      </c>
      <c r="Z10" s="22">
        <f t="shared" si="2"/>
        <v>279996.46578964987</v>
      </c>
      <c r="AA10" s="22">
        <f t="shared" si="2"/>
        <v>281803.91194340982</v>
      </c>
      <c r="AB10" s="22">
        <f t="shared" si="2"/>
        <v>281913.258206042</v>
      </c>
      <c r="AC10" s="22">
        <f t="shared" si="2"/>
        <v>280282.41162154148</v>
      </c>
      <c r="AD10" s="22">
        <f t="shared" si="2"/>
        <v>280512.72512450663</v>
      </c>
      <c r="AE10" s="22">
        <f t="shared" si="2"/>
        <v>280154.43822791369</v>
      </c>
      <c r="AF10" s="22">
        <f t="shared" si="2"/>
        <v>279484.81705428229</v>
      </c>
      <c r="AG10" s="22">
        <f t="shared" si="2"/>
        <v>248263.34571582428</v>
      </c>
      <c r="AH10" s="22">
        <f t="shared" si="2"/>
        <v>254594.47814937623</v>
      </c>
      <c r="AI10" s="22">
        <f t="shared" ref="AI10:BK10" si="3">AI8-AI9</f>
        <v>260480.13616860262</v>
      </c>
      <c r="AJ10" s="22">
        <f t="shared" si="3"/>
        <v>266453.52573136135</v>
      </c>
      <c r="AK10" s="22">
        <f t="shared" si="3"/>
        <v>272899.56926994107</v>
      </c>
      <c r="AL10" s="22">
        <f t="shared" si="3"/>
        <v>280089.69145052158</v>
      </c>
      <c r="AM10" s="22">
        <f t="shared" si="3"/>
        <v>287510.64864882967</v>
      </c>
      <c r="AN10" s="22">
        <f t="shared" si="3"/>
        <v>295401.25822214026</v>
      </c>
      <c r="AO10" s="22">
        <f t="shared" si="3"/>
        <v>303818.78311532387</v>
      </c>
      <c r="AP10" s="22">
        <f t="shared" si="3"/>
        <v>313335.04481293925</v>
      </c>
      <c r="AQ10" s="22">
        <f t="shared" si="3"/>
        <v>322664.72975103115</v>
      </c>
      <c r="AR10" s="22">
        <f t="shared" si="3"/>
        <v>330861.67601000005</v>
      </c>
      <c r="AS10" s="22">
        <f t="shared" si="3"/>
        <v>339123.94035699917</v>
      </c>
      <c r="AT10" s="22">
        <f t="shared" si="3"/>
        <v>347375.79035639251</v>
      </c>
      <c r="AU10" s="22">
        <f t="shared" si="3"/>
        <v>355540.02208139095</v>
      </c>
      <c r="AV10" s="22">
        <f t="shared" si="3"/>
        <v>362372.6693602202</v>
      </c>
      <c r="AW10" s="22">
        <f t="shared" si="3"/>
        <v>369315.54454006325</v>
      </c>
      <c r="AX10" s="22">
        <f t="shared" si="3"/>
        <v>376683.47019741847</v>
      </c>
      <c r="AY10" s="22">
        <f t="shared" si="3"/>
        <v>384199.86167256185</v>
      </c>
      <c r="AZ10" s="22">
        <f t="shared" si="3"/>
        <v>390977.80830121459</v>
      </c>
      <c r="BA10" s="22">
        <f t="shared" si="3"/>
        <v>397484.70440166211</v>
      </c>
      <c r="BB10" s="22">
        <f t="shared" si="3"/>
        <v>406040.14921316691</v>
      </c>
      <c r="BC10" s="22">
        <f t="shared" si="3"/>
        <v>414872.80973495962</v>
      </c>
      <c r="BD10" s="22">
        <f t="shared" si="3"/>
        <v>424109.17447045841</v>
      </c>
      <c r="BE10" s="22">
        <f t="shared" si="3"/>
        <v>433660.24592894339</v>
      </c>
      <c r="BF10" s="22">
        <f t="shared" si="3"/>
        <v>443809.36335204518</v>
      </c>
      <c r="BG10" s="22">
        <f t="shared" si="3"/>
        <v>454344.00467696413</v>
      </c>
      <c r="BH10" s="22">
        <f t="shared" si="3"/>
        <v>465096.76665215287</v>
      </c>
      <c r="BI10" s="22">
        <f t="shared" si="3"/>
        <v>475276.12794433115</v>
      </c>
      <c r="BJ10" s="22">
        <f t="shared" si="3"/>
        <v>485692.53953322535</v>
      </c>
      <c r="BK10" s="22">
        <f t="shared" si="3"/>
        <v>496496.46721034031</v>
      </c>
    </row>
    <row r="11" spans="1:67" x14ac:dyDescent="0.25">
      <c r="A11" t="s">
        <v>847</v>
      </c>
      <c r="B11" t="s">
        <v>815</v>
      </c>
      <c r="C11" s="22">
        <f>Data!C15</f>
        <v>53.402776152243625</v>
      </c>
      <c r="D11" s="22">
        <f>Data!D15</f>
        <v>48.956276991169453</v>
      </c>
      <c r="E11" s="22">
        <f>Data!E15</f>
        <v>47.194598436389484</v>
      </c>
      <c r="F11" s="22">
        <f>Data!F15</f>
        <v>45.863112391930834</v>
      </c>
      <c r="G11" s="22">
        <f>Data!G15</f>
        <v>49.897391548242332</v>
      </c>
      <c r="H11" s="22">
        <f>Data!H15</f>
        <v>60.053089373680507</v>
      </c>
      <c r="I11" s="22">
        <f>Data!I15</f>
        <v>62.291011552550017</v>
      </c>
      <c r="J11" s="22">
        <f>Data!J15</f>
        <v>65.440741583257505</v>
      </c>
      <c r="K11" s="22">
        <f>Data!K15</f>
        <v>68.203390806251974</v>
      </c>
      <c r="L11" s="22">
        <f>Data!L15</f>
        <v>66.6343560680086</v>
      </c>
      <c r="M11" s="22">
        <f>Data!M15</f>
        <v>51.89867801106994</v>
      </c>
      <c r="N11" s="22">
        <f>Data!N15</f>
        <v>61.355058445273968</v>
      </c>
      <c r="O11" s="22">
        <f>Data!O15</f>
        <v>57.102047934625539</v>
      </c>
      <c r="P11" s="22">
        <f>Data!P15</f>
        <v>55.049415403359966</v>
      </c>
      <c r="Q11" s="22">
        <f>Data!Q15</f>
        <v>52.98274497388001</v>
      </c>
      <c r="R11" s="22">
        <f>Data!R15</f>
        <v>49.327893584921696</v>
      </c>
      <c r="S11" s="22">
        <f>Data!S15</f>
        <v>41.133098803189135</v>
      </c>
      <c r="T11" s="22">
        <f>Data!T15</f>
        <v>39.914690371156588</v>
      </c>
      <c r="U11" s="22">
        <f>Data!U15</f>
        <v>43.655274140297507</v>
      </c>
      <c r="V11" s="22">
        <f>Data!V15</f>
        <v>41.61781844154757</v>
      </c>
      <c r="W11" s="22">
        <f>Data!W15</f>
        <v>37.11227193067338</v>
      </c>
      <c r="X11" s="22">
        <f>Data!X15</f>
        <v>37.868331005777812</v>
      </c>
      <c r="Y11" s="22">
        <f>((Data!$AJ$15*LN('Intermediate calculations'!Y2))+Data!$AK$15)</f>
        <v>40.724119941158911</v>
      </c>
      <c r="Z11" s="22">
        <f>((Data!$AJ$15*LN('Intermediate calculations'!Z2))+Data!$AK$15)</f>
        <v>40.00054901985115</v>
      </c>
      <c r="AA11" s="22">
        <f>((Data!$AJ$15*LN('Intermediate calculations'!AA2))+Data!$AK$15)</f>
        <v>39.32085861653146</v>
      </c>
      <c r="AB11" s="22">
        <f>((Data!$AJ$15*LN('Intermediate calculations'!AB2))+Data!$AK$15)</f>
        <v>38.680029458477129</v>
      </c>
      <c r="AC11" s="22">
        <f>((Data!$AJ$15*LN('Intermediate calculations'!AC2))+Data!$AK$15)</f>
        <v>38.073857076192574</v>
      </c>
      <c r="AD11" s="22">
        <f>((Data!$AJ$15*LN('Intermediate calculations'!AD2))+Data!$AK$15)</f>
        <v>37.498784458742961</v>
      </c>
      <c r="AE11" s="22">
        <f>((Data!$AJ$15*LN('Intermediate calculations'!AE2))+Data!$AK$15)</f>
        <v>36.951775580687325</v>
      </c>
      <c r="AF11" s="22">
        <f>((Data!$AJ$15*LN('Intermediate calculations'!AF2))+Data!$AK$15)</f>
        <v>36.430218377657532</v>
      </c>
      <c r="AG11" s="22">
        <f>((Data!$AJ$15*LN('Intermediate calculations'!AG2))+Data!$AK$15)</f>
        <v>35.931849307059046</v>
      </c>
      <c r="AH11" s="22">
        <f>((Data!$AJ$15*LN('Intermediate calculations'!AH2))+Data!$AK$15)</f>
        <v>35.454693976061172</v>
      </c>
      <c r="AI11" s="22">
        <f>((Data!$AJ$15*LN('Intermediate calculations'!AI2))+Data!$AK$15)</f>
        <v>34.997019897634765</v>
      </c>
      <c r="AJ11" s="22">
        <f>((Data!$AJ$15*LN('Intermediate calculations'!AJ2))+Data!$AK$15)</f>
        <v>34.557298518054743</v>
      </c>
      <c r="AK11" s="22">
        <f>((Data!$AJ$15*LN('Intermediate calculations'!AK2))+Data!$AK$15)</f>
        <v>34.134174414687145</v>
      </c>
      <c r="AL11" s="22">
        <f>((Data!$AJ$15*LN('Intermediate calculations'!AL2))+Data!$AK$15)</f>
        <v>33.726440098271375</v>
      </c>
      <c r="AM11" s="22">
        <f>((Data!$AJ$15*LN('Intermediate calculations'!AM2))+Data!$AK$15)</f>
        <v>33.333015238851026</v>
      </c>
      <c r="AN11" s="22">
        <f>((Data!$AJ$15*LN('Intermediate calculations'!AN2))+Data!$AK$15)</f>
        <v>32.952929414952983</v>
      </c>
      <c r="AO11" s="22">
        <f>((Data!$AJ$15*LN('Intermediate calculations'!AO2))+Data!$AK$15)</f>
        <v>32.585307692432018</v>
      </c>
      <c r="AP11" s="22">
        <f>((Data!$AJ$15*LN('Intermediate calculations'!AP2))+Data!$AK$15)</f>
        <v>32.229358493645222</v>
      </c>
      <c r="AQ11" s="22">
        <f>((Data!$AJ$15*LN('Intermediate calculations'!AQ2))+Data!$AK$15)</f>
        <v>31.884363333867555</v>
      </c>
      <c r="AR11" s="22">
        <f>((Data!$AJ$15*LN('Intermediate calculations'!AR2))+Data!$AK$15)</f>
        <v>31.549668090325532</v>
      </c>
      <c r="AS11" s="22">
        <f>((Data!$AJ$15*LN('Intermediate calculations'!AS2))+Data!$AK$15)</f>
        <v>31.224675537163179</v>
      </c>
      <c r="AT11" s="22">
        <f>((Data!$AJ$15*LN('Intermediate calculations'!AT2))+Data!$AK$15)</f>
        <v>30.908838932271195</v>
      </c>
      <c r="AU11" s="22">
        <f>((Data!$AJ$15*LN('Intermediate calculations'!AU2))+Data!$AK$15)</f>
        <v>30.601656482987586</v>
      </c>
      <c r="AV11" s="22">
        <f>((Data!$AJ$15*LN('Intermediate calculations'!AV2))+Data!$AK$15)</f>
        <v>30.30266654998664</v>
      </c>
      <c r="AW11" s="22">
        <f>((Data!$AJ$15*LN('Intermediate calculations'!AW2))+Data!$AK$15)</f>
        <v>30.011443474264766</v>
      </c>
      <c r="AX11" s="22">
        <f>((Data!$AJ$15*LN('Intermediate calculations'!AX2))+Data!$AK$15)</f>
        <v>29.727593932537033</v>
      </c>
      <c r="AY11" s="22">
        <f>((Data!$AJ$15*LN('Intermediate calculations'!AY2))+Data!$AK$15)</f>
        <v>29.45075374273123</v>
      </c>
      <c r="AZ11" s="22">
        <f>((Data!$AJ$15*LN('Intermediate calculations'!AZ2))+Data!$AK$15)</f>
        <v>29.180585054481391</v>
      </c>
      <c r="BA11" s="22">
        <f>((Data!$AJ$15*LN('Intermediate calculations'!BA2))+Data!$AK$15)</f>
        <v>28.916773870248782</v>
      </c>
      <c r="BB11" s="22">
        <f>((Data!$AJ$15*LN('Intermediate calculations'!BB2))+Data!$AK$15)</f>
        <v>28.659027851451604</v>
      </c>
      <c r="BC11" s="22">
        <f>((Data!$AJ$15*LN('Intermediate calculations'!BC2))+Data!$AK$15)</f>
        <v>28.407074371163006</v>
      </c>
      <c r="BD11" s="22">
        <f>((Data!$AJ$15*LN('Intermediate calculations'!BD2))+Data!$AK$15)</f>
        <v>28.160658780853119</v>
      </c>
      <c r="BE11" s="22">
        <f>((Data!$AJ$15*LN('Intermediate calculations'!BE2))+Data!$AK$15)</f>
        <v>27.919542863548543</v>
      </c>
      <c r="BF11" s="22">
        <f>((Data!$AJ$15*LN('Intermediate calculations'!BF2))+Data!$AK$15)</f>
        <v>27.683503449855245</v>
      </c>
      <c r="BG11" s="22">
        <f>((Data!$AJ$15*LN('Intermediate calculations'!BG2))+Data!$AK$15)</f>
        <v>27.452331176691594</v>
      </c>
      <c r="BH11" s="22">
        <f>((Data!$AJ$15*LN('Intermediate calculations'!BH2))+Data!$AK$15)</f>
        <v>27.225829371428837</v>
      </c>
      <c r="BI11" s="22">
        <f>((Data!$AJ$15*LN('Intermediate calculations'!BI2))+Data!$AK$15)</f>
        <v>27.003813046535555</v>
      </c>
      <c r="BJ11" s="22">
        <f>((Data!$AJ$15*LN('Intermediate calculations'!BJ2))+Data!$AK$15)</f>
        <v>26.786107991848816</v>
      </c>
      <c r="BK11" s="22">
        <f>((Data!$AJ$15*LN('Intermediate calculations'!BK2))+Data!$AK$15)</f>
        <v>26.572549953312176</v>
      </c>
    </row>
    <row r="12" spans="1:67" x14ac:dyDescent="0.25">
      <c r="A12" t="s">
        <v>328</v>
      </c>
      <c r="B12" t="s">
        <v>321</v>
      </c>
      <c r="C12" s="22">
        <v>1167000</v>
      </c>
      <c r="D12" s="22">
        <v>1153000</v>
      </c>
      <c r="E12" s="22">
        <v>1174000</v>
      </c>
      <c r="F12" s="22">
        <v>1092000</v>
      </c>
      <c r="G12" s="22">
        <v>1088000</v>
      </c>
      <c r="H12" s="22">
        <v>1397000</v>
      </c>
      <c r="I12" s="22">
        <v>1487000</v>
      </c>
      <c r="J12" s="22">
        <v>1571000</v>
      </c>
      <c r="K12" s="22">
        <v>1608000</v>
      </c>
      <c r="L12" s="22">
        <v>1606000</v>
      </c>
      <c r="M12" s="22">
        <v>1284000</v>
      </c>
      <c r="N12" s="22">
        <v>1575000</v>
      </c>
      <c r="O12" s="22">
        <v>1611000</v>
      </c>
      <c r="P12" s="22">
        <v>1528000</v>
      </c>
      <c r="Q12" s="22">
        <v>1626000</v>
      </c>
      <c r="R12" s="22">
        <v>1835000</v>
      </c>
      <c r="S12" s="22">
        <v>1697000</v>
      </c>
      <c r="T12" s="22">
        <v>1799000</v>
      </c>
      <c r="U12" s="22">
        <v>1819000</v>
      </c>
      <c r="V12" s="22">
        <v>1788000</v>
      </c>
      <c r="W12" s="22">
        <v>1868000</v>
      </c>
      <c r="X12" s="22">
        <v>1852000</v>
      </c>
      <c r="Y12" s="22">
        <f>((Data!$AJ$6*'Intermediate calculations'!Y4)+Data!$AK$6)*Drivers!Z4</f>
        <v>1952444.7982010767</v>
      </c>
      <c r="Z12" s="22">
        <f>((Data!$AJ$6*'Intermediate calculations'!Z4)+Data!$AK$6)*Drivers!AA4</f>
        <v>1993986.5150921517</v>
      </c>
      <c r="AA12" s="22">
        <f>((Data!$AJ$6*'Intermediate calculations'!AA4)+Data!$AK$6)*Drivers!AB4</f>
        <v>2029950.0419577006</v>
      </c>
      <c r="AB12" s="22">
        <f>((Data!$AJ$6*'Intermediate calculations'!AB4)+Data!$AK$6)*Drivers!AC4</f>
        <v>2061761.0928389486</v>
      </c>
      <c r="AC12" s="22">
        <f>((Data!$AJ$6*'Intermediate calculations'!AC4)+Data!$AK$6)*Drivers!AD4</f>
        <v>2089051.4468544477</v>
      </c>
      <c r="AD12" s="22">
        <f>((Data!$AJ$6*'Intermediate calculations'!AD4)+Data!$AK$6)*Drivers!AE4</f>
        <v>2123540.7186064878</v>
      </c>
      <c r="AE12" s="22">
        <f>((Data!$AJ$6*'Intermediate calculations'!AE4)+Data!$AK$6)*Drivers!AF4</f>
        <v>2156909.3902203115</v>
      </c>
      <c r="AF12" s="22">
        <f>((Data!$AJ$6*'Intermediate calculations'!AF4)+Data!$AK$6)*Drivers!AG4</f>
        <v>2190089.6961639659</v>
      </c>
      <c r="AG12" s="22">
        <f>((Data!$AJ$6*'Intermediate calculations'!AG4)+Data!$AK$6)*Drivers!AH4</f>
        <v>2116702.6179130487</v>
      </c>
      <c r="AH12" s="22">
        <f>((Data!$AJ$6*'Intermediate calculations'!AH4)+Data!$AK$6)*Drivers!AI4</f>
        <v>2158842.0056432644</v>
      </c>
      <c r="AI12" s="22">
        <f>((Data!$AJ$6*'Intermediate calculations'!AI4)+Data!$AK$6)*Drivers!AJ4</f>
        <v>2199995.4390439852</v>
      </c>
      <c r="AJ12" s="22">
        <f>((Data!$AJ$6*'Intermediate calculations'!AJ4)+Data!$AK$6)*Drivers!AK4</f>
        <v>2242057.4199411157</v>
      </c>
      <c r="AK12" s="22">
        <f>((Data!$AJ$6*'Intermediate calculations'!AK4)+Data!$AK$6)*Drivers!AL4</f>
        <v>2286444.4860460483</v>
      </c>
      <c r="AL12" s="22">
        <f>((Data!$AJ$6*'Intermediate calculations'!AL4)+Data!$AK$6)*Drivers!AM4</f>
        <v>2334203.3277648035</v>
      </c>
      <c r="AM12" s="22">
        <f>((Data!$AJ$6*'Intermediate calculations'!AM4)+Data!$AK$6)*Drivers!AN4</f>
        <v>2381537.7860347563</v>
      </c>
      <c r="AN12" s="22">
        <f>((Data!$AJ$6*'Intermediate calculations'!AN4)+Data!$AK$6)*Drivers!AO4</f>
        <v>2431312.5869452241</v>
      </c>
      <c r="AO12" s="22">
        <f>((Data!$AJ$6*'Intermediate calculations'!AO4)+Data!$AK$6)*Drivers!AP4</f>
        <v>2483800.6401596246</v>
      </c>
      <c r="AP12" s="22">
        <f>((Data!$AJ$6*'Intermediate calculations'!AP4)+Data!$AK$6)*Drivers!AQ4</f>
        <v>2541228.1707468452</v>
      </c>
      <c r="AQ12" s="22">
        <f>((Data!$AJ$6*'Intermediate calculations'!AQ4)+Data!$AK$6)*Drivers!AR4</f>
        <v>2598819.7028247165</v>
      </c>
      <c r="AR12" s="22">
        <f>((Data!$AJ$6*'Intermediate calculations'!AR4)+Data!$AK$6)*Drivers!AS4</f>
        <v>2662076.3867106875</v>
      </c>
      <c r="AS12" s="22">
        <f>((Data!$AJ$6*'Intermediate calculations'!AS4)+Data!$AK$6)*Drivers!AT4</f>
        <v>2727495.2000997025</v>
      </c>
      <c r="AT12" s="22">
        <f>((Data!$AJ$6*'Intermediate calculations'!AT4)+Data!$AK$6)*Drivers!AU4</f>
        <v>2794882.19249294</v>
      </c>
      <c r="AU12" s="22">
        <f>((Data!$AJ$6*'Intermediate calculations'!AU4)+Data!$AK$6)*Drivers!AV4</f>
        <v>2864023.5039529298</v>
      </c>
      <c r="AV12" s="22">
        <f>((Data!$AJ$6*'Intermediate calculations'!AV4)+Data!$AK$6)*Drivers!AW4</f>
        <v>2929840.047651534</v>
      </c>
      <c r="AW12" s="22">
        <f>((Data!$AJ$6*'Intermediate calculations'!AW4)+Data!$AK$6)*Drivers!AX4</f>
        <v>2996665.6590479095</v>
      </c>
      <c r="AX12" s="22">
        <f>((Data!$AJ$6*'Intermediate calculations'!AX4)+Data!$AK$6)*Drivers!AY4</f>
        <v>3067556.193185857</v>
      </c>
      <c r="AY12" s="22">
        <f>((Data!$AJ$6*'Intermediate calculations'!AY4)+Data!$AK$6)*Drivers!AZ4</f>
        <v>3141526.7038634908</v>
      </c>
      <c r="AZ12" s="22">
        <f>((Data!$AJ$6*'Intermediate calculations'!AZ4)+Data!$AK$6)*Drivers!BA4</f>
        <v>3214779.1851071143</v>
      </c>
      <c r="BA12" s="22">
        <f>((Data!$AJ$6*'Intermediate calculations'!BA4)+Data!$AK$6)*Drivers!BB4</f>
        <v>3289403.8077923278</v>
      </c>
      <c r="BB12" s="22">
        <f>((Data!$AJ$6*'Intermediate calculations'!BB4)+Data!$AK$6)*Drivers!BC4</f>
        <v>3365186.0912713772</v>
      </c>
      <c r="BC12" s="22">
        <f>((Data!$AJ$6*'Intermediate calculations'!BC4)+Data!$AK$6)*Drivers!BD4</f>
        <v>3444411.3330138004</v>
      </c>
      <c r="BD12" s="22">
        <f>((Data!$AJ$6*'Intermediate calculations'!BD4)+Data!$AK$6)*Drivers!BE4</f>
        <v>3527845.2059895643</v>
      </c>
      <c r="BE12" s="22">
        <f>((Data!$AJ$6*'Intermediate calculations'!BE4)+Data!$AK$6)*Drivers!BF4</f>
        <v>3615254.1208764254</v>
      </c>
      <c r="BF12" s="22">
        <f>((Data!$AJ$6*'Intermediate calculations'!BF4)+Data!$AK$6)*Drivers!BG4</f>
        <v>3708229.718510251</v>
      </c>
      <c r="BG12" s="22">
        <f>((Data!$AJ$6*'Intermediate calculations'!BG4)+Data!$AK$6)*Drivers!BH4</f>
        <v>3804435.2146256305</v>
      </c>
      <c r="BH12" s="22">
        <f>((Data!$AJ$6*'Intermediate calculations'!BH4)+Data!$AK$6)*Drivers!BI4</f>
        <v>3904777.5342334518</v>
      </c>
      <c r="BI12" s="22">
        <f>((Data!$AJ$6*'Intermediate calculations'!BI4)+Data!$AK$6)*Drivers!BJ4</f>
        <v>4005354.1195641388</v>
      </c>
      <c r="BJ12" s="22">
        <f>((Data!$AJ$6*'Intermediate calculations'!BJ4)+Data!$AK$6)*Drivers!BK4</f>
        <v>4110459.2423868068</v>
      </c>
      <c r="BK12" s="22">
        <f>((Data!$AJ$6*'Intermediate calculations'!BK4)+Data!$AK$6)*Drivers!BL4</f>
        <v>4221140.2446385315</v>
      </c>
    </row>
    <row r="13" spans="1:67" x14ac:dyDescent="0.25">
      <c r="A13" t="s">
        <v>328</v>
      </c>
      <c r="B13" t="s">
        <v>663</v>
      </c>
      <c r="C13" s="53">
        <f>C12*ttokg/Drivers!D4</f>
        <v>31.711517903189872</v>
      </c>
      <c r="D13" s="53">
        <f>D12*ttokg/Drivers!E4</f>
        <v>30.568189199328188</v>
      </c>
      <c r="E13" s="53">
        <f>E12*ttokg/Drivers!F4</f>
        <v>30.357405178295842</v>
      </c>
      <c r="F13" s="53">
        <f>F12*ttokg/Drivers!G4</f>
        <v>27.552275522755227</v>
      </c>
      <c r="G13" s="53">
        <f>G12*ttokg/Drivers!H4</f>
        <v>26.821773432486133</v>
      </c>
      <c r="H13" s="53">
        <f>H12*ttokg/Drivers!I4</f>
        <v>33.714841176550941</v>
      </c>
      <c r="I13" s="53">
        <f>I12*ttokg/Drivers!J4</f>
        <v>35.202755918886503</v>
      </c>
      <c r="J13" s="53">
        <f>J12*ttokg/Drivers!K4</f>
        <v>36.545540570539863</v>
      </c>
      <c r="K13" s="53">
        <f>K12*ttokg/Drivers!L4</f>
        <v>36.811282200142578</v>
      </c>
      <c r="L13" s="53">
        <f>L12*ttokg/Drivers!M4</f>
        <v>36.22130749763248</v>
      </c>
      <c r="M13" s="53">
        <f>M12*ttokg/Drivers!N4</f>
        <v>28.553823557117923</v>
      </c>
      <c r="N13" s="53">
        <f>N12*ttokg/Drivers!O4</f>
        <v>34.561245753190924</v>
      </c>
      <c r="O13" s="53">
        <f>O12*ttokg/Drivers!P4</f>
        <v>34.907218411908772</v>
      </c>
      <c r="P13" s="53">
        <f>P12*ttokg/Drivers!Q4</f>
        <v>32.706042287200319</v>
      </c>
      <c r="Q13" s="53">
        <f>Q12*ttokg/Drivers!R4</f>
        <v>34.38242005294385</v>
      </c>
      <c r="R13" s="53">
        <f>R12*ttokg/Drivers!S4</f>
        <v>38.324498057156802</v>
      </c>
      <c r="S13" s="53">
        <f>S12*ttokg/Drivers!T4</f>
        <v>34.997297041404401</v>
      </c>
      <c r="T13" s="53">
        <f>T12*ttokg/Drivers!U4</f>
        <v>36.624772527894528</v>
      </c>
      <c r="U13" s="53">
        <f>U12*ttokg/Drivers!V4</f>
        <v>36.541167743626687</v>
      </c>
      <c r="V13" s="53">
        <f>V12*ttokg/Drivers!W4</f>
        <v>35.422065700364072</v>
      </c>
      <c r="W13" s="53">
        <f>W12*ttokg/Drivers!X4</f>
        <v>36.472290704306488</v>
      </c>
      <c r="X13" s="53">
        <f>X12*ttokg/Drivers!Y4</f>
        <v>35.612527394917471</v>
      </c>
      <c r="Y13" s="53">
        <f>Y12*ttokg/Drivers!Z4</f>
        <v>37.313495381900694</v>
      </c>
      <c r="Z13" s="53">
        <f>Z12*ttokg/Drivers!AA4</f>
        <v>37.548433341816121</v>
      </c>
      <c r="AA13" s="53">
        <f>AA12*ttokg/Drivers!AB4</f>
        <v>37.652772530447727</v>
      </c>
      <c r="AB13" s="53">
        <f>AB12*ttokg/Drivers!AC4</f>
        <v>37.65739882802923</v>
      </c>
      <c r="AC13" s="53">
        <f>AC12*ttokg/Drivers!AD4</f>
        <v>37.559397388924012</v>
      </c>
      <c r="AD13" s="53">
        <f>AD12*ttokg/Drivers!AE4</f>
        <v>37.570196926718815</v>
      </c>
      <c r="AE13" s="53">
        <f>AE12*ttokg/Drivers!AF4</f>
        <v>37.553265670288553</v>
      </c>
      <c r="AF13" s="53">
        <f>AF12*ttokg/Drivers!AG4</f>
        <v>37.524130738956487</v>
      </c>
      <c r="AG13" s="53">
        <f>AG12*ttokg/Drivers!AH4</f>
        <v>35.689586431820508</v>
      </c>
      <c r="AH13" s="53">
        <f>AH12*ttokg/Drivers!AI4</f>
        <v>35.985749824863959</v>
      </c>
      <c r="AI13" s="53">
        <f>AI12*ttokg/Drivers!AJ4</f>
        <v>36.254298420695179</v>
      </c>
      <c r="AJ13" s="53">
        <f>AJ12*ttokg/Drivers!AK4</f>
        <v>36.526872087684488</v>
      </c>
      <c r="AK13" s="53">
        <f>AK12*ttokg/Drivers!AL4</f>
        <v>36.825990979130495</v>
      </c>
      <c r="AL13" s="53">
        <f>AL12*ttokg/Drivers!AM4</f>
        <v>37.167255496585362</v>
      </c>
      <c r="AM13" s="53">
        <f>AM12*ttokg/Drivers!AN4</f>
        <v>37.551210677273374</v>
      </c>
      <c r="AN13" s="53">
        <f>AN12*ttokg/Drivers!AO4</f>
        <v>37.962248104131199</v>
      </c>
      <c r="AO13" s="53">
        <f>AO12*ttokg/Drivers!AP4</f>
        <v>38.40365125619342</v>
      </c>
      <c r="AP13" s="53">
        <f>AP12*ttokg/Drivers!AQ4</f>
        <v>38.908465340550649</v>
      </c>
      <c r="AQ13" s="53">
        <f>AQ12*ttokg/Drivers!AR4</f>
        <v>39.402270553404797</v>
      </c>
      <c r="AR13" s="53">
        <f>AR12*ttokg/Drivers!AS4</f>
        <v>40.019803357459999</v>
      </c>
      <c r="AS13" s="53">
        <f>AS12*ttokg/Drivers!AT4</f>
        <v>40.656292415897077</v>
      </c>
      <c r="AT13" s="53">
        <f>AT12*ttokg/Drivers!AU4</f>
        <v>41.308233389368802</v>
      </c>
      <c r="AU13" s="53">
        <f>AU12*ttokg/Drivers!AV4</f>
        <v>41.971938940497303</v>
      </c>
      <c r="AV13" s="53">
        <f>AV12*ttokg/Drivers!AW4</f>
        <v>42.573142146891776</v>
      </c>
      <c r="AW13" s="53">
        <f>AW12*ttokg/Drivers!AX4</f>
        <v>43.227700058508667</v>
      </c>
      <c r="AX13" s="53">
        <f>AX12*ttokg/Drivers!AY4</f>
        <v>43.928705961002144</v>
      </c>
      <c r="AY13" s="53">
        <f>AY12*ttokg/Drivers!AZ4</f>
        <v>44.661024703953515</v>
      </c>
      <c r="AZ13" s="53">
        <f>AZ12*ttokg/Drivers!BA4</f>
        <v>45.370244527477496</v>
      </c>
      <c r="BA13" s="53">
        <f>BA12*ttokg/Drivers!BB4</f>
        <v>46.086020391875138</v>
      </c>
      <c r="BB13" s="53">
        <f>BB12*ttokg/Drivers!BC4</f>
        <v>46.856740208950143</v>
      </c>
      <c r="BC13" s="53">
        <f>BC12*ttokg/Drivers!BD4</f>
        <v>47.663833155165293</v>
      </c>
      <c r="BD13" s="53">
        <f>BD12*ttokg/Drivers!BE4</f>
        <v>48.517056744015989</v>
      </c>
      <c r="BE13" s="53">
        <f>BE12*ttokg/Drivers!BF4</f>
        <v>49.412260833741989</v>
      </c>
      <c r="BF13" s="53">
        <f>BF12*ttokg/Drivers!BG4</f>
        <v>50.3701791167016</v>
      </c>
      <c r="BG13" s="53">
        <f>BG12*ttokg/Drivers!BH4</f>
        <v>51.414509121992495</v>
      </c>
      <c r="BH13" s="53">
        <f>BH12*ttokg/Drivers!BI4</f>
        <v>52.502554267962999</v>
      </c>
      <c r="BI13" s="53">
        <f>BI12*ttokg/Drivers!BJ4</f>
        <v>53.581354859106774</v>
      </c>
      <c r="BJ13" s="53">
        <f>BJ12*ttokg/Drivers!BK4</f>
        <v>54.708115383150478</v>
      </c>
      <c r="BK13" s="53">
        <f>BK12*ttokg/Drivers!BL4</f>
        <v>55.895883513386643</v>
      </c>
    </row>
    <row r="14" spans="1:67" x14ac:dyDescent="0.25">
      <c r="A14" t="s">
        <v>328</v>
      </c>
      <c r="B14" t="s">
        <v>322</v>
      </c>
      <c r="C14" s="53">
        <f>C12/Drivers!D4</f>
        <v>3.1711517903189872E-2</v>
      </c>
      <c r="D14" s="53">
        <f>D12/Drivers!E4</f>
        <v>3.0568189199328188E-2</v>
      </c>
      <c r="E14" s="53">
        <f>E12/Drivers!F4</f>
        <v>3.035740517829584E-2</v>
      </c>
      <c r="F14" s="53">
        <f>F12/Drivers!G4</f>
        <v>2.7552275522755229E-2</v>
      </c>
      <c r="G14" s="53">
        <f>G12/Drivers!H4</f>
        <v>2.6821773432486134E-2</v>
      </c>
      <c r="H14" s="53">
        <f>H12/Drivers!I4</f>
        <v>3.3714841176550943E-2</v>
      </c>
      <c r="I14" s="53">
        <f>I12/Drivers!J4</f>
        <v>3.5202755918886504E-2</v>
      </c>
      <c r="J14" s="53">
        <f>J12/Drivers!K4</f>
        <v>3.654554057053986E-2</v>
      </c>
      <c r="K14" s="53">
        <f>K12/Drivers!L4</f>
        <v>3.6811282200142577E-2</v>
      </c>
      <c r="L14" s="53">
        <f>L12/Drivers!M4</f>
        <v>3.6221307497632478E-2</v>
      </c>
      <c r="M14" s="53">
        <f>M12/Drivers!N4</f>
        <v>2.855382355711792E-2</v>
      </c>
      <c r="N14" s="53">
        <f>N12/Drivers!O4</f>
        <v>3.4561245753190924E-2</v>
      </c>
      <c r="O14" s="53">
        <f>O12/Drivers!P4</f>
        <v>3.4907218411908775E-2</v>
      </c>
      <c r="P14" s="53">
        <f>P12/Drivers!Q4</f>
        <v>3.2706042287200317E-2</v>
      </c>
      <c r="Q14" s="53">
        <f>Q12/Drivers!R4</f>
        <v>3.4382420052943855E-2</v>
      </c>
      <c r="R14" s="53">
        <f>R12/Drivers!S4</f>
        <v>3.8324498057156799E-2</v>
      </c>
      <c r="S14" s="53">
        <f>S12/Drivers!T4</f>
        <v>3.4997297041404404E-2</v>
      </c>
      <c r="T14" s="53">
        <f>T12/Drivers!U4</f>
        <v>3.6624772527894527E-2</v>
      </c>
      <c r="U14" s="53">
        <f>U12/Drivers!V4</f>
        <v>3.6541167743626687E-2</v>
      </c>
      <c r="V14" s="53">
        <f>V12/Drivers!W4</f>
        <v>3.5422065700364075E-2</v>
      </c>
      <c r="W14" s="53">
        <f>W12/Drivers!X4</f>
        <v>3.6472290704306486E-2</v>
      </c>
      <c r="X14" s="53">
        <f>X12/Drivers!Y4</f>
        <v>3.5612527394917472E-2</v>
      </c>
      <c r="Y14" s="22">
        <f>((Data!$AJ$6*LN('Intermediate calculations'!Y4))+Data!$AK$6)</f>
        <v>1.8088984089652708E-2</v>
      </c>
      <c r="Z14" s="22">
        <f>((Data!$AJ$6*LN('Intermediate calculations'!Z4))+Data!$AK$6)</f>
        <v>1.8093208666226927E-2</v>
      </c>
      <c r="AA14" s="22">
        <f>((Data!$AJ$6*LN('Intermediate calculations'!AA4))+Data!$AK$6)</f>
        <v>1.8095069698523897E-2</v>
      </c>
      <c r="AB14" s="22">
        <f>((Data!$AJ$6*LN('Intermediate calculations'!AB4))+Data!$AK$6)</f>
        <v>1.8095152001339279E-2</v>
      </c>
      <c r="AC14" s="22">
        <f>((Data!$AJ$6*LN('Intermediate calculations'!AC4))+Data!$AK$6)</f>
        <v>1.809340466003221E-2</v>
      </c>
      <c r="AD14" s="22">
        <f>((Data!$AJ$6*LN('Intermediate calculations'!AD4))+Data!$AK$6)</f>
        <v>1.8093597612929568E-2</v>
      </c>
      <c r="AE14" s="22">
        <f>((Data!$AJ$6*LN('Intermediate calculations'!AE4))+Data!$AK$6)</f>
        <v>1.8093295061780888E-2</v>
      </c>
      <c r="AF14" s="22">
        <f>((Data!$AJ$6*LN('Intermediate calculations'!AF4))+Data!$AK$6)</f>
        <v>1.8092773866120911E-2</v>
      </c>
      <c r="AG14" s="22">
        <f>((Data!$AJ$6*LN('Intermediate calculations'!AG4))+Data!$AK$6)</f>
        <v>1.8058404211658035E-2</v>
      </c>
      <c r="AH14" s="22">
        <f>((Data!$AJ$6*LN('Intermediate calculations'!AH4))+Data!$AK$6)</f>
        <v>1.8064170496580757E-2</v>
      </c>
      <c r="AI14" s="22">
        <f>((Data!$AJ$6*LN('Intermediate calculations'!AI4))+Data!$AK$6)</f>
        <v>1.8069323529450461E-2</v>
      </c>
      <c r="AJ14" s="22">
        <f>((Data!$AJ$6*LN('Intermediate calculations'!AJ4))+Data!$AK$6)</f>
        <v>1.8074482348139135E-2</v>
      </c>
      <c r="AK14" s="22">
        <f>((Data!$AJ$6*LN('Intermediate calculations'!AK4))+Data!$AK$6)</f>
        <v>1.8080063042411106E-2</v>
      </c>
      <c r="AL14" s="22">
        <f>((Data!$AJ$6*LN('Intermediate calculations'!AL4))+Data!$AK$6)</f>
        <v>1.8086330205801082E-2</v>
      </c>
      <c r="AM14" s="22">
        <f>((Data!$AJ$6*LN('Intermediate calculations'!AM4))+Data!$AK$6)</f>
        <v>1.8093258323694537E-2</v>
      </c>
      <c r="AN14" s="22">
        <f>((Data!$AJ$6*LN('Intermediate calculations'!AN4))+Data!$AK$6)</f>
        <v>1.8100535889139534E-2</v>
      </c>
      <c r="AO14" s="22">
        <f>((Data!$AJ$6*LN('Intermediate calculations'!AO4))+Data!$AK$6)</f>
        <v>1.8108196890475388E-2</v>
      </c>
      <c r="AP14" s="22">
        <f>((Data!$AJ$6*LN('Intermediate calculations'!AP4))+Data!$AK$6)</f>
        <v>1.811677071975578E-2</v>
      </c>
      <c r="AQ14" s="22">
        <f>((Data!$AJ$6*LN('Intermediate calculations'!AQ4))+Data!$AK$6)</f>
        <v>1.8124972007040913E-2</v>
      </c>
      <c r="AR14" s="22">
        <f>((Data!$AJ$6*LN('Intermediate calculations'!AR4))+Data!$AK$6)</f>
        <v>1.8134981967845982E-2</v>
      </c>
      <c r="AS14" s="22">
        <f>((Data!$AJ$6*LN('Intermediate calculations'!AS4))+Data!$AK$6)</f>
        <v>1.8145026863413991E-2</v>
      </c>
      <c r="AT14" s="22">
        <f>((Data!$AJ$6*LN('Intermediate calculations'!AT4))+Data!$AK$6)</f>
        <v>1.8155043938758279E-2</v>
      </c>
      <c r="AU14" s="22">
        <f>((Data!$AJ$6*LN('Intermediate calculations'!AU4))+Data!$AK$6)</f>
        <v>1.816497402351399E-2</v>
      </c>
      <c r="AV14" s="22">
        <f>((Data!$AJ$6*LN('Intermediate calculations'!AV4))+Data!$AK$6)</f>
        <v>1.8173747398115635E-2</v>
      </c>
      <c r="AW14" s="22">
        <f>((Data!$AJ$6*LN('Intermediate calculations'!AW4))+Data!$AK$6)</f>
        <v>1.8183071527704802E-2</v>
      </c>
      <c r="AX14" s="22">
        <f>((Data!$AJ$6*LN('Intermediate calculations'!AX4))+Data!$AK$6)</f>
        <v>1.8192806615959255E-2</v>
      </c>
      <c r="AY14" s="22">
        <f>((Data!$AJ$6*LN('Intermediate calculations'!AY4))+Data!$AK$6)</f>
        <v>1.8202713551034103E-2</v>
      </c>
      <c r="AZ14" s="22">
        <f>((Data!$AJ$6*LN('Intermediate calculations'!AZ4))+Data!$AK$6)</f>
        <v>1.8212064705017177E-2</v>
      </c>
      <c r="BA14" s="22">
        <f>((Data!$AJ$6*LN('Intermediate calculations'!BA4))+Data!$AK$6)</f>
        <v>1.8221271555549288E-2</v>
      </c>
      <c r="BB14" s="22">
        <f>((Data!$AJ$6*LN('Intermediate calculations'!BB4))+Data!$AK$6)</f>
        <v>1.8230938646025277E-2</v>
      </c>
      <c r="BC14" s="22">
        <f>((Data!$AJ$6*LN('Intermediate calculations'!BC4))+Data!$AK$6)</f>
        <v>1.8240801635031924E-2</v>
      </c>
      <c r="BD14" s="22">
        <f>((Data!$AJ$6*LN('Intermediate calculations'!BD4))+Data!$AK$6)</f>
        <v>1.8250953653986601E-2</v>
      </c>
      <c r="BE14" s="22">
        <f>((Data!$AJ$6*LN('Intermediate calculations'!BE4))+Data!$AK$6)</f>
        <v>1.8261317624276859E-2</v>
      </c>
      <c r="BF14" s="22">
        <f>((Data!$AJ$6*LN('Intermediate calculations'!BF4))+Data!$AK$6)</f>
        <v>1.8272099189795325E-2</v>
      </c>
      <c r="BG14" s="22">
        <f>((Data!$AJ$6*LN('Intermediate calculations'!BG4))+Data!$AK$6)</f>
        <v>1.8283510434910159E-2</v>
      </c>
      <c r="BH14" s="22">
        <f>((Data!$AJ$6*LN('Intermediate calculations'!BH4))+Data!$AK$6)</f>
        <v>1.8295041027924192E-2</v>
      </c>
      <c r="BI14" s="22">
        <f>((Data!$AJ$6*LN('Intermediate calculations'!BI4))+Data!$AK$6)</f>
        <v>1.8306133834808124E-2</v>
      </c>
      <c r="BJ14" s="22">
        <f>((Data!$AJ$6*LN('Intermediate calculations'!BJ4))+Data!$AK$6)</f>
        <v>1.8317379643938637E-2</v>
      </c>
      <c r="BK14" s="22">
        <f>((Data!$AJ$6*LN('Intermediate calculations'!BK4))+Data!$AK$6)</f>
        <v>1.8328880048936413E-2</v>
      </c>
    </row>
    <row r="15" spans="1:67" x14ac:dyDescent="0.25">
      <c r="A15" t="s">
        <v>329</v>
      </c>
      <c r="B15" t="s">
        <v>321</v>
      </c>
      <c r="C15" s="22">
        <v>2119000</v>
      </c>
      <c r="D15" s="22">
        <v>2163000</v>
      </c>
      <c r="E15" s="22">
        <v>2107000</v>
      </c>
      <c r="F15" s="22">
        <v>2002000</v>
      </c>
      <c r="G15" s="22">
        <v>2006000</v>
      </c>
      <c r="H15" s="22">
        <v>2297000</v>
      </c>
      <c r="I15" s="22">
        <v>2450000</v>
      </c>
      <c r="J15" s="22">
        <v>2437000</v>
      </c>
      <c r="K15" s="22">
        <v>2501000</v>
      </c>
      <c r="L15" s="22">
        <v>2543000</v>
      </c>
      <c r="M15" s="22">
        <v>2370000</v>
      </c>
      <c r="N15" s="22">
        <v>2358000</v>
      </c>
      <c r="O15" s="22">
        <v>2457000</v>
      </c>
      <c r="P15" s="22">
        <v>2354000</v>
      </c>
      <c r="Q15" s="22">
        <v>2505000</v>
      </c>
      <c r="R15" s="22">
        <v>2657000</v>
      </c>
      <c r="S15" s="22">
        <v>2513000</v>
      </c>
      <c r="T15" s="22">
        <v>2559000</v>
      </c>
      <c r="U15" s="22">
        <v>2625000</v>
      </c>
      <c r="V15" s="22">
        <v>2587000</v>
      </c>
      <c r="W15" s="22">
        <v>2711000</v>
      </c>
      <c r="X15" s="22">
        <v>2720000</v>
      </c>
      <c r="Y15" s="22">
        <f>((Data!$AJ$17*'Intermediate calculations'!Y12)+Data!$AK$17)</f>
        <v>2855854.3142151339</v>
      </c>
      <c r="Z15" s="22">
        <f>((Data!$AJ$17*'Intermediate calculations'!Z12)+Data!$AK$17)</f>
        <v>2901307.2856167117</v>
      </c>
      <c r="AA15" s="22">
        <f>((Data!$AJ$17*'Intermediate calculations'!AA12)+Data!$AK$17)</f>
        <v>2940656.8667234778</v>
      </c>
      <c r="AB15" s="22">
        <f>((Data!$AJ$17*'Intermediate calculations'!AB12)+Data!$AK$17)</f>
        <v>2975463.0060496582</v>
      </c>
      <c r="AC15" s="22">
        <f>((Data!$AJ$17*'Intermediate calculations'!AC12)+Data!$AK$17)</f>
        <v>3005322.8138148962</v>
      </c>
      <c r="AD15" s="22">
        <f>((Data!$AJ$17*'Intermediate calculations'!AD12)+Data!$AK$17)</f>
        <v>3043059.3350741686</v>
      </c>
      <c r="AE15" s="22">
        <f>((Data!$AJ$17*'Intermediate calculations'!AE12)+Data!$AK$17)</f>
        <v>3079569.7489443673</v>
      </c>
      <c r="AF15" s="22">
        <f>((Data!$AJ$17*'Intermediate calculations'!AF12)+Data!$AK$17)</f>
        <v>3115874.0620546555</v>
      </c>
      <c r="AG15" s="22">
        <f>((Data!$AJ$17*'Intermediate calculations'!AG12)+Data!$AK$17)</f>
        <v>3035577.4104326097</v>
      </c>
      <c r="AH15" s="22">
        <f>((Data!$AJ$17*'Intermediate calculations'!AH12)+Data!$AK$17)</f>
        <v>3081684.324848393</v>
      </c>
      <c r="AI15" s="22">
        <f>((Data!$AJ$17*'Intermediate calculations'!AI12)+Data!$AK$17)</f>
        <v>3126712.4549168823</v>
      </c>
      <c r="AJ15" s="22">
        <f>((Data!$AJ$17*'Intermediate calculations'!AJ12)+Data!$AK$17)</f>
        <v>3172734.6744564353</v>
      </c>
      <c r="AK15" s="22">
        <f>((Data!$AJ$17*'Intermediate calculations'!AK12)+Data!$AK$17)</f>
        <v>3221300.8916774886</v>
      </c>
      <c r="AL15" s="22">
        <f>((Data!$AJ$17*'Intermediate calculations'!AL12)+Data!$AK$17)</f>
        <v>3273556.3454543985</v>
      </c>
      <c r="AM15" s="22">
        <f>((Data!$AJ$17*'Intermediate calculations'!AM12)+Data!$AK$17)</f>
        <v>3325347.4590401631</v>
      </c>
      <c r="AN15" s="22">
        <f>((Data!$AJ$17*'Intermediate calculations'!AN12)+Data!$AK$17)</f>
        <v>3379808.679510057</v>
      </c>
      <c r="AO15" s="22">
        <f>((Data!$AJ$17*'Intermediate calculations'!AO12)+Data!$AK$17)</f>
        <v>3437238.6116415141</v>
      </c>
      <c r="AP15" s="22">
        <f>((Data!$AJ$17*'Intermediate calculations'!AP12)+Data!$AK$17)</f>
        <v>3500073.0850526253</v>
      </c>
      <c r="AQ15" s="22">
        <f>((Data!$AJ$17*'Intermediate calculations'!AQ12)+Data!$AK$17)</f>
        <v>3563087.0010968838</v>
      </c>
      <c r="AR15" s="22">
        <f>((Data!$AJ$17*'Intermediate calculations'!AR12)+Data!$AK$17)</f>
        <v>3632299.4568835972</v>
      </c>
      <c r="AS15" s="22">
        <f>((Data!$AJ$17*'Intermediate calculations'!AS12)+Data!$AK$17)</f>
        <v>3703877.6119678635</v>
      </c>
      <c r="AT15" s="22">
        <f>((Data!$AJ$17*'Intermediate calculations'!AT12)+Data!$AK$17)</f>
        <v>3777609.2549358075</v>
      </c>
      <c r="AU15" s="22">
        <f>((Data!$AJ$17*'Intermediate calculations'!AU12)+Data!$AK$17)</f>
        <v>3853260.3904124377</v>
      </c>
      <c r="AV15" s="22">
        <f>((Data!$AJ$17*'Intermediate calculations'!AV12)+Data!$AK$17)</f>
        <v>3925273.723090223</v>
      </c>
      <c r="AW15" s="22">
        <f>((Data!$AJ$17*'Intermediate calculations'!AW12)+Data!$AK$17)</f>
        <v>3998391.1296638781</v>
      </c>
      <c r="AX15" s="22">
        <f>((Data!$AJ$17*'Intermediate calculations'!AX12)+Data!$AK$17)</f>
        <v>4075956.1814228958</v>
      </c>
      <c r="AY15" s="22">
        <f>((Data!$AJ$17*'Intermediate calculations'!AY12)+Data!$AK$17)</f>
        <v>4156891.1970652789</v>
      </c>
      <c r="AZ15" s="22">
        <f>((Data!$AJ$17*'Intermediate calculations'!AZ12)+Data!$AK$17)</f>
        <v>4237040.5790417464</v>
      </c>
      <c r="BA15" s="22">
        <f>((Data!$AJ$17*'Intermediate calculations'!BA12)+Data!$AK$17)</f>
        <v>4318691.2929411829</v>
      </c>
      <c r="BB15" s="22">
        <f>((Data!$AJ$17*'Intermediate calculations'!BB12)+Data!$AK$17)</f>
        <v>4401608.6642369162</v>
      </c>
      <c r="BC15" s="22">
        <f>((Data!$AJ$17*'Intermediate calculations'!BC12)+Data!$AK$17)</f>
        <v>4488293.1567590609</v>
      </c>
      <c r="BD15" s="22">
        <f>((Data!$AJ$17*'Intermediate calculations'!BD12)+Data!$AK$17)</f>
        <v>4579582.533465228</v>
      </c>
      <c r="BE15" s="22">
        <f>((Data!$AJ$17*'Intermediate calculations'!BE12)+Data!$AK$17)</f>
        <v>4675221.2120256955</v>
      </c>
      <c r="BF15" s="22">
        <f>((Data!$AJ$17*'Intermediate calculations'!BF12)+Data!$AK$17)</f>
        <v>4776950.6901639188</v>
      </c>
      <c r="BG15" s="22">
        <f>((Data!$AJ$17*'Intermediate calculations'!BG12)+Data!$AK$17)</f>
        <v>4882214.1696458282</v>
      </c>
      <c r="BH15" s="22">
        <f>((Data!$AJ$17*'Intermediate calculations'!BH12)+Data!$AK$17)</f>
        <v>4992003.9646959733</v>
      </c>
      <c r="BI15" s="22">
        <f>((Data!$AJ$17*'Intermediate calculations'!BI12)+Data!$AK$17)</f>
        <v>5102050.0821612393</v>
      </c>
      <c r="BJ15" s="22">
        <f>((Data!$AJ$17*'Intermediate calculations'!BJ12)+Data!$AK$17)</f>
        <v>5217051.1100278664</v>
      </c>
      <c r="BK15" s="22">
        <f>((Data!$AJ$17*'Intermediate calculations'!BK12)+Data!$AK$17)</f>
        <v>5338153.0000445135</v>
      </c>
    </row>
    <row r="16" spans="1:67" x14ac:dyDescent="0.25">
      <c r="A16" t="s">
        <v>840</v>
      </c>
      <c r="B16" t="s">
        <v>815</v>
      </c>
      <c r="C16" s="22">
        <f>Data!C18</f>
        <v>0.69526800377536568</v>
      </c>
      <c r="D16" s="22">
        <f>Data!D18</f>
        <v>0.78019747572815545</v>
      </c>
      <c r="E16" s="22">
        <f>Data!E18</f>
        <v>0.69287114855244414</v>
      </c>
      <c r="F16" s="22">
        <f>Data!F18</f>
        <v>0.76935057442557442</v>
      </c>
      <c r="G16" s="22">
        <f>Data!G18</f>
        <v>0.70104982552342976</v>
      </c>
      <c r="H16" s="22">
        <f>Data!H18</f>
        <v>0.65888248585111009</v>
      </c>
      <c r="I16" s="22">
        <f>Data!I18</f>
        <v>0.62320263673469389</v>
      </c>
      <c r="J16" s="22">
        <f>Data!J18</f>
        <v>0.60454366023799755</v>
      </c>
      <c r="K16" s="22">
        <f>Data!K18</f>
        <v>0.57300788884446219</v>
      </c>
      <c r="L16" s="22">
        <f>Data!L18</f>
        <v>0.56881090051120731</v>
      </c>
      <c r="M16" s="22">
        <f>Data!M18</f>
        <v>0.77421705907173</v>
      </c>
      <c r="N16" s="22">
        <f>Data!N18</f>
        <v>0.77247711620016968</v>
      </c>
      <c r="O16" s="22">
        <f>Data!O18</f>
        <v>0.65958493691493691</v>
      </c>
      <c r="P16" s="22">
        <f>Data!P18</f>
        <v>0.60879045454545455</v>
      </c>
      <c r="Q16" s="22">
        <f>Data!Q18</f>
        <v>0.5453595928143713</v>
      </c>
      <c r="R16" s="22">
        <f>Data!R18</f>
        <v>0.55448735415882566</v>
      </c>
      <c r="S16" s="22">
        <f>Data!S18</f>
        <v>0.57560132113012341</v>
      </c>
      <c r="T16" s="22">
        <f>Data!T18</f>
        <v>0.56525444314185236</v>
      </c>
      <c r="U16" s="22">
        <f>Data!U18</f>
        <v>0.66329169523809528</v>
      </c>
      <c r="V16" s="22">
        <f>Data!V18</f>
        <v>0.69374343254735216</v>
      </c>
      <c r="W16" s="22">
        <f>Data!W18</f>
        <v>0.66201189966801921</v>
      </c>
      <c r="X16" s="22">
        <f>Data!X18</f>
        <v>0.63027717647058834</v>
      </c>
      <c r="Y16" s="22">
        <f>((Data!$AJ$18*LN('Intermediate calculations'!Y2))+Data!$AK$18)</f>
        <v>0.59036032260533733</v>
      </c>
      <c r="Z16" s="22">
        <f>((Data!$AJ$18*LN('Intermediate calculations'!Z2))+Data!$AK$18)</f>
        <v>0.58537997662592556</v>
      </c>
      <c r="AA16" s="22">
        <f>((Data!$AJ$18*LN('Intermediate calculations'!AA2))+Data!$AK$18)</f>
        <v>0.58070166069623075</v>
      </c>
      <c r="AB16" s="22">
        <f>((Data!$AJ$18*LN('Intermediate calculations'!AB2))+Data!$AK$18)</f>
        <v>0.57629082711126922</v>
      </c>
      <c r="AC16" s="22">
        <f>((Data!$AJ$18*LN('Intermediate calculations'!AC2))+Data!$AK$18)</f>
        <v>0.57211853646492172</v>
      </c>
      <c r="AD16" s="22">
        <f>((Data!$AJ$18*LN('Intermediate calculations'!AD2))+Data!$AK$18)</f>
        <v>0.56816030581489985</v>
      </c>
      <c r="AE16" s="22">
        <f>((Data!$AJ$18*LN('Intermediate calculations'!AE2))+Data!$AK$18)</f>
        <v>0.56439523816734538</v>
      </c>
      <c r="AF16" s="22">
        <f>((Data!$AJ$18*LN('Intermediate calculations'!AF2))+Data!$AK$18)</f>
        <v>0.56080535465675874</v>
      </c>
      <c r="AG16" s="22">
        <f>((Data!$AJ$18*LN('Intermediate calculations'!AG2))+Data!$AK$18)</f>
        <v>0.5573750752965374</v>
      </c>
      <c r="AH16" s="22">
        <f>((Data!$AJ$18*LN('Intermediate calculations'!AH2))+Data!$AK$18)</f>
        <v>0.55409081032083174</v>
      </c>
      <c r="AI16" s="22">
        <f>((Data!$AJ$18*LN('Intermediate calculations'!AI2))+Data!$AK$18)</f>
        <v>0.55094063500387414</v>
      </c>
      <c r="AJ16" s="22">
        <f>((Data!$AJ$18*LN('Intermediate calculations'!AJ2))+Data!$AK$18)</f>
        <v>0.54791402829489422</v>
      </c>
      <c r="AK16" s="22">
        <f>((Data!$AJ$18*LN('Intermediate calculations'!AK2))+Data!$AK$18)</f>
        <v>0.5450016608061754</v>
      </c>
      <c r="AL16" s="22">
        <f>((Data!$AJ$18*LN('Intermediate calculations'!AL2))+Data!$AK$18)</f>
        <v>0.5421952213769079</v>
      </c>
      <c r="AM16" s="22">
        <f>((Data!$AJ$18*LN('Intermediate calculations'!AM2))+Data!$AK$18)</f>
        <v>0.53948727408506059</v>
      </c>
      <c r="AN16" s="22">
        <f>((Data!$AJ$18*LN('Intermediate calculations'!AN2))+Data!$AK$18)</f>
        <v>0.53687113950980603</v>
      </c>
      <c r="AO16" s="22">
        <f>((Data!$AJ$18*LN('Intermediate calculations'!AO2))+Data!$AK$18)</f>
        <v>0.53434079547056146</v>
      </c>
      <c r="AP16" s="22">
        <f>((Data!$AJ$18*LN('Intermediate calculations'!AP2))+Data!$AK$18)</f>
        <v>0.53189079353039415</v>
      </c>
      <c r="AQ16" s="22">
        <f>((Data!$AJ$18*LN('Intermediate calculations'!AQ2))+Data!$AK$18)</f>
        <v>0.52951618835166503</v>
      </c>
      <c r="AR16" s="22">
        <f>((Data!$AJ$18*LN('Intermediate calculations'!AR2))+Data!$AK$18)</f>
        <v>0.52721247760069934</v>
      </c>
      <c r="AS16" s="22">
        <f>((Data!$AJ$18*LN('Intermediate calculations'!AS2))+Data!$AK$18)</f>
        <v>0.52497555056588219</v>
      </c>
      <c r="AT16" s="22">
        <f>((Data!$AJ$18*LN('Intermediate calculations'!AT2))+Data!$AK$18)</f>
        <v>0.52280164401573792</v>
      </c>
      <c r="AU16" s="22">
        <f>((Data!$AJ$18*LN('Intermediate calculations'!AU2))+Data!$AK$18)</f>
        <v>0.52068730410629205</v>
      </c>
      <c r="AV16" s="22">
        <f>((Data!$AJ$18*LN('Intermediate calculations'!AV2))+Data!$AK$18)</f>
        <v>0.51862935336939042</v>
      </c>
      <c r="AW16" s="22">
        <f>((Data!$AJ$18*LN('Intermediate calculations'!AW2))+Data!$AK$18)</f>
        <v>0.5166248619898004</v>
      </c>
      <c r="AX16" s="22">
        <f>((Data!$AJ$18*LN('Intermediate calculations'!AX2))+Data!$AK$18)</f>
        <v>0.51467112271936843</v>
      </c>
      <c r="AY16" s="22">
        <f>((Data!$AJ$18*LN('Intermediate calculations'!AY2))+Data!$AK$18)</f>
        <v>0.51276562888920318</v>
      </c>
      <c r="AZ16" s="22">
        <f>((Data!$AJ$18*LN('Intermediate calculations'!AZ2))+Data!$AK$18)</f>
        <v>0.51090605507181408</v>
      </c>
      <c r="BA16" s="22">
        <f>((Data!$AJ$18*LN('Intermediate calculations'!BA2))+Data!$AK$18)</f>
        <v>0.50909024001896186</v>
      </c>
      <c r="BB16" s="22">
        <f>((Data!$AJ$18*LN('Intermediate calculations'!BB2))+Data!$AK$18)</f>
        <v>0.50731617156122744</v>
      </c>
      <c r="BC16" s="22">
        <f>((Data!$AJ$18*LN('Intermediate calculations'!BC2))+Data!$AK$18)</f>
        <v>0.50558197320471221</v>
      </c>
      <c r="BD16" s="22">
        <f>((Data!$AJ$18*LN('Intermediate calculations'!BD2))+Data!$AK$18)</f>
        <v>0.5038858922010061</v>
      </c>
      <c r="BE16" s="22">
        <f>((Data!$AJ$18*LN('Intermediate calculations'!BE2))+Data!$AK$18)</f>
        <v>0.50222628890026844</v>
      </c>
      <c r="BF16" s="22">
        <f>((Data!$AJ$18*LN('Intermediate calculations'!BF2))+Data!$AK$18)</f>
        <v>0.50060162722530022</v>
      </c>
      <c r="BG16" s="22">
        <f>((Data!$AJ$18*LN('Intermediate calculations'!BG2))+Data!$AK$18)</f>
        <v>0.49901046612789024</v>
      </c>
      <c r="BH16" s="22">
        <f>((Data!$AJ$18*LN('Intermediate calculations'!BH2))+Data!$AK$18)</f>
        <v>0.49745145190834272</v>
      </c>
      <c r="BI16" s="22">
        <f>((Data!$AJ$18*LN('Intermediate calculations'!BI2))+Data!$AK$18)</f>
        <v>0.49592331129560552</v>
      </c>
      <c r="BJ16" s="22">
        <f>((Data!$AJ$18*LN('Intermediate calculations'!BJ2))+Data!$AK$18)</f>
        <v>0.49442484519936286</v>
      </c>
      <c r="BK16" s="22">
        <f>((Data!$AJ$18*LN('Intermediate calculations'!BK2))+Data!$AK$18)</f>
        <v>0.49295492305728073</v>
      </c>
    </row>
    <row r="17" spans="1:63" x14ac:dyDescent="0.25">
      <c r="A17" t="s">
        <v>341</v>
      </c>
      <c r="B17" t="s">
        <v>321</v>
      </c>
      <c r="C17" s="22">
        <v>184000</v>
      </c>
      <c r="D17" s="22">
        <v>206000</v>
      </c>
      <c r="E17" s="22">
        <v>199000</v>
      </c>
      <c r="F17" s="22">
        <v>189000</v>
      </c>
      <c r="G17" s="22">
        <v>156000</v>
      </c>
      <c r="H17" s="22">
        <v>118000</v>
      </c>
      <c r="I17" s="22">
        <v>143000</v>
      </c>
      <c r="J17" s="22">
        <v>142000</v>
      </c>
      <c r="K17" s="22">
        <v>145000</v>
      </c>
      <c r="L17" s="22">
        <v>154000</v>
      </c>
      <c r="M17" s="22">
        <v>163000</v>
      </c>
      <c r="N17" s="22">
        <v>159000</v>
      </c>
      <c r="O17" s="22">
        <v>146000</v>
      </c>
      <c r="P17" s="22">
        <v>146000</v>
      </c>
      <c r="Q17" s="22">
        <v>153000</v>
      </c>
      <c r="R17" s="22">
        <v>168000</v>
      </c>
      <c r="S17" s="22">
        <v>176000</v>
      </c>
      <c r="T17" s="22">
        <v>203000</v>
      </c>
      <c r="U17" s="22">
        <v>189000</v>
      </c>
      <c r="V17" s="22">
        <v>180000</v>
      </c>
      <c r="W17" s="22">
        <v>174000</v>
      </c>
      <c r="X17" s="22">
        <v>155000</v>
      </c>
      <c r="Y17" s="22"/>
      <c r="Z17" s="22"/>
      <c r="AA17" s="22"/>
      <c r="AB17" s="22"/>
      <c r="AC17" s="22"/>
      <c r="AD17" s="22"/>
      <c r="AE17" s="22"/>
      <c r="AF17" s="22"/>
      <c r="AG17" s="22"/>
      <c r="AH17" s="22"/>
      <c r="AI17" s="22"/>
      <c r="AJ17" s="22"/>
      <c r="AK17" s="22"/>
      <c r="AL17" s="22"/>
      <c r="AM17" s="22"/>
      <c r="AN17" s="22"/>
      <c r="AO17" s="22"/>
      <c r="AP17" s="22"/>
      <c r="AQ17" s="22"/>
      <c r="AR17" s="22"/>
      <c r="AS17" s="22"/>
      <c r="AT17" s="22"/>
      <c r="AU17" s="22"/>
      <c r="AV17" s="22"/>
      <c r="AW17" s="22"/>
      <c r="AX17" s="22"/>
      <c r="AY17" s="22"/>
      <c r="AZ17" s="22"/>
      <c r="BA17" s="22"/>
      <c r="BB17" s="22"/>
      <c r="BC17" s="22"/>
      <c r="BD17" s="22"/>
      <c r="BE17" s="22"/>
      <c r="BF17" s="22"/>
      <c r="BG17" s="22"/>
      <c r="BH17" s="22"/>
      <c r="BI17" s="22"/>
      <c r="BJ17" s="22"/>
      <c r="BK17" s="22"/>
    </row>
    <row r="18" spans="1:63" x14ac:dyDescent="0.25">
      <c r="A18" t="s">
        <v>870</v>
      </c>
      <c r="B18" t="s">
        <v>321</v>
      </c>
      <c r="C18" s="22">
        <f>C27+C22</f>
        <v>168200</v>
      </c>
      <c r="D18" s="22">
        <f t="shared" ref="D18:BK18" si="4">D27+D22</f>
        <v>191200</v>
      </c>
      <c r="E18" s="22">
        <f t="shared" si="4"/>
        <v>176100</v>
      </c>
      <c r="F18" s="22">
        <f t="shared" si="4"/>
        <v>167400</v>
      </c>
      <c r="G18" s="22">
        <f t="shared" si="4"/>
        <v>135300</v>
      </c>
      <c r="H18" s="22">
        <f t="shared" si="4"/>
        <v>94800</v>
      </c>
      <c r="I18" s="22">
        <f t="shared" si="4"/>
        <v>106300</v>
      </c>
      <c r="J18" s="22">
        <f t="shared" si="4"/>
        <v>102600</v>
      </c>
      <c r="K18" s="22">
        <f t="shared" si="4"/>
        <v>96900</v>
      </c>
      <c r="L18" s="22">
        <f t="shared" si="4"/>
        <v>104900</v>
      </c>
      <c r="M18" s="22">
        <f t="shared" si="4"/>
        <v>108300</v>
      </c>
      <c r="N18" s="22">
        <f t="shared" si="4"/>
        <v>105400</v>
      </c>
      <c r="O18" s="22">
        <f t="shared" si="4"/>
        <v>105100</v>
      </c>
      <c r="P18" s="22">
        <f t="shared" si="4"/>
        <v>114400</v>
      </c>
      <c r="Q18" s="22">
        <f t="shared" si="4"/>
        <v>120300</v>
      </c>
      <c r="R18" s="22">
        <f t="shared" si="4"/>
        <v>134600</v>
      </c>
      <c r="S18" s="22">
        <f t="shared" si="4"/>
        <v>135300</v>
      </c>
      <c r="T18" s="22">
        <f t="shared" si="4"/>
        <v>160700</v>
      </c>
      <c r="U18" s="22">
        <f t="shared" si="4"/>
        <v>160600</v>
      </c>
      <c r="V18" s="22">
        <f t="shared" si="4"/>
        <v>162100</v>
      </c>
      <c r="W18" s="22">
        <f t="shared" si="4"/>
        <v>163900</v>
      </c>
      <c r="X18" s="22">
        <f t="shared" si="4"/>
        <v>148800</v>
      </c>
      <c r="Y18" s="22">
        <f t="shared" si="4"/>
        <v>163451.84164591323</v>
      </c>
      <c r="Z18" s="22">
        <f t="shared" si="4"/>
        <v>165053.11843488296</v>
      </c>
      <c r="AA18" s="22">
        <f t="shared" si="4"/>
        <v>166708.39544760389</v>
      </c>
      <c r="AB18" s="22">
        <f t="shared" si="4"/>
        <v>168421.06312199778</v>
      </c>
      <c r="AC18" s="22">
        <f t="shared" si="4"/>
        <v>170193.19766281391</v>
      </c>
      <c r="AD18" s="22">
        <f t="shared" si="4"/>
        <v>172036.60625027071</v>
      </c>
      <c r="AE18" s="22">
        <f t="shared" si="4"/>
        <v>173903.3734552243</v>
      </c>
      <c r="AF18" s="22">
        <f t="shared" si="4"/>
        <v>175799.75040225885</v>
      </c>
      <c r="AG18" s="22">
        <f t="shared" si="4"/>
        <v>177641.61912618726</v>
      </c>
      <c r="AH18" s="22">
        <f t="shared" si="4"/>
        <v>179049.97065717584</v>
      </c>
      <c r="AI18" s="22">
        <f t="shared" si="4"/>
        <v>180473.36823598962</v>
      </c>
      <c r="AJ18" s="22">
        <f t="shared" si="4"/>
        <v>181913.50075951291</v>
      </c>
      <c r="AK18" s="22">
        <f t="shared" si="4"/>
        <v>183371.67911647513</v>
      </c>
      <c r="AL18" s="22">
        <f t="shared" si="4"/>
        <v>184848.92219284119</v>
      </c>
      <c r="AM18" s="22">
        <f t="shared" si="4"/>
        <v>186131.53524545135</v>
      </c>
      <c r="AN18" s="22">
        <f t="shared" si="4"/>
        <v>187428.34754043462</v>
      </c>
      <c r="AO18" s="22">
        <f t="shared" si="4"/>
        <v>188739.69681554107</v>
      </c>
      <c r="AP18" s="22">
        <f t="shared" si="4"/>
        <v>190067.47539517048</v>
      </c>
      <c r="AQ18" s="22">
        <f t="shared" si="4"/>
        <v>191408.00861493169</v>
      </c>
      <c r="AR18" s="22">
        <f t="shared" si="4"/>
        <v>192591.5555365067</v>
      </c>
      <c r="AS18" s="22">
        <f t="shared" si="4"/>
        <v>193786.49330704095</v>
      </c>
      <c r="AT18" s="22">
        <f t="shared" si="4"/>
        <v>194992.75022326928</v>
      </c>
      <c r="AU18" s="22">
        <f t="shared" si="4"/>
        <v>196210.23945310374</v>
      </c>
      <c r="AV18" s="22">
        <f t="shared" si="4"/>
        <v>197435.00574321521</v>
      </c>
      <c r="AW18" s="22">
        <f t="shared" si="4"/>
        <v>198502.50214239</v>
      </c>
      <c r="AX18" s="22">
        <f t="shared" si="4"/>
        <v>199580.65745487888</v>
      </c>
      <c r="AY18" s="22">
        <f t="shared" si="4"/>
        <v>200668.74275869009</v>
      </c>
      <c r="AZ18" s="22">
        <f t="shared" si="4"/>
        <v>201763.79240941396</v>
      </c>
      <c r="BA18" s="22">
        <f t="shared" si="4"/>
        <v>202867.52380881706</v>
      </c>
      <c r="BB18" s="22">
        <f t="shared" si="4"/>
        <v>203820.28520599857</v>
      </c>
      <c r="BC18" s="22">
        <f t="shared" si="4"/>
        <v>204781.32787924871</v>
      </c>
      <c r="BD18" s="22">
        <f t="shared" si="4"/>
        <v>205751.29516799047</v>
      </c>
      <c r="BE18" s="22">
        <f t="shared" si="4"/>
        <v>206730.03594982464</v>
      </c>
      <c r="BF18" s="22">
        <f t="shared" si="4"/>
        <v>207718.85085429568</v>
      </c>
      <c r="BG18" s="22">
        <f t="shared" si="4"/>
        <v>208551.97678665316</v>
      </c>
      <c r="BH18" s="22">
        <f t="shared" si="4"/>
        <v>209392.2549892604</v>
      </c>
      <c r="BI18" s="22">
        <f t="shared" si="4"/>
        <v>210236.60162193255</v>
      </c>
      <c r="BJ18" s="22">
        <f t="shared" si="4"/>
        <v>211088.45157486704</v>
      </c>
      <c r="BK18" s="22">
        <f t="shared" si="4"/>
        <v>211948.6576784543</v>
      </c>
    </row>
    <row r="19" spans="1:63" x14ac:dyDescent="0.25">
      <c r="A19" t="s">
        <v>332</v>
      </c>
      <c r="B19" t="s">
        <v>321</v>
      </c>
      <c r="C19" s="22">
        <f>C17-C22</f>
        <v>172960</v>
      </c>
      <c r="D19" s="22">
        <f t="shared" ref="D19:X19" si="5">D17-D22</f>
        <v>193640</v>
      </c>
      <c r="E19" s="22">
        <f t="shared" si="5"/>
        <v>187060</v>
      </c>
      <c r="F19" s="22">
        <f t="shared" si="5"/>
        <v>177660</v>
      </c>
      <c r="G19" s="22">
        <f t="shared" si="5"/>
        <v>146640</v>
      </c>
      <c r="H19" s="22">
        <f t="shared" si="5"/>
        <v>110920</v>
      </c>
      <c r="I19" s="22">
        <f t="shared" si="5"/>
        <v>134420</v>
      </c>
      <c r="J19" s="22">
        <f t="shared" si="5"/>
        <v>133480</v>
      </c>
      <c r="K19" s="22">
        <f t="shared" si="5"/>
        <v>136300</v>
      </c>
      <c r="L19" s="22">
        <f t="shared" si="5"/>
        <v>144760</v>
      </c>
      <c r="M19" s="22">
        <f t="shared" si="5"/>
        <v>153220</v>
      </c>
      <c r="N19" s="22">
        <f t="shared" si="5"/>
        <v>149460</v>
      </c>
      <c r="O19" s="22">
        <f t="shared" si="5"/>
        <v>137240</v>
      </c>
      <c r="P19" s="22">
        <f t="shared" si="5"/>
        <v>137240</v>
      </c>
      <c r="Q19" s="22">
        <f t="shared" si="5"/>
        <v>143820</v>
      </c>
      <c r="R19" s="22">
        <f t="shared" si="5"/>
        <v>157920</v>
      </c>
      <c r="S19" s="22">
        <f t="shared" si="5"/>
        <v>165440</v>
      </c>
      <c r="T19" s="22">
        <f t="shared" si="5"/>
        <v>190820</v>
      </c>
      <c r="U19" s="22">
        <f t="shared" si="5"/>
        <v>177660</v>
      </c>
      <c r="V19" s="22">
        <f t="shared" si="5"/>
        <v>169200</v>
      </c>
      <c r="W19" s="22">
        <f t="shared" si="5"/>
        <v>163560</v>
      </c>
      <c r="X19" s="22">
        <f t="shared" si="5"/>
        <v>145700</v>
      </c>
      <c r="Y19" s="22">
        <f>(((Data!$AJ$7*'Intermediate calculations'!Y4)+Data!$AK$7)*Drivers!Z4)</f>
        <v>168442.01985209528</v>
      </c>
      <c r="Z19" s="22">
        <f>(((Data!$AJ$7*'Intermediate calculations'!Z4)+Data!$AK$7)*Drivers!AA4)</f>
        <v>170965.20167160593</v>
      </c>
      <c r="AA19" s="22">
        <f>(((Data!$AJ$7*'Intermediate calculations'!AA4)+Data!$AK$7)*Drivers!AB4)</f>
        <v>173573.47332927398</v>
      </c>
      <c r="AB19" s="22">
        <f>(((Data!$AJ$7*'Intermediate calculations'!AB4)+Data!$AK$7)*Drivers!AC4)</f>
        <v>176272.17724396367</v>
      </c>
      <c r="AC19" s="22">
        <f>(((Data!$AJ$7*'Intermediate calculations'!AC4)+Data!$AK$7)*Drivers!AD4)</f>
        <v>179064.58495630621</v>
      </c>
      <c r="AD19" s="22">
        <f>(((Data!$AJ$7*'Intermediate calculations'!AD4)+Data!$AK$7)*Drivers!AE4)</f>
        <v>181969.3014087276</v>
      </c>
      <c r="AE19" s="22">
        <f>(((Data!$AJ$7*'Intermediate calculations'!AE4)+Data!$AK$7)*Drivers!AF4)</f>
        <v>184910.82476386736</v>
      </c>
      <c r="AF19" s="22">
        <f>(((Data!$AJ$7*'Intermediate calculations'!AF4)+Data!$AK$7)*Drivers!AG4)</f>
        <v>187899.00511385885</v>
      </c>
      <c r="AG19" s="22">
        <f>(((Data!$AJ$7*'Intermediate calculations'!AG4)+Data!$AK$7)*Drivers!AH4)</f>
        <v>190801.29515525242</v>
      </c>
      <c r="AH19" s="22">
        <f>(((Data!$AJ$7*'Intermediate calculations'!AH4)+Data!$AK$7)*Drivers!AI4)</f>
        <v>193020.47862368749</v>
      </c>
      <c r="AI19" s="22">
        <f>(((Data!$AJ$7*'Intermediate calculations'!AI4)+Data!$AK$7)*Drivers!AJ4)</f>
        <v>195263.37061933635</v>
      </c>
      <c r="AJ19" s="22">
        <f>(((Data!$AJ$7*'Intermediate calculations'!AJ4)+Data!$AK$7)*Drivers!AK4)</f>
        <v>197532.63238973764</v>
      </c>
      <c r="AK19" s="22">
        <f>(((Data!$AJ$7*'Intermediate calculations'!AK4)+Data!$AK$7)*Drivers!AL4)</f>
        <v>199830.32954318123</v>
      </c>
      <c r="AL19" s="22">
        <f>(((Data!$AJ$7*'Intermediate calculations'!AL4)+Data!$AK$7)*Drivers!AM4)</f>
        <v>202158.06757008607</v>
      </c>
      <c r="AM19" s="22">
        <f>(((Data!$AJ$7*'Intermediate calculations'!AM4)+Data!$AK$7)*Drivers!AN4)</f>
        <v>204179.12099327048</v>
      </c>
      <c r="AN19" s="22">
        <f>(((Data!$AJ$7*'Intermediate calculations'!AN4)+Data!$AK$7)*Drivers!AO4)</f>
        <v>206222.54860588518</v>
      </c>
      <c r="AO19" s="22">
        <f>(((Data!$AJ$7*'Intermediate calculations'!AO4)+Data!$AK$7)*Drivers!AP4)</f>
        <v>208288.88259184523</v>
      </c>
      <c r="AP19" s="22">
        <f>(((Data!$AJ$7*'Intermediate calculations'!AP4)+Data!$AK$7)*Drivers!AQ4)</f>
        <v>210381.10474577543</v>
      </c>
      <c r="AQ19" s="22">
        <f>(((Data!$AJ$7*'Intermediate calculations'!AQ4)+Data!$AK$7)*Drivers!AR4)</f>
        <v>212493.42478429159</v>
      </c>
      <c r="AR19" s="22">
        <f>(((Data!$AJ$7*'Intermediate calculations'!AR4)+Data!$AK$7)*Drivers!AS4)</f>
        <v>214358.37661249944</v>
      </c>
      <c r="AS19" s="22">
        <f>(((Data!$AJ$7*'Intermediate calculations'!AS4)+Data!$AK$7)*Drivers!AT4)</f>
        <v>216241.2773569726</v>
      </c>
      <c r="AT19" s="22">
        <f>(((Data!$AJ$7*'Intermediate calculations'!AT4)+Data!$AK$7)*Drivers!AU4)</f>
        <v>218142.01403263788</v>
      </c>
      <c r="AU19" s="22">
        <f>(((Data!$AJ$7*'Intermediate calculations'!AU4)+Data!$AK$7)*Drivers!AV4)</f>
        <v>220060.44981546397</v>
      </c>
      <c r="AV19" s="22">
        <f>(((Data!$AJ$7*'Intermediate calculations'!AV4)+Data!$AK$7)*Drivers!AW4)</f>
        <v>221990.35228931866</v>
      </c>
      <c r="AW19" s="22">
        <f>(((Data!$AJ$7*'Intermediate calculations'!AW4)+Data!$AK$7)*Drivers!AX4)</f>
        <v>223672.43968691595</v>
      </c>
      <c r="AX19" s="22">
        <f>(((Data!$AJ$7*'Intermediate calculations'!AX4)+Data!$AK$7)*Drivers!AY4)</f>
        <v>225371.32266693536</v>
      </c>
      <c r="AY19" s="22">
        <f>(((Data!$AJ$7*'Intermediate calculations'!AY4)+Data!$AK$7)*Drivers!AZ4)</f>
        <v>227085.85264424153</v>
      </c>
      <c r="AZ19" s="22">
        <f>(((Data!$AJ$7*'Intermediate calculations'!AZ4)+Data!$AK$7)*Drivers!BA4)</f>
        <v>228811.35656036698</v>
      </c>
      <c r="BA19" s="22">
        <f>(((Data!$AJ$7*'Intermediate calculations'!BA4)+Data!$AK$7)*Drivers!BB4)</f>
        <v>230550.54057888311</v>
      </c>
      <c r="BB19" s="22">
        <f>(((Data!$AJ$7*'Intermediate calculations'!BB4)+Data!$AK$7)*Drivers!BC4)</f>
        <v>232051.83645243832</v>
      </c>
      <c r="BC19" s="22">
        <f>(((Data!$AJ$7*'Intermediate calculations'!BC4)+Data!$AK$7)*Drivers!BD4)</f>
        <v>233566.18139119117</v>
      </c>
      <c r="BD19" s="22">
        <f>(((Data!$AJ$7*'Intermediate calculations'!BD4)+Data!$AK$7)*Drivers!BE4)</f>
        <v>235094.58912515198</v>
      </c>
      <c r="BE19" s="22">
        <f>(((Data!$AJ$7*'Intermediate calculations'!BE4)+Data!$AK$7)*Drivers!BF4)</f>
        <v>236636.82152603913</v>
      </c>
      <c r="BF19" s="22">
        <f>(((Data!$AJ$7*'Intermediate calculations'!BF4)+Data!$AK$7)*Drivers!BG4)</f>
        <v>238194.92803642436</v>
      </c>
      <c r="BG19" s="22">
        <f>(((Data!$AJ$7*'Intermediate calculations'!BG4)+Data!$AK$7)*Drivers!BH4)</f>
        <v>239507.71057368937</v>
      </c>
      <c r="BH19" s="22">
        <f>(((Data!$AJ$7*'Intermediate calculations'!BH4)+Data!$AK$7)*Drivers!BI4)</f>
        <v>240831.76316644187</v>
      </c>
      <c r="BI19" s="22">
        <f>(((Data!$AJ$7*'Intermediate calculations'!BI4)+Data!$AK$7)*Drivers!BJ4)</f>
        <v>242162.22651144184</v>
      </c>
      <c r="BJ19" s="22">
        <f>(((Data!$AJ$7*'Intermediate calculations'!BJ4)+Data!$AK$7)*Drivers!BK4)</f>
        <v>243504.51307239186</v>
      </c>
      <c r="BK19" s="22">
        <f>(((Data!$AJ$7*'Intermediate calculations'!BK4)+Data!$AK$7)*Drivers!BL4)</f>
        <v>244859.96668075901</v>
      </c>
    </row>
    <row r="20" spans="1:63" x14ac:dyDescent="0.25">
      <c r="A20" t="s">
        <v>332</v>
      </c>
      <c r="B20" t="s">
        <v>322</v>
      </c>
      <c r="C20" s="22">
        <f>C19/Drivers!D4</f>
        <v>4.6999349927469751E-3</v>
      </c>
      <c r="D20" s="22">
        <f>D19/Drivers!E4</f>
        <v>5.1337590256356549E-3</v>
      </c>
      <c r="E20" s="22">
        <f>E19/Drivers!F4</f>
        <v>4.8370155133322145E-3</v>
      </c>
      <c r="F20" s="22">
        <f>F19/Drivers!G4</f>
        <v>4.4825432869713315E-3</v>
      </c>
      <c r="G20" s="22">
        <f>G19/Drivers!H4</f>
        <v>3.615022845716697E-3</v>
      </c>
      <c r="H20" s="22">
        <f>H19/Drivers!I4</f>
        <v>2.6769149486779026E-3</v>
      </c>
      <c r="I20" s="22">
        <f>I19/Drivers!J4</f>
        <v>3.1822155014234865E-3</v>
      </c>
      <c r="J20" s="22">
        <f>J19/Drivers!K4</f>
        <v>3.1050915056369576E-3</v>
      </c>
      <c r="K20" s="22">
        <f>K19/Drivers!L4</f>
        <v>3.1202598034076076E-3</v>
      </c>
      <c r="L20" s="22">
        <f>L19/Drivers!M4</f>
        <v>3.2648794977318042E-3</v>
      </c>
      <c r="M20" s="22">
        <f>M19/Drivers!N4</f>
        <v>3.4073339917613768E-3</v>
      </c>
      <c r="N20" s="22">
        <f>N19/Drivers!O4</f>
        <v>3.2796976446170891E-3</v>
      </c>
      <c r="O20" s="22">
        <f>O19/Drivers!P4</f>
        <v>2.9737223183428679E-3</v>
      </c>
      <c r="P20" s="22">
        <f>P19/Drivers!Q4</f>
        <v>2.9375505520257668E-3</v>
      </c>
      <c r="Q20" s="22">
        <f>Q19/Drivers!R4</f>
        <v>3.0411313973028199E-3</v>
      </c>
      <c r="R20" s="22">
        <f>R19/Drivers!S4</f>
        <v>3.2982042142704099E-3</v>
      </c>
      <c r="S20" s="22">
        <f>S19/Drivers!T4</f>
        <v>3.4118755583558893E-3</v>
      </c>
      <c r="T20" s="22">
        <f>T19/Drivers!U4</f>
        <v>3.8847910471221979E-3</v>
      </c>
      <c r="U20" s="22">
        <f>U19/Drivers!V4</f>
        <v>3.5689411002378874E-3</v>
      </c>
      <c r="V20" s="22">
        <f>V19/Drivers!W4</f>
        <v>3.3520209823834457E-3</v>
      </c>
      <c r="W20" s="22">
        <f>W19/Drivers!X4</f>
        <v>3.1934731625248227E-3</v>
      </c>
      <c r="X20" s="22">
        <f>X19/Drivers!Y4</f>
        <v>2.8016982945137554E-3</v>
      </c>
      <c r="Y20" s="22">
        <f>Y19/Drivers!Z4</f>
        <v>3.2191232938622071E-3</v>
      </c>
      <c r="Z20" s="22">
        <f>Z19/Drivers!AA4</f>
        <v>3.2194176992414469E-3</v>
      </c>
      <c r="AA20" s="22">
        <f>AA19/Drivers!AB4</f>
        <v>3.2195484487312688E-3</v>
      </c>
      <c r="AB20" s="22">
        <f>AB19/Drivers!AC4</f>
        <v>3.2195542460357759E-3</v>
      </c>
      <c r="AC20" s="22">
        <f>AC19/Drivers!AD4</f>
        <v>3.2194314385045612E-3</v>
      </c>
      <c r="AD20" s="22">
        <f>AD19/Drivers!AE4</f>
        <v>3.2194449716178189E-3</v>
      </c>
      <c r="AE20" s="22">
        <f>AE19/Drivers!AF4</f>
        <v>3.219423754727317E-3</v>
      </c>
      <c r="AF20" s="22">
        <f>AF19/Drivers!AG4</f>
        <v>3.219387245171726E-3</v>
      </c>
      <c r="AG20" s="22">
        <f>AG19/Drivers!AH4</f>
        <v>3.2170883416115315E-3</v>
      </c>
      <c r="AH20" s="22">
        <f>AH19/Drivers!AI4</f>
        <v>3.217459469785443E-3</v>
      </c>
      <c r="AI20" s="22">
        <f>AI19/Drivers!AJ4</f>
        <v>3.2177959933137328E-3</v>
      </c>
      <c r="AJ20" s="22">
        <f>AJ19/Drivers!AK4</f>
        <v>3.2181375607378718E-3</v>
      </c>
      <c r="AK20" s="22">
        <f>AK19/Drivers!AL4</f>
        <v>3.2185123925049714E-3</v>
      </c>
      <c r="AL20" s="22">
        <f>AL19/Drivers!AM4</f>
        <v>3.2189400377851062E-3</v>
      </c>
      <c r="AM20" s="22">
        <f>AM19/Drivers!AN4</f>
        <v>3.2194211795751439E-3</v>
      </c>
      <c r="AN20" s="22">
        <f>AN19/Drivers!AO4</f>
        <v>3.2199362586606156E-3</v>
      </c>
      <c r="AO20" s="22">
        <f>AO19/Drivers!AP4</f>
        <v>3.2204893896336912E-3</v>
      </c>
      <c r="AP20" s="22">
        <f>AP19/Drivers!AQ4</f>
        <v>3.2211219820934378E-3</v>
      </c>
      <c r="AQ20" s="22">
        <f>AQ19/Drivers!AR4</f>
        <v>3.2217407791197386E-3</v>
      </c>
      <c r="AR20" s="22">
        <f>AR19/Drivers!AS4</f>
        <v>3.2225146216245271E-3</v>
      </c>
      <c r="AS20" s="22">
        <f>AS19/Drivers!AT4</f>
        <v>3.2233122185845861E-3</v>
      </c>
      <c r="AT20" s="22">
        <f>AT19/Drivers!AU4</f>
        <v>3.2241291786433437E-3</v>
      </c>
      <c r="AU20" s="22">
        <f>AU19/Drivers!AV4</f>
        <v>3.2249608811257941E-3</v>
      </c>
      <c r="AV20" s="22">
        <f>AV19/Drivers!AW4</f>
        <v>3.2257142606905197E-3</v>
      </c>
      <c r="AW20" s="22">
        <f>AW19/Drivers!AX4</f>
        <v>3.2265345000859471E-3</v>
      </c>
      <c r="AX20" s="22">
        <f>AX19/Drivers!AY4</f>
        <v>3.2274129443724603E-3</v>
      </c>
      <c r="AY20" s="22">
        <f>AY19/Drivers!AZ4</f>
        <v>3.2283306273953338E-3</v>
      </c>
      <c r="AZ20" s="22">
        <f>AZ19/Drivers!BA4</f>
        <v>3.2292193647078739E-3</v>
      </c>
      <c r="BA20" s="22">
        <f>BA19/Drivers!BB4</f>
        <v>3.2301163175242026E-3</v>
      </c>
      <c r="BB20" s="22">
        <f>BB19/Drivers!BC4</f>
        <v>3.2310821216884815E-3</v>
      </c>
      <c r="BC20" s="22">
        <f>BC19/Drivers!BD4</f>
        <v>3.2320935057364134E-3</v>
      </c>
      <c r="BD20" s="22">
        <f>BD19/Drivers!BE4</f>
        <v>3.2331626970001082E-3</v>
      </c>
      <c r="BE20" s="22">
        <f>BE19/Drivers!BF4</f>
        <v>3.2342844948552848E-3</v>
      </c>
      <c r="BF20" s="22">
        <f>BF19/Drivers!BG4</f>
        <v>3.2354848810997078E-3</v>
      </c>
      <c r="BG20" s="22">
        <f>BG19/Drivers!BH4</f>
        <v>3.2367935515732649E-3</v>
      </c>
      <c r="BH20" s="22">
        <f>BH19/Drivers!BI4</f>
        <v>3.2381570023495665E-3</v>
      </c>
      <c r="BI20" s="22">
        <f>BI19/Drivers!BJ4</f>
        <v>3.2395088685923568E-3</v>
      </c>
      <c r="BJ20" s="22">
        <f>BJ19/Drivers!BK4</f>
        <v>3.2409208343705254E-3</v>
      </c>
      <c r="BK20" s="22">
        <f>BK19/Drivers!BL4</f>
        <v>3.242409249980148E-3</v>
      </c>
    </row>
    <row r="21" spans="1:63" x14ac:dyDescent="0.25">
      <c r="A21" t="s">
        <v>332</v>
      </c>
      <c r="B21" t="s">
        <v>663</v>
      </c>
      <c r="C21" s="22">
        <f>C20*1000</f>
        <v>4.6999349927469751</v>
      </c>
      <c r="D21" s="22">
        <f t="shared" ref="D21:X21" si="6">D20*1000</f>
        <v>5.1337590256356549</v>
      </c>
      <c r="E21" s="22">
        <f t="shared" si="6"/>
        <v>4.8370155133322141</v>
      </c>
      <c r="F21" s="22">
        <f t="shared" si="6"/>
        <v>4.4825432869713318</v>
      </c>
      <c r="G21" s="22">
        <f t="shared" si="6"/>
        <v>3.6150228457166969</v>
      </c>
      <c r="H21" s="22">
        <f t="shared" si="6"/>
        <v>2.6769149486779025</v>
      </c>
      <c r="I21" s="22">
        <f t="shared" si="6"/>
        <v>3.1822155014234865</v>
      </c>
      <c r="J21" s="22">
        <f t="shared" si="6"/>
        <v>3.1050915056369575</v>
      </c>
      <c r="K21" s="22">
        <f t="shared" si="6"/>
        <v>3.1202598034076074</v>
      </c>
      <c r="L21" s="22">
        <f t="shared" si="6"/>
        <v>3.2648794977318043</v>
      </c>
      <c r="M21" s="22">
        <f t="shared" si="6"/>
        <v>3.407333991761377</v>
      </c>
      <c r="N21" s="22">
        <f t="shared" si="6"/>
        <v>3.2796976446170891</v>
      </c>
      <c r="O21" s="22">
        <f t="shared" si="6"/>
        <v>2.973722318342868</v>
      </c>
      <c r="P21" s="22">
        <f t="shared" si="6"/>
        <v>2.9375505520257668</v>
      </c>
      <c r="Q21" s="22">
        <f t="shared" si="6"/>
        <v>3.04113139730282</v>
      </c>
      <c r="R21" s="22">
        <f t="shared" si="6"/>
        <v>3.29820421427041</v>
      </c>
      <c r="S21" s="22">
        <f t="shared" si="6"/>
        <v>3.4118755583558893</v>
      </c>
      <c r="T21" s="22">
        <f t="shared" si="6"/>
        <v>3.884791047122198</v>
      </c>
      <c r="U21" s="22">
        <f t="shared" si="6"/>
        <v>3.5689411002378875</v>
      </c>
      <c r="V21" s="22">
        <f t="shared" si="6"/>
        <v>3.3520209823834457</v>
      </c>
      <c r="W21" s="22">
        <f t="shared" si="6"/>
        <v>3.1934731625248225</v>
      </c>
      <c r="X21" s="22">
        <f t="shared" si="6"/>
        <v>2.8016982945137556</v>
      </c>
      <c r="Y21" s="22">
        <f>Y20*1000</f>
        <v>3.2191232938622072</v>
      </c>
      <c r="Z21" s="22">
        <f t="shared" ref="Z21:BK21" si="7">Z20*1000</f>
        <v>3.2194176992414469</v>
      </c>
      <c r="AA21" s="22">
        <f t="shared" si="7"/>
        <v>3.2195484487312687</v>
      </c>
      <c r="AB21" s="22">
        <f t="shared" si="7"/>
        <v>3.2195542460357758</v>
      </c>
      <c r="AC21" s="22">
        <f t="shared" si="7"/>
        <v>3.2194314385045613</v>
      </c>
      <c r="AD21" s="22">
        <f t="shared" si="7"/>
        <v>3.2194449716178188</v>
      </c>
      <c r="AE21" s="22">
        <f t="shared" si="7"/>
        <v>3.219423754727317</v>
      </c>
      <c r="AF21" s="22">
        <f t="shared" si="7"/>
        <v>3.2193872451717258</v>
      </c>
      <c r="AG21" s="22">
        <f t="shared" si="7"/>
        <v>3.2170883416115315</v>
      </c>
      <c r="AH21" s="22">
        <f t="shared" si="7"/>
        <v>3.2174594697854428</v>
      </c>
      <c r="AI21" s="22">
        <f t="shared" si="7"/>
        <v>3.2177959933137328</v>
      </c>
      <c r="AJ21" s="22">
        <f t="shared" si="7"/>
        <v>3.2181375607378717</v>
      </c>
      <c r="AK21" s="22">
        <f t="shared" si="7"/>
        <v>3.2185123925049712</v>
      </c>
      <c r="AL21" s="22">
        <f t="shared" si="7"/>
        <v>3.2189400377851061</v>
      </c>
      <c r="AM21" s="22">
        <f t="shared" si="7"/>
        <v>3.2194211795751437</v>
      </c>
      <c r="AN21" s="22">
        <f t="shared" si="7"/>
        <v>3.2199362586606157</v>
      </c>
      <c r="AO21" s="22">
        <f t="shared" si="7"/>
        <v>3.2204893896336912</v>
      </c>
      <c r="AP21" s="22">
        <f t="shared" si="7"/>
        <v>3.2211219820934378</v>
      </c>
      <c r="AQ21" s="22">
        <f t="shared" si="7"/>
        <v>3.2217407791197386</v>
      </c>
      <c r="AR21" s="22">
        <f t="shared" si="7"/>
        <v>3.2225146216245273</v>
      </c>
      <c r="AS21" s="22">
        <f t="shared" si="7"/>
        <v>3.2233122185845859</v>
      </c>
      <c r="AT21" s="22">
        <f t="shared" si="7"/>
        <v>3.2241291786433437</v>
      </c>
      <c r="AU21" s="22">
        <f t="shared" si="7"/>
        <v>3.2249608811257939</v>
      </c>
      <c r="AV21" s="22">
        <f t="shared" si="7"/>
        <v>3.2257142606905198</v>
      </c>
      <c r="AW21" s="22">
        <f t="shared" si="7"/>
        <v>3.2265345000859473</v>
      </c>
      <c r="AX21" s="22">
        <f t="shared" si="7"/>
        <v>3.2274129443724604</v>
      </c>
      <c r="AY21" s="22">
        <f t="shared" si="7"/>
        <v>3.2283306273953336</v>
      </c>
      <c r="AZ21" s="22">
        <f t="shared" si="7"/>
        <v>3.2292193647078737</v>
      </c>
      <c r="BA21" s="22">
        <f t="shared" si="7"/>
        <v>3.2301163175242027</v>
      </c>
      <c r="BB21" s="22">
        <f t="shared" si="7"/>
        <v>3.2310821216884813</v>
      </c>
      <c r="BC21" s="22">
        <f t="shared" si="7"/>
        <v>3.2320935057364135</v>
      </c>
      <c r="BD21" s="22">
        <f t="shared" si="7"/>
        <v>3.2331626970001084</v>
      </c>
      <c r="BE21" s="22">
        <f t="shared" si="7"/>
        <v>3.2342844948552849</v>
      </c>
      <c r="BF21" s="22">
        <f t="shared" si="7"/>
        <v>3.2354848810997079</v>
      </c>
      <c r="BG21" s="22">
        <f t="shared" si="7"/>
        <v>3.2367935515732649</v>
      </c>
      <c r="BH21" s="22">
        <f t="shared" si="7"/>
        <v>3.2381570023495665</v>
      </c>
      <c r="BI21" s="22">
        <f t="shared" si="7"/>
        <v>3.239508868592357</v>
      </c>
      <c r="BJ21" s="22">
        <f t="shared" si="7"/>
        <v>3.2409208343705256</v>
      </c>
      <c r="BK21" s="22">
        <f t="shared" si="7"/>
        <v>3.242409249980148</v>
      </c>
    </row>
    <row r="22" spans="1:63" x14ac:dyDescent="0.25">
      <c r="A22" t="s">
        <v>340</v>
      </c>
      <c r="B22" t="s">
        <v>321</v>
      </c>
      <c r="C22" s="22">
        <f>C17*Constants!$H$27</f>
        <v>11040</v>
      </c>
      <c r="D22" s="22">
        <f>D17*Constants!$H$27</f>
        <v>12360</v>
      </c>
      <c r="E22" s="22">
        <f>E17*Constants!$H$27</f>
        <v>11940</v>
      </c>
      <c r="F22" s="22">
        <f>F17*Constants!$H$27</f>
        <v>11340</v>
      </c>
      <c r="G22" s="22">
        <f>G17*Constants!$H$27</f>
        <v>9360</v>
      </c>
      <c r="H22" s="22">
        <f>H17*Constants!$H$27</f>
        <v>7080</v>
      </c>
      <c r="I22" s="22">
        <f>I17*Constants!$H$27</f>
        <v>8580</v>
      </c>
      <c r="J22" s="22">
        <f>J17*Constants!$H$27</f>
        <v>8520</v>
      </c>
      <c r="K22" s="22">
        <f>K17*Constants!$H$27</f>
        <v>8700</v>
      </c>
      <c r="L22" s="22">
        <f>L17*Constants!$H$27</f>
        <v>9240</v>
      </c>
      <c r="M22" s="22">
        <f>M17*Constants!$H$27</f>
        <v>9780</v>
      </c>
      <c r="N22" s="22">
        <f>N17*Constants!$H$27</f>
        <v>9540</v>
      </c>
      <c r="O22" s="22">
        <f>O17*Constants!$H$27</f>
        <v>8760</v>
      </c>
      <c r="P22" s="22">
        <f>P17*Constants!$H$27</f>
        <v>8760</v>
      </c>
      <c r="Q22" s="22">
        <f>Q17*Constants!$H$27</f>
        <v>9180</v>
      </c>
      <c r="R22" s="22">
        <f>R17*Constants!$H$27</f>
        <v>10080</v>
      </c>
      <c r="S22" s="22">
        <f>S17*Constants!$H$27</f>
        <v>10560</v>
      </c>
      <c r="T22" s="22">
        <f>T17*Constants!$H$27</f>
        <v>12180</v>
      </c>
      <c r="U22" s="22">
        <f>U17*Constants!$H$27</f>
        <v>11340</v>
      </c>
      <c r="V22" s="22">
        <f>V17*Constants!$H$27</f>
        <v>10800</v>
      </c>
      <c r="W22" s="22">
        <f>W17*Constants!$H$27</f>
        <v>10440</v>
      </c>
      <c r="X22" s="22">
        <f>X17*Constants!$H$27</f>
        <v>9300</v>
      </c>
      <c r="Y22" s="22">
        <f>((Data!$AJ$8*'Intermediate calculations'!Y4)+Data!$AK$8)*Drivers!Z4</f>
        <v>10751.618288431617</v>
      </c>
      <c r="Z22" s="22">
        <f>((Data!$AJ$8*'Intermediate calculations'!Z4)+Data!$AK$8)*Drivers!AA4</f>
        <v>10912.672447123787</v>
      </c>
      <c r="AA22" s="22">
        <f>((Data!$AJ$8*'Intermediate calculations'!AA4)+Data!$AK$8)*Drivers!AB4</f>
        <v>11079.157872081321</v>
      </c>
      <c r="AB22" s="22">
        <f>((Data!$AJ$8*'Intermediate calculations'!AB4)+Data!$AK$8)*Drivers!AC4</f>
        <v>11251.415568763641</v>
      </c>
      <c r="AC22" s="22">
        <f>((Data!$AJ$8*'Intermediate calculations'!AC4)+Data!$AK$8)*Drivers!AD4</f>
        <v>11429.654358913165</v>
      </c>
      <c r="AD22" s="22">
        <f>((Data!$AJ$8*'Intermediate calculations'!AD4)+Data!$AK$8)*Drivers!AE4</f>
        <v>11615.061792046446</v>
      </c>
      <c r="AE22" s="22">
        <f>((Data!$AJ$8*'Intermediate calculations'!AE4)+Data!$AK$8)*Drivers!AF4</f>
        <v>11802.818601948984</v>
      </c>
      <c r="AF22" s="22">
        <f>((Data!$AJ$8*'Intermediate calculations'!AF4)+Data!$AK$8)*Drivers!AG4</f>
        <v>11993.553517905884</v>
      </c>
      <c r="AG22" s="22">
        <f>((Data!$AJ$8*'Intermediate calculations'!AG4)+Data!$AK$8)*Drivers!AH4</f>
        <v>12178.806073739521</v>
      </c>
      <c r="AH22" s="22">
        <f>((Data!$AJ$8*'Intermediate calculations'!AH4)+Data!$AK$8)*Drivers!AI4</f>
        <v>12320.456082363035</v>
      </c>
      <c r="AI22" s="22">
        <f>((Data!$AJ$8*'Intermediate calculations'!AI4)+Data!$AK$8)*Drivers!AJ4</f>
        <v>12463.619401234237</v>
      </c>
      <c r="AJ22" s="22">
        <f>((Data!$AJ$8*'Intermediate calculations'!AJ4)+Data!$AK$8)*Drivers!AK4</f>
        <v>12608.465897217298</v>
      </c>
      <c r="AK22" s="22">
        <f>((Data!$AJ$8*'Intermediate calculations'!AK4)+Data!$AK$8)*Drivers!AL4</f>
        <v>12755.127417649868</v>
      </c>
      <c r="AL22" s="22">
        <f>((Data!$AJ$8*'Intermediate calculations'!AL4)+Data!$AK$8)*Drivers!AM4</f>
        <v>12903.706440643795</v>
      </c>
      <c r="AM22" s="22">
        <f>((Data!$AJ$8*'Intermediate calculations'!AM4)+Data!$AK$8)*Drivers!AN4</f>
        <v>13032.70985063429</v>
      </c>
      <c r="AN22" s="22">
        <f>((Data!$AJ$8*'Intermediate calculations'!AN4)+Data!$AK$8)*Drivers!AO4</f>
        <v>13163.141400375651</v>
      </c>
      <c r="AO22" s="22">
        <f>((Data!$AJ$8*'Intermediate calculations'!AO4)+Data!$AK$8)*Drivers!AP4</f>
        <v>13295.035059053953</v>
      </c>
      <c r="AP22" s="22">
        <f>((Data!$AJ$8*'Intermediate calculations'!AP4)+Data!$AK$8)*Drivers!AQ4</f>
        <v>13428.58115398567</v>
      </c>
      <c r="AQ22" s="22">
        <f>((Data!$AJ$8*'Intermediate calculations'!AQ4)+Data!$AK$8)*Drivers!AR4</f>
        <v>13563.41009261436</v>
      </c>
      <c r="AR22" s="22">
        <f>((Data!$AJ$8*'Intermediate calculations'!AR4)+Data!$AK$8)*Drivers!AS4</f>
        <v>13682.449571010604</v>
      </c>
      <c r="AS22" s="22">
        <f>((Data!$AJ$8*'Intermediate calculations'!AS4)+Data!$AK$8)*Drivers!AT4</f>
        <v>13802.634724913147</v>
      </c>
      <c r="AT22" s="22">
        <f>((Data!$AJ$8*'Intermediate calculations'!AT4)+Data!$AK$8)*Drivers!AU4</f>
        <v>13923.958342508806</v>
      </c>
      <c r="AU22" s="22">
        <f>((Data!$AJ$8*'Intermediate calculations'!AU4)+Data!$AK$8)*Drivers!AV4</f>
        <v>14046.411690348767</v>
      </c>
      <c r="AV22" s="22">
        <f>((Data!$AJ$8*'Intermediate calculations'!AV4)+Data!$AK$8)*Drivers!AW4</f>
        <v>14169.596954637367</v>
      </c>
      <c r="AW22" s="22">
        <f>((Data!$AJ$8*'Intermediate calculations'!AW4)+Data!$AK$8)*Drivers!AX4</f>
        <v>14276.964235335063</v>
      </c>
      <c r="AX22" s="22">
        <f>((Data!$AJ$8*'Intermediate calculations'!AX4)+Data!$AK$8)*Drivers!AY4</f>
        <v>14385.403574485241</v>
      </c>
      <c r="AY22" s="22">
        <f>((Data!$AJ$8*'Intermediate calculations'!AY4)+Data!$AK$8)*Drivers!AZ4</f>
        <v>14494.841658143083</v>
      </c>
      <c r="AZ22" s="22">
        <f>((Data!$AJ$8*'Intermediate calculations'!AZ4)+Data!$AK$8)*Drivers!BA4</f>
        <v>14604.980205980875</v>
      </c>
      <c r="BA22" s="22">
        <f>((Data!$AJ$8*'Intermediate calculations'!BA4)+Data!$AK$8)*Drivers!BB4</f>
        <v>14715.991951843607</v>
      </c>
      <c r="BB22" s="22">
        <f>((Data!$AJ$8*'Intermediate calculations'!BB4)+Data!$AK$8)*Drivers!BC4</f>
        <v>14811.819348027981</v>
      </c>
      <c r="BC22" s="22">
        <f>((Data!$AJ$8*'Intermediate calculations'!BC4)+Data!$AK$8)*Drivers!BD4</f>
        <v>14908.479663267526</v>
      </c>
      <c r="BD22" s="22">
        <f>((Data!$AJ$8*'Intermediate calculations'!BD4)+Data!$AK$8)*Drivers!BE4</f>
        <v>15006.03760373311</v>
      </c>
      <c r="BE22" s="22">
        <f>((Data!$AJ$8*'Intermediate calculations'!BE4)+Data!$AK$8)*Drivers!BF4</f>
        <v>15104.477969747182</v>
      </c>
      <c r="BF22" s="22">
        <f>((Data!$AJ$8*'Intermediate calculations'!BF4)+Data!$AK$8)*Drivers!BG4</f>
        <v>15203.931576793051</v>
      </c>
      <c r="BG22" s="22">
        <f>((Data!$AJ$8*'Intermediate calculations'!BG4)+Data!$AK$8)*Drivers!BH4</f>
        <v>15287.726206831243</v>
      </c>
      <c r="BH22" s="22">
        <f>((Data!$AJ$8*'Intermediate calculations'!BH4)+Data!$AK$8)*Drivers!BI4</f>
        <v>15372.240202113315</v>
      </c>
      <c r="BI22" s="22">
        <f>((Data!$AJ$8*'Intermediate calculations'!BI4)+Data!$AK$8)*Drivers!BJ4</f>
        <v>15457.163394347357</v>
      </c>
      <c r="BJ22" s="22">
        <f>((Data!$AJ$8*'Intermediate calculations'!BJ4)+Data!$AK$8)*Drivers!BK4</f>
        <v>15542.841259939914</v>
      </c>
      <c r="BK22" s="22">
        <f>((Data!$AJ$8*'Intermediate calculations'!BK4)+Data!$AK$8)*Drivers!BL4</f>
        <v>15629.359575367604</v>
      </c>
    </row>
    <row r="23" spans="1:63" x14ac:dyDescent="0.25">
      <c r="A23" t="s">
        <v>340</v>
      </c>
      <c r="B23" t="s">
        <v>322</v>
      </c>
      <c r="C23" s="22">
        <f>C22/Drivers!D4</f>
        <v>2.9999585060087078E-4</v>
      </c>
      <c r="D23" s="22">
        <f>D22/Drivers!E4</f>
        <v>3.2768674631716946E-4</v>
      </c>
      <c r="E23" s="22">
        <f>E22/Drivers!F4</f>
        <v>3.0874567106375841E-4</v>
      </c>
      <c r="F23" s="22">
        <f>F22/Drivers!G4</f>
        <v>2.8611978427476583E-4</v>
      </c>
      <c r="G23" s="22">
        <f>G22/Drivers!H4</f>
        <v>2.3074613908829981E-4</v>
      </c>
      <c r="H23" s="22">
        <f>H22/Drivers!I4</f>
        <v>1.7086691161773848E-4</v>
      </c>
      <c r="I23" s="22">
        <f>I22/Drivers!J4</f>
        <v>2.0312013838873316E-4</v>
      </c>
      <c r="J23" s="22">
        <f>J22/Drivers!K4</f>
        <v>1.9819733014703986E-4</v>
      </c>
      <c r="K23" s="22">
        <f>K22/Drivers!L4</f>
        <v>1.9916551936644304E-4</v>
      </c>
      <c r="L23" s="22">
        <f>L22/Drivers!M4</f>
        <v>2.0839656368500879E-4</v>
      </c>
      <c r="M23" s="22">
        <f>M22/Drivers!N4</f>
        <v>2.1748940372944957E-4</v>
      </c>
      <c r="N23" s="22">
        <f>N22/Drivers!O4</f>
        <v>2.093424028478993E-4</v>
      </c>
      <c r="O23" s="22">
        <f>O22/Drivers!P4</f>
        <v>1.8981206287294901E-4</v>
      </c>
      <c r="P23" s="22">
        <f>P22/Drivers!Q4</f>
        <v>1.8750322672504894E-4</v>
      </c>
      <c r="Q23" s="22">
        <f>Q22/Drivers!R4</f>
        <v>1.941147700406055E-4</v>
      </c>
      <c r="R23" s="22">
        <f>R22/Drivers!S4</f>
        <v>2.1052367325130275E-4</v>
      </c>
      <c r="S23" s="22">
        <f>S22/Drivers!T4</f>
        <v>2.1777929095888654E-4</v>
      </c>
      <c r="T23" s="22">
        <f>T22/Drivers!U4</f>
        <v>2.4796538598652329E-4</v>
      </c>
      <c r="U23" s="22">
        <f>U22/Drivers!V4</f>
        <v>2.2780475107901408E-4</v>
      </c>
      <c r="V23" s="22">
        <f>V22/Drivers!W4</f>
        <v>2.1395878610958166E-4</v>
      </c>
      <c r="W23" s="22">
        <f>W22/Drivers!X4</f>
        <v>2.0383871250158445E-4</v>
      </c>
      <c r="X23" s="22">
        <f>X22/Drivers!Y4</f>
        <v>1.788318060327929E-4</v>
      </c>
      <c r="Y23" s="22">
        <f>Y22/Drivers!Z4</f>
        <v>2.0547595492737499E-4</v>
      </c>
      <c r="Z23" s="22">
        <f>Z22/Drivers!AA4</f>
        <v>2.0549474676009242E-4</v>
      </c>
      <c r="AA23" s="22">
        <f>AA22/Drivers!AB4</f>
        <v>2.0550309247220871E-4</v>
      </c>
      <c r="AB23" s="22">
        <f>AB22/Drivers!AC4</f>
        <v>2.0550346251292192E-4</v>
      </c>
      <c r="AC23" s="22">
        <f>AC22/Drivers!AD4</f>
        <v>2.0549562373433375E-4</v>
      </c>
      <c r="AD23" s="22">
        <f>AD22/Drivers!AE4</f>
        <v>2.0549648755007364E-4</v>
      </c>
      <c r="AE23" s="22">
        <f>AE22/Drivers!AF4</f>
        <v>2.054951332804671E-4</v>
      </c>
      <c r="AF23" s="22">
        <f>AF22/Drivers!AG4</f>
        <v>2.0549280288330166E-4</v>
      </c>
      <c r="AG23" s="22">
        <f>AG22/Drivers!AH4</f>
        <v>2.0534606435818295E-4</v>
      </c>
      <c r="AH23" s="22">
        <f>AH22/Drivers!AI4</f>
        <v>2.0536975339056023E-4</v>
      </c>
      <c r="AI23" s="22">
        <f>AI22/Drivers!AJ4</f>
        <v>2.0539123361577023E-4</v>
      </c>
      <c r="AJ23" s="22">
        <f>AJ22/Drivers!AK4</f>
        <v>2.0541303579177909E-4</v>
      </c>
      <c r="AK23" s="22">
        <f>AK22/Drivers!AL4</f>
        <v>2.0543696122372163E-4</v>
      </c>
      <c r="AL23" s="22">
        <f>AL22/Drivers!AM4</f>
        <v>2.0546425773096427E-4</v>
      </c>
      <c r="AM23" s="22">
        <f>AM22/Drivers!AN4</f>
        <v>2.0549496890905178E-4</v>
      </c>
      <c r="AN23" s="22">
        <f>AN22/Drivers!AO4</f>
        <v>2.0552784629748614E-4</v>
      </c>
      <c r="AO23" s="22">
        <f>AO22/Drivers!AP4</f>
        <v>2.0556315252981012E-4</v>
      </c>
      <c r="AP23" s="22">
        <f>AP22/Drivers!AQ4</f>
        <v>2.0560353077192162E-4</v>
      </c>
      <c r="AQ23" s="22">
        <f>AQ22/Drivers!AR4</f>
        <v>2.0564302845445145E-4</v>
      </c>
      <c r="AR23" s="22">
        <f>AR22/Drivers!AS4</f>
        <v>2.0569242265688475E-4</v>
      </c>
      <c r="AS23" s="22">
        <f>AS22/Drivers!AT4</f>
        <v>2.0574333310114385E-4</v>
      </c>
      <c r="AT23" s="22">
        <f>AT22/Drivers!AU4</f>
        <v>2.0579547948787306E-4</v>
      </c>
      <c r="AU23" s="22">
        <f>AU22/Drivers!AV4</f>
        <v>2.0584856688036989E-4</v>
      </c>
      <c r="AV23" s="22">
        <f>AV22/Drivers!AW4</f>
        <v>2.0589665493769282E-4</v>
      </c>
      <c r="AW23" s="22">
        <f>AW22/Drivers!AX4</f>
        <v>2.059490106437839E-4</v>
      </c>
      <c r="AX23" s="22">
        <f>AX22/Drivers!AY4</f>
        <v>2.0600508155568903E-4</v>
      </c>
      <c r="AY23" s="22">
        <f>AY22/Drivers!AZ4</f>
        <v>2.0606365706778734E-4</v>
      </c>
      <c r="AZ23" s="22">
        <f>AZ22/Drivers!BA4</f>
        <v>2.0612038498135372E-4</v>
      </c>
      <c r="BA23" s="22">
        <f>BA22/Drivers!BB4</f>
        <v>2.0617763728877895E-4</v>
      </c>
      <c r="BB23" s="22">
        <f>BB22/Drivers!BC4</f>
        <v>2.0623928436309461E-4</v>
      </c>
      <c r="BC23" s="22">
        <f>BC22/Drivers!BD4</f>
        <v>2.0630384079168602E-4</v>
      </c>
      <c r="BD23" s="22">
        <f>BD22/Drivers!BE4</f>
        <v>2.0637208704256017E-4</v>
      </c>
      <c r="BE23" s="22">
        <f>BE22/Drivers!BF4</f>
        <v>2.0644369116097568E-4</v>
      </c>
      <c r="BF23" s="22">
        <f>BF22/Drivers!BG4</f>
        <v>2.065203115595559E-4</v>
      </c>
      <c r="BG23" s="22">
        <f>BG22/Drivers!BH4</f>
        <v>2.0660384371744254E-4</v>
      </c>
      <c r="BH23" s="22">
        <f>BH22/Drivers!BI4</f>
        <v>2.0669087249039792E-4</v>
      </c>
      <c r="BI23" s="22">
        <f>BI22/Drivers!BJ4</f>
        <v>2.0677716182504412E-4</v>
      </c>
      <c r="BJ23" s="22">
        <f>BJ22/Drivers!BK4</f>
        <v>2.068672873002464E-4</v>
      </c>
      <c r="BK23" s="22">
        <f>BK22/Drivers!BL4</f>
        <v>2.0696229255192443E-4</v>
      </c>
    </row>
    <row r="24" spans="1:63" x14ac:dyDescent="0.25">
      <c r="A24" t="s">
        <v>340</v>
      </c>
      <c r="B24" t="s">
        <v>663</v>
      </c>
      <c r="C24" s="22">
        <f>C23*1000</f>
        <v>0.29999585060087075</v>
      </c>
      <c r="D24" s="22">
        <f t="shared" ref="D24:X24" si="8">D23*1000</f>
        <v>0.32768674631716949</v>
      </c>
      <c r="E24" s="22">
        <f t="shared" si="8"/>
        <v>0.30874567106375839</v>
      </c>
      <c r="F24" s="22">
        <f t="shared" si="8"/>
        <v>0.28611978427476581</v>
      </c>
      <c r="G24" s="22">
        <f t="shared" si="8"/>
        <v>0.2307461390882998</v>
      </c>
      <c r="H24" s="22">
        <f t="shared" si="8"/>
        <v>0.17086691161773848</v>
      </c>
      <c r="I24" s="22">
        <f t="shared" si="8"/>
        <v>0.20312013838873316</v>
      </c>
      <c r="J24" s="22">
        <f t="shared" si="8"/>
        <v>0.19819733014703986</v>
      </c>
      <c r="K24" s="22">
        <f t="shared" si="8"/>
        <v>0.19916551936644303</v>
      </c>
      <c r="L24" s="22">
        <f t="shared" si="8"/>
        <v>0.20839656368500878</v>
      </c>
      <c r="M24" s="22">
        <f t="shared" si="8"/>
        <v>0.21748940372944958</v>
      </c>
      <c r="N24" s="22">
        <f t="shared" si="8"/>
        <v>0.20934240284789929</v>
      </c>
      <c r="O24" s="22">
        <f t="shared" si="8"/>
        <v>0.18981206287294902</v>
      </c>
      <c r="P24" s="22">
        <f t="shared" si="8"/>
        <v>0.18750322672504893</v>
      </c>
      <c r="Q24" s="22">
        <f t="shared" si="8"/>
        <v>0.19411477004060551</v>
      </c>
      <c r="R24" s="22">
        <f t="shared" si="8"/>
        <v>0.21052367325130275</v>
      </c>
      <c r="S24" s="22">
        <f t="shared" si="8"/>
        <v>0.21777929095888654</v>
      </c>
      <c r="T24" s="22">
        <f t="shared" si="8"/>
        <v>0.24796538598652329</v>
      </c>
      <c r="U24" s="22">
        <f t="shared" si="8"/>
        <v>0.22780475107901407</v>
      </c>
      <c r="V24" s="22">
        <f t="shared" si="8"/>
        <v>0.21395878610958166</v>
      </c>
      <c r="W24" s="22">
        <f t="shared" si="8"/>
        <v>0.20383871250158445</v>
      </c>
      <c r="X24" s="22">
        <f t="shared" si="8"/>
        <v>0.17883180603279289</v>
      </c>
      <c r="Y24" s="22">
        <f t="shared" ref="Y24" si="9">Y23*1000</f>
        <v>0.205475954927375</v>
      </c>
      <c r="Z24" s="22">
        <f t="shared" ref="Z24" si="10">Z23*1000</f>
        <v>0.20549474676009241</v>
      </c>
      <c r="AA24" s="22">
        <f t="shared" ref="AA24" si="11">AA23*1000</f>
        <v>0.20550309247220871</v>
      </c>
      <c r="AB24" s="22">
        <f t="shared" ref="AB24" si="12">AB23*1000</f>
        <v>0.20550346251292193</v>
      </c>
      <c r="AC24" s="22">
        <f t="shared" ref="AC24" si="13">AC23*1000</f>
        <v>0.20549562373433375</v>
      </c>
      <c r="AD24" s="22">
        <f t="shared" ref="AD24" si="14">AD23*1000</f>
        <v>0.20549648755007363</v>
      </c>
      <c r="AE24" s="22">
        <f t="shared" ref="AE24" si="15">AE23*1000</f>
        <v>0.20549513328046709</v>
      </c>
      <c r="AF24" s="22">
        <f t="shared" ref="AF24" si="16">AF23*1000</f>
        <v>0.20549280288330166</v>
      </c>
      <c r="AG24" s="22">
        <f t="shared" ref="AG24" si="17">AG23*1000</f>
        <v>0.20534606435818295</v>
      </c>
      <c r="AH24" s="22">
        <f t="shared" ref="AH24" si="18">AH23*1000</f>
        <v>0.20536975339056024</v>
      </c>
      <c r="AI24" s="22">
        <f t="shared" ref="AI24" si="19">AI23*1000</f>
        <v>0.20539123361577022</v>
      </c>
      <c r="AJ24" s="22">
        <f t="shared" ref="AJ24" si="20">AJ23*1000</f>
        <v>0.20541303579177908</v>
      </c>
      <c r="AK24" s="22">
        <f t="shared" ref="AK24" si="21">AK23*1000</f>
        <v>0.20543696122372163</v>
      </c>
      <c r="AL24" s="22">
        <f t="shared" ref="AL24" si="22">AL23*1000</f>
        <v>0.20546425773096427</v>
      </c>
      <c r="AM24" s="22">
        <f t="shared" ref="AM24" si="23">AM23*1000</f>
        <v>0.20549496890905178</v>
      </c>
      <c r="AN24" s="22">
        <f t="shared" ref="AN24" si="24">AN23*1000</f>
        <v>0.20552784629748613</v>
      </c>
      <c r="AO24" s="22">
        <f t="shared" ref="AO24" si="25">AO23*1000</f>
        <v>0.20556315252981011</v>
      </c>
      <c r="AP24" s="22">
        <f t="shared" ref="AP24" si="26">AP23*1000</f>
        <v>0.20560353077192162</v>
      </c>
      <c r="AQ24" s="22">
        <f t="shared" ref="AQ24" si="27">AQ23*1000</f>
        <v>0.20564302845445145</v>
      </c>
      <c r="AR24" s="22">
        <f t="shared" ref="AR24" si="28">AR23*1000</f>
        <v>0.20569242265688475</v>
      </c>
      <c r="AS24" s="22">
        <f t="shared" ref="AS24" si="29">AS23*1000</f>
        <v>0.20574333310114384</v>
      </c>
      <c r="AT24" s="22">
        <f t="shared" ref="AT24" si="30">AT23*1000</f>
        <v>0.20579547948787305</v>
      </c>
      <c r="AU24" s="22">
        <f t="shared" ref="AU24" si="31">AU23*1000</f>
        <v>0.2058485668803699</v>
      </c>
      <c r="AV24" s="22">
        <f t="shared" ref="AV24" si="32">AV23*1000</f>
        <v>0.20589665493769282</v>
      </c>
      <c r="AW24" s="22">
        <f t="shared" ref="AW24" si="33">AW23*1000</f>
        <v>0.2059490106437839</v>
      </c>
      <c r="AX24" s="22">
        <f t="shared" ref="AX24" si="34">AX23*1000</f>
        <v>0.20600508155568903</v>
      </c>
      <c r="AY24" s="22">
        <f t="shared" ref="AY24" si="35">AY23*1000</f>
        <v>0.20606365706778734</v>
      </c>
      <c r="AZ24" s="22">
        <f t="shared" ref="AZ24" si="36">AZ23*1000</f>
        <v>0.20612038498135371</v>
      </c>
      <c r="BA24" s="22">
        <f t="shared" ref="BA24" si="37">BA23*1000</f>
        <v>0.20617763728877894</v>
      </c>
      <c r="BB24" s="22">
        <f t="shared" ref="BB24" si="38">BB23*1000</f>
        <v>0.2062392843630946</v>
      </c>
      <c r="BC24" s="22">
        <f t="shared" ref="BC24" si="39">BC23*1000</f>
        <v>0.20630384079168601</v>
      </c>
      <c r="BD24" s="22">
        <f t="shared" ref="BD24" si="40">BD23*1000</f>
        <v>0.20637208704256016</v>
      </c>
      <c r="BE24" s="22">
        <f t="shared" ref="BE24" si="41">BE23*1000</f>
        <v>0.20644369116097569</v>
      </c>
      <c r="BF24" s="22">
        <f t="shared" ref="BF24" si="42">BF23*1000</f>
        <v>0.20652031155955591</v>
      </c>
      <c r="BG24" s="22">
        <f t="shared" ref="BG24" si="43">BG23*1000</f>
        <v>0.20660384371744253</v>
      </c>
      <c r="BH24" s="22">
        <f t="shared" ref="BH24" si="44">BH23*1000</f>
        <v>0.20669087249039791</v>
      </c>
      <c r="BI24" s="22">
        <f t="shared" ref="BI24" si="45">BI23*1000</f>
        <v>0.2067771618250441</v>
      </c>
      <c r="BJ24" s="22">
        <f t="shared" ref="BJ24" si="46">BJ23*1000</f>
        <v>0.20686728730024639</v>
      </c>
      <c r="BK24" s="22">
        <f t="shared" ref="BK24" si="47">BK23*1000</f>
        <v>0.20696229255192444</v>
      </c>
    </row>
    <row r="25" spans="1:63" x14ac:dyDescent="0.25">
      <c r="A25" t="s">
        <v>817</v>
      </c>
      <c r="C25" s="22">
        <f>Data!C21</f>
        <v>747.58015507693869</v>
      </c>
      <c r="D25" s="22">
        <f>Data!D21</f>
        <v>590.47220402049277</v>
      </c>
      <c r="E25" s="22">
        <f>Data!E21</f>
        <v>569.38006615729716</v>
      </c>
      <c r="F25" s="22">
        <f>Data!F21</f>
        <v>566.44789692123072</v>
      </c>
      <c r="G25" s="22">
        <f>Data!G21</f>
        <v>742.85362090363867</v>
      </c>
      <c r="H25" s="22">
        <f>Data!H21</f>
        <v>995.52503048103245</v>
      </c>
      <c r="I25" s="22">
        <f>Data!I21</f>
        <v>834.31243407359318</v>
      </c>
      <c r="J25" s="22">
        <f>Data!J21</f>
        <v>835.99741053944376</v>
      </c>
      <c r="K25" s="22">
        <f>Data!K21</f>
        <v>807.07358113668761</v>
      </c>
      <c r="L25" s="22">
        <f>Data!L21</f>
        <v>748.63713691587566</v>
      </c>
      <c r="M25" s="22">
        <f>Data!M21</f>
        <v>716.42781303590107</v>
      </c>
      <c r="N25" s="22">
        <f>Data!N21</f>
        <v>756.90571182634426</v>
      </c>
      <c r="O25" s="22">
        <f>Data!O21</f>
        <v>752.63780790236967</v>
      </c>
      <c r="P25" s="22">
        <f>Data!P21</f>
        <v>733.6180799048368</v>
      </c>
      <c r="Q25" s="22">
        <f>Data!Q21</f>
        <v>701.35025005281352</v>
      </c>
      <c r="R25" s="22">
        <f>Data!R21</f>
        <v>630.46516734678903</v>
      </c>
      <c r="S25" s="22">
        <f>Data!S21</f>
        <v>614.48619189756312</v>
      </c>
      <c r="T25" s="22">
        <f>Data!T21</f>
        <v>516.87884312506992</v>
      </c>
      <c r="U25" s="22">
        <f>Data!U21</f>
        <v>554.64143311323846</v>
      </c>
      <c r="V25" s="22">
        <f>Data!V21</f>
        <v>572.18059101466702</v>
      </c>
      <c r="W25" s="22">
        <f>Data!W21</f>
        <v>584.78636599310846</v>
      </c>
      <c r="X25" s="22">
        <f>Data!X21</f>
        <v>650.3914314253102</v>
      </c>
      <c r="Y25" s="22">
        <f>((Data!$AJ$21*LN('Intermediate calculations'!Y2))+Data!$AK$21)</f>
        <v>565.56709991308276</v>
      </c>
      <c r="Z25" s="22">
        <f>((Data!$AJ$21*LN('Intermediate calculations'!Z2))+Data!$AK$21)</f>
        <v>558.67068520624093</v>
      </c>
      <c r="AA25" s="22">
        <f>((Data!$AJ$21*LN('Intermediate calculations'!AA2))+Data!$AK$21)</f>
        <v>552.19249937052302</v>
      </c>
      <c r="AB25" s="22">
        <f>((Data!$AJ$21*LN('Intermediate calculations'!AB2))+Data!$AK$21)</f>
        <v>546.08470329962574</v>
      </c>
      <c r="AC25" s="22">
        <f>((Data!$AJ$21*LN('Intermediate calculations'!AC2))+Data!$AK$21)</f>
        <v>540.30722384465673</v>
      </c>
      <c r="AD25" s="22">
        <f>((Data!$AJ$21*LN('Intermediate calculations'!AD2))+Data!$AK$21)</f>
        <v>534.82615883818357</v>
      </c>
      <c r="AE25" s="22">
        <f>((Data!$AJ$21*LN('Intermediate calculations'!AE2))+Data!$AK$21)</f>
        <v>529.61257166890118</v>
      </c>
      <c r="AF25" s="22">
        <f>((Data!$AJ$21*LN('Intermediate calculations'!AF2))+Data!$AK$21)</f>
        <v>524.64156653379541</v>
      </c>
      <c r="AG25" s="22">
        <f>((Data!$AJ$21*LN('Intermediate calculations'!AG2))+Data!$AK$21)</f>
        <v>519.89156941990007</v>
      </c>
      <c r="AH25" s="22">
        <f>((Data!$AJ$21*LN('Intermediate calculations'!AH2))+Data!$AK$21)</f>
        <v>515.34376222472656</v>
      </c>
      <c r="AI25" s="22">
        <f>((Data!$AJ$21*LN('Intermediate calculations'!AI2))+Data!$AK$21)</f>
        <v>510.98163247012616</v>
      </c>
      <c r="AJ25" s="22">
        <f>((Data!$AJ$21*LN('Intermediate calculations'!AJ2))+Data!$AK$21)</f>
        <v>506.7906113832538</v>
      </c>
      <c r="AK25" s="22">
        <f>((Data!$AJ$21*LN('Intermediate calculations'!AK2))+Data!$AK$21)</f>
        <v>502.75778031811149</v>
      </c>
      <c r="AL25" s="22">
        <f>((Data!$AJ$21*LN('Intermediate calculations'!AL2))+Data!$AK$21)</f>
        <v>498.87163059400189</v>
      </c>
      <c r="AM25" s="22">
        <f>((Data!$AJ$21*LN('Intermediate calculations'!AM2))+Data!$AK$21)</f>
        <v>495.1218654961454</v>
      </c>
      <c r="AN25" s="22">
        <f>((Data!$AJ$21*LN('Intermediate calculations'!AN2))+Data!$AK$21)</f>
        <v>491.49923585666915</v>
      </c>
      <c r="AO25" s="22">
        <f>((Data!$AJ$21*LN('Intermediate calculations'!AO2))+Data!$AK$21)</f>
        <v>487.99540260537441</v>
      </c>
      <c r="AP25" s="22">
        <f>((Data!$AJ$21*LN('Intermediate calculations'!AP2))+Data!$AK$21)</f>
        <v>484.60282114982732</v>
      </c>
      <c r="AQ25" s="22">
        <f>((Data!$AJ$21*LN('Intermediate calculations'!AQ2))+Data!$AK$21)</f>
        <v>481.31464355228115</v>
      </c>
      <c r="AR25" s="22">
        <f>((Data!$AJ$21*LN('Intermediate calculations'!AR2))+Data!$AK$21)</f>
        <v>478.12463531410947</v>
      </c>
      <c r="AS25" s="22">
        <f>((Data!$AJ$21*LN('Intermediate calculations'!AS2))+Data!$AK$21)</f>
        <v>475.02710422594453</v>
      </c>
      <c r="AT25" s="22">
        <f>((Data!$AJ$21*LN('Intermediate calculations'!AT2))+Data!$AK$21)</f>
        <v>472.01683924321225</v>
      </c>
      <c r="AU25" s="22">
        <f>((Data!$AJ$21*LN('Intermediate calculations'!AU2))+Data!$AK$21)</f>
        <v>469.08905773826399</v>
      </c>
      <c r="AV25" s="22">
        <f>((Data!$AJ$21*LN('Intermediate calculations'!AV2))+Data!$AK$21)</f>
        <v>466.23935978824318</v>
      </c>
      <c r="AW25" s="22">
        <f>((Data!$AJ$21*LN('Intermediate calculations'!AW2))+Data!$AK$21)</f>
        <v>463.46368840173949</v>
      </c>
      <c r="AX25" s="22">
        <f>((Data!$AJ$21*LN('Intermediate calculations'!AX2))+Data!$AK$21)</f>
        <v>460.75829478176996</v>
      </c>
      <c r="AY25" s="22">
        <f>((Data!$AJ$21*LN('Intermediate calculations'!AY2))+Data!$AK$21)</f>
        <v>458.11970787867688</v>
      </c>
      <c r="AZ25" s="22">
        <f>((Data!$AJ$21*LN('Intermediate calculations'!AZ2))+Data!$AK$21)</f>
        <v>455.54470761248751</v>
      </c>
      <c r="BA25" s="22">
        <f>((Data!$AJ$21*LN('Intermediate calculations'!BA2))+Data!$AK$21)</f>
        <v>453.03030124651184</v>
      </c>
      <c r="BB25" s="22">
        <f>((Data!$AJ$21*LN('Intermediate calculations'!BB2))+Data!$AK$21)</f>
        <v>450.57370247738191</v>
      </c>
      <c r="BC25" s="22">
        <f>((Data!$AJ$21*LN('Intermediate calculations'!BC2))+Data!$AK$21)</f>
        <v>448.17231287515489</v>
      </c>
      <c r="BD25" s="22">
        <f>((Data!$AJ$21*LN('Intermediate calculations'!BD2))+Data!$AK$21)</f>
        <v>445.82370536348645</v>
      </c>
      <c r="BE25" s="22">
        <f>((Data!$AJ$21*LN('Intermediate calculations'!BE2))+Data!$AK$21)</f>
        <v>443.52560947656553</v>
      </c>
      <c r="BF25" s="22">
        <f>((Data!$AJ$21*LN('Intermediate calculations'!BF2))+Data!$AK$21)</f>
        <v>441.27589816831295</v>
      </c>
      <c r="BG25" s="22">
        <f>((Data!$AJ$21*LN('Intermediate calculations'!BG2))+Data!$AK$21)</f>
        <v>439.0725759817629</v>
      </c>
      <c r="BH25" s="22">
        <f>((Data!$AJ$21*LN('Intermediate calculations'!BH2))+Data!$AK$21)</f>
        <v>436.9137684137126</v>
      </c>
      <c r="BI25" s="22">
        <f>((Data!$AJ$21*LN('Intermediate calculations'!BI2))+Data!$AK$21)</f>
        <v>434.79771233259515</v>
      </c>
      <c r="BJ25" s="22">
        <f>((Data!$AJ$21*LN('Intermediate calculations'!BJ2))+Data!$AK$21)</f>
        <v>432.72274732684025</v>
      </c>
      <c r="BK25" s="22">
        <f>((Data!$AJ$21*LN('Intermediate calculations'!BK2))+Data!$AK$21)</f>
        <v>430.68730787735745</v>
      </c>
    </row>
    <row r="26" spans="1:63" x14ac:dyDescent="0.25">
      <c r="A26" t="s">
        <v>664</v>
      </c>
      <c r="B26" t="s">
        <v>663</v>
      </c>
      <c r="C26" s="53">
        <f>(C19+C22)*ttokg/Drivers!D4</f>
        <v>4.9999308433478458</v>
      </c>
      <c r="D26" s="53">
        <f>(D19+D22)*ttokg/Drivers!E4</f>
        <v>5.4614457719528247</v>
      </c>
      <c r="E26" s="53">
        <f>(E19+E22)*ttokg/Drivers!F4</f>
        <v>5.1457611843959734</v>
      </c>
      <c r="F26" s="53">
        <f>(F19+F22)*ttokg/Drivers!G4</f>
        <v>4.7686630712460971</v>
      </c>
      <c r="G26" s="53">
        <f>(G19+G22)*ttokg/Drivers!H4</f>
        <v>3.8457689848049967</v>
      </c>
      <c r="H26" s="53">
        <f>(H19+H22)*ttokg/Drivers!I4</f>
        <v>2.8477818602956413</v>
      </c>
      <c r="I26" s="53">
        <f>(I19+I22)*ttokg/Drivers!J4</f>
        <v>3.3853356398122196</v>
      </c>
      <c r="J26" s="53">
        <f>(J19+J22)*ttokg/Drivers!K4</f>
        <v>3.3032888357839978</v>
      </c>
      <c r="K26" s="53">
        <f>(K19+K22)*ttokg/Drivers!L4</f>
        <v>3.3194253227740504</v>
      </c>
      <c r="L26" s="53">
        <f>(L19+L22)*ttokg/Drivers!M4</f>
        <v>3.4732760614168128</v>
      </c>
      <c r="M26" s="53">
        <f>(M19+M22)*ttokg/Drivers!N4</f>
        <v>3.6248233954908264</v>
      </c>
      <c r="N26" s="53">
        <f>(N19+N22)*ttokg/Drivers!O4</f>
        <v>3.4890400474649885</v>
      </c>
      <c r="O26" s="53">
        <f>(O19+O22)*ttokg/Drivers!P4</f>
        <v>3.163534381215817</v>
      </c>
      <c r="P26" s="53">
        <f>(P19+P22)*ttokg/Drivers!Q4</f>
        <v>3.1250537787508157</v>
      </c>
      <c r="Q26" s="53">
        <f>(Q19+Q22)*ttokg/Drivers!R4</f>
        <v>3.2352461673434254</v>
      </c>
      <c r="R26" s="53">
        <f>(R19+R22)*ttokg/Drivers!S4</f>
        <v>3.5087278875217125</v>
      </c>
      <c r="S26" s="53">
        <f>(S19+S22)*ttokg/Drivers!T4</f>
        <v>3.6296548493147758</v>
      </c>
      <c r="T26" s="53">
        <f>(T19+T22)*ttokg/Drivers!U4</f>
        <v>4.132756433108721</v>
      </c>
      <c r="U26" s="53">
        <f>(U19+U22)*ttokg/Drivers!V4</f>
        <v>3.7967458513169015</v>
      </c>
      <c r="V26" s="53">
        <f>(V19+V22)*ttokg/Drivers!W4</f>
        <v>3.5659797684930274</v>
      </c>
      <c r="W26" s="53">
        <f>(W19+W22)*ttokg/Drivers!X4</f>
        <v>3.3973118750264071</v>
      </c>
      <c r="X26" s="53">
        <f>(X19+X22)*ttokg/Drivers!Y4</f>
        <v>2.9805301005465483</v>
      </c>
      <c r="Y26" s="53">
        <f>(Y19+Y22)*ttokg/Drivers!Z4</f>
        <v>3.424599248789582</v>
      </c>
      <c r="Z26" s="53">
        <f>(Z19+Z22)*ttokg/Drivers!AA4</f>
        <v>3.4249124460015397</v>
      </c>
      <c r="AA26" s="53">
        <f>(AA19+AA22)*ttokg/Drivers!AB4</f>
        <v>3.4250515412034774</v>
      </c>
      <c r="AB26" s="53">
        <f>(AB19+AB22)*ttokg/Drivers!AC4</f>
        <v>3.4250577085486982</v>
      </c>
      <c r="AC26" s="53">
        <f>(AC19+AC22)*ttokg/Drivers!AD4</f>
        <v>3.4249270622388948</v>
      </c>
      <c r="AD26" s="53">
        <f>(AD19+AD22)*ttokg/Drivers!AE4</f>
        <v>3.4249414591678926</v>
      </c>
      <c r="AE26" s="53">
        <f>(AE19+AE22)*ttokg/Drivers!AF4</f>
        <v>3.4249188880077841</v>
      </c>
      <c r="AF26" s="53">
        <f>(AF19+AF22)*ttokg/Drivers!AG4</f>
        <v>3.4248800480550274</v>
      </c>
      <c r="AG26" s="53">
        <f>(AG19+AG22)*ttokg/Drivers!AH4</f>
        <v>3.4224344059697143</v>
      </c>
      <c r="AH26" s="53">
        <f>(AH19+AH22)*ttokg/Drivers!AI4</f>
        <v>3.4228292231760027</v>
      </c>
      <c r="AI26" s="53">
        <f>(AI19+AI22)*ttokg/Drivers!AJ4</f>
        <v>3.4231872269295032</v>
      </c>
      <c r="AJ26" s="53">
        <f>(AJ19+AJ22)*ttokg/Drivers!AK4</f>
        <v>3.4235505965296511</v>
      </c>
      <c r="AK26" s="53">
        <f>(AK19+AK22)*ttokg/Drivers!AL4</f>
        <v>3.4239493537286934</v>
      </c>
      <c r="AL26" s="53">
        <f>(AL19+AL22)*ttokg/Drivers!AM4</f>
        <v>3.4244042955160698</v>
      </c>
      <c r="AM26" s="53">
        <f>(AM19+AM22)*ttokg/Drivers!AN4</f>
        <v>3.4249161484841957</v>
      </c>
      <c r="AN26" s="53">
        <f>(AN19+AN22)*ttokg/Drivers!AO4</f>
        <v>3.4254641049581016</v>
      </c>
      <c r="AO26" s="53">
        <f>(AO19+AO22)*ttokg/Drivers!AP4</f>
        <v>3.4260525421635011</v>
      </c>
      <c r="AP26" s="53">
        <f>(AP19+AP22)*ttokg/Drivers!AQ4</f>
        <v>3.4267255128653593</v>
      </c>
      <c r="AQ26" s="53">
        <f>(AQ19+AQ22)*ttokg/Drivers!AR4</f>
        <v>3.42738380757419</v>
      </c>
      <c r="AR26" s="53">
        <f>(AR19+AR22)*ttokg/Drivers!AS4</f>
        <v>3.4282070442814119</v>
      </c>
      <c r="AS26" s="53">
        <f>(AS19+AS22)*ttokg/Drivers!AT4</f>
        <v>3.42905555168573</v>
      </c>
      <c r="AT26" s="53">
        <f>(AT19+AT22)*ttokg/Drivers!AU4</f>
        <v>3.4299246581312168</v>
      </c>
      <c r="AU26" s="53">
        <f>(AU19+AU22)*ttokg/Drivers!AV4</f>
        <v>3.4308094480061642</v>
      </c>
      <c r="AV26" s="53">
        <f>(AV19+AV22)*ttokg/Drivers!AW4</f>
        <v>3.431610915628212</v>
      </c>
      <c r="AW26" s="53">
        <f>(AW19+AW22)*ttokg/Drivers!AX4</f>
        <v>3.4324835107297309</v>
      </c>
      <c r="AX26" s="53">
        <f>(AX19+AX22)*ttokg/Drivers!AY4</f>
        <v>3.433418025928149</v>
      </c>
      <c r="AY26" s="53">
        <f>(AY19+AY22)*ttokg/Drivers!AZ4</f>
        <v>3.4343942844631208</v>
      </c>
      <c r="AZ26" s="53">
        <f>(AZ19+AZ22)*ttokg/Drivers!BA4</f>
        <v>3.435339749689228</v>
      </c>
      <c r="BA26" s="53">
        <f>(BA19+BA22)*ttokg/Drivers!BB4</f>
        <v>3.4362939548129816</v>
      </c>
      <c r="BB26" s="53">
        <f>(BB19+BB22)*ttokg/Drivers!BC4</f>
        <v>3.4373214060515762</v>
      </c>
      <c r="BC26" s="53">
        <f>(BC19+BC22)*ttokg/Drivers!BD4</f>
        <v>3.4383973465280997</v>
      </c>
      <c r="BD26" s="53">
        <f>(BD19+BD22)*ttokg/Drivers!BE4</f>
        <v>3.4395347840426682</v>
      </c>
      <c r="BE26" s="53">
        <f>(BE19+BE22)*ttokg/Drivers!BF4</f>
        <v>3.4407281860162602</v>
      </c>
      <c r="BF26" s="53">
        <f>(BF19+BF22)*ttokg/Drivers!BG4</f>
        <v>3.4420051926592636</v>
      </c>
      <c r="BG26" s="53">
        <f>(BG19+BG22)*ttokg/Drivers!BH4</f>
        <v>3.4433973952907078</v>
      </c>
      <c r="BH26" s="53">
        <f>(BH19+BH22)*ttokg/Drivers!BI4</f>
        <v>3.4448478748399642</v>
      </c>
      <c r="BI26" s="53">
        <f>(BI19+BI22)*ttokg/Drivers!BJ4</f>
        <v>3.4462860304174008</v>
      </c>
      <c r="BJ26" s="53">
        <f>(BJ19+BJ22)*ttokg/Drivers!BK4</f>
        <v>3.4477881216707718</v>
      </c>
      <c r="BK26" s="53">
        <f>(BK19+BK22)*ttokg/Drivers!BL4</f>
        <v>3.4493715425320723</v>
      </c>
    </row>
    <row r="27" spans="1:63" x14ac:dyDescent="0.25">
      <c r="A27" t="s">
        <v>333</v>
      </c>
      <c r="B27" t="s">
        <v>321</v>
      </c>
      <c r="C27" s="22">
        <v>157160</v>
      </c>
      <c r="D27" s="22">
        <v>178840</v>
      </c>
      <c r="E27" s="22">
        <v>164160</v>
      </c>
      <c r="F27" s="22">
        <v>156060</v>
      </c>
      <c r="G27" s="22">
        <v>125940</v>
      </c>
      <c r="H27" s="22">
        <v>87720</v>
      </c>
      <c r="I27" s="22">
        <v>97720</v>
      </c>
      <c r="J27" s="22">
        <v>94080</v>
      </c>
      <c r="K27" s="22">
        <v>88200</v>
      </c>
      <c r="L27" s="22">
        <v>95660</v>
      </c>
      <c r="M27" s="22">
        <v>98520</v>
      </c>
      <c r="N27" s="22">
        <v>95860</v>
      </c>
      <c r="O27" s="22">
        <v>96340</v>
      </c>
      <c r="P27" s="22">
        <v>105640</v>
      </c>
      <c r="Q27" s="22">
        <v>111120</v>
      </c>
      <c r="R27" s="22">
        <v>124520</v>
      </c>
      <c r="S27" s="22">
        <v>124740</v>
      </c>
      <c r="T27" s="22">
        <v>148520</v>
      </c>
      <c r="U27" s="22">
        <v>149260</v>
      </c>
      <c r="V27" s="22">
        <v>151300</v>
      </c>
      <c r="W27" s="22">
        <v>153460</v>
      </c>
      <c r="X27" s="22">
        <v>139500</v>
      </c>
      <c r="Y27" s="22">
        <f>((Data!$AJ$23*'Intermediate calculations'!Y19)+Data!$AK$23)</f>
        <v>152700.22335748162</v>
      </c>
      <c r="Z27" s="22">
        <f>((Data!$AJ$23*'Intermediate calculations'!Z19)+Data!$AK$23)</f>
        <v>154140.44598775916</v>
      </c>
      <c r="AA27" s="22">
        <f>((Data!$AJ$23*'Intermediate calculations'!AA19)+Data!$AK$23)</f>
        <v>155629.23757552257</v>
      </c>
      <c r="AB27" s="22">
        <f>((Data!$AJ$23*'Intermediate calculations'!AB19)+Data!$AK$23)</f>
        <v>157169.64755323413</v>
      </c>
      <c r="AC27" s="22">
        <f>((Data!$AJ$23*'Intermediate calculations'!AC19)+Data!$AK$23)</f>
        <v>158763.54330390075</v>
      </c>
      <c r="AD27" s="22">
        <f>((Data!$AJ$23*'Intermediate calculations'!AD19)+Data!$AK$23)</f>
        <v>160421.54445822426</v>
      </c>
      <c r="AE27" s="22">
        <f>((Data!$AJ$23*'Intermediate calculations'!AE19)+Data!$AK$23)</f>
        <v>162100.5548532753</v>
      </c>
      <c r="AF27" s="22">
        <f>((Data!$AJ$23*'Intermediate calculations'!AF19)+Data!$AK$23)</f>
        <v>163806.19688435298</v>
      </c>
      <c r="AG27" s="22">
        <f>((Data!$AJ$23*'Intermediate calculations'!AG19)+Data!$AK$23)</f>
        <v>165462.81305244775</v>
      </c>
      <c r="AH27" s="22">
        <f>((Data!$AJ$23*'Intermediate calculations'!AH19)+Data!$AK$23)</f>
        <v>166729.51457481281</v>
      </c>
      <c r="AI27" s="22">
        <f>((Data!$AJ$23*'Intermediate calculations'!AI19)+Data!$AK$23)</f>
        <v>168009.74883475539</v>
      </c>
      <c r="AJ27" s="22">
        <f>((Data!$AJ$23*'Intermediate calculations'!AJ19)+Data!$AK$23)</f>
        <v>169305.03486229561</v>
      </c>
      <c r="AK27" s="22">
        <f>((Data!$AJ$23*'Intermediate calculations'!AK19)+Data!$AK$23)</f>
        <v>170616.55169882526</v>
      </c>
      <c r="AL27" s="22">
        <f>((Data!$AJ$23*'Intermediate calculations'!AL19)+Data!$AK$23)</f>
        <v>171945.2157521974</v>
      </c>
      <c r="AM27" s="22">
        <f>((Data!$AJ$23*'Intermediate calculations'!AM19)+Data!$AK$23)</f>
        <v>173098.82539481705</v>
      </c>
      <c r="AN27" s="22">
        <f>((Data!$AJ$23*'Intermediate calculations'!AN19)+Data!$AK$23)</f>
        <v>174265.20614005896</v>
      </c>
      <c r="AO27" s="22">
        <f>((Data!$AJ$23*'Intermediate calculations'!AO19)+Data!$AK$23)</f>
        <v>175444.66175648713</v>
      </c>
      <c r="AP27" s="22">
        <f>((Data!$AJ$23*'Intermediate calculations'!AP19)+Data!$AK$23)</f>
        <v>176638.89424118481</v>
      </c>
      <c r="AQ27" s="22">
        <f>((Data!$AJ$23*'Intermediate calculations'!AQ19)+Data!$AK$23)</f>
        <v>177844.59852231733</v>
      </c>
      <c r="AR27" s="22">
        <f>((Data!$AJ$23*'Intermediate calculations'!AR19)+Data!$AK$23)</f>
        <v>178909.1059654961</v>
      </c>
      <c r="AS27" s="22">
        <f>((Data!$AJ$23*'Intermediate calculations'!AS19)+Data!$AK$23)</f>
        <v>179983.85858212781</v>
      </c>
      <c r="AT27" s="22">
        <f>((Data!$AJ$23*'Intermediate calculations'!AT19)+Data!$AK$23)</f>
        <v>181068.79188076046</v>
      </c>
      <c r="AU27" s="22">
        <f>((Data!$AJ$23*'Intermediate calculations'!AU19)+Data!$AK$23)</f>
        <v>182163.82776275498</v>
      </c>
      <c r="AV27" s="22">
        <f>((Data!$AJ$23*'Intermediate calculations'!AV19)+Data!$AK$23)</f>
        <v>183265.40878857783</v>
      </c>
      <c r="AW27" s="22">
        <f>((Data!$AJ$23*'Intermediate calculations'!AW19)+Data!$AK$23)</f>
        <v>184225.53790705494</v>
      </c>
      <c r="AX27" s="22">
        <f>((Data!$AJ$23*'Intermediate calculations'!AX19)+Data!$AK$23)</f>
        <v>185195.25388039363</v>
      </c>
      <c r="AY27" s="22">
        <f>((Data!$AJ$23*'Intermediate calculations'!AY19)+Data!$AK$23)</f>
        <v>186173.90110054699</v>
      </c>
      <c r="AZ27" s="22">
        <f>((Data!$AJ$23*'Intermediate calculations'!AZ19)+Data!$AK$23)</f>
        <v>187158.81220343307</v>
      </c>
      <c r="BA27" s="22">
        <f>((Data!$AJ$23*'Intermediate calculations'!BA19)+Data!$AK$23)</f>
        <v>188151.53185697345</v>
      </c>
      <c r="BB27" s="22">
        <f>((Data!$AJ$23*'Intermediate calculations'!BB19)+Data!$AK$23)</f>
        <v>189008.46585797059</v>
      </c>
      <c r="BC27" s="22">
        <f>((Data!$AJ$23*'Intermediate calculations'!BC19)+Data!$AK$23)</f>
        <v>189872.84821598118</v>
      </c>
      <c r="BD27" s="22">
        <f>((Data!$AJ$23*'Intermediate calculations'!BD19)+Data!$AK$23)</f>
        <v>190745.25756425736</v>
      </c>
      <c r="BE27" s="22">
        <f>((Data!$AJ$23*'Intermediate calculations'!BE19)+Data!$AK$23)</f>
        <v>191625.55798007746</v>
      </c>
      <c r="BF27" s="22">
        <f>((Data!$AJ$23*'Intermediate calculations'!BF19)+Data!$AK$23)</f>
        <v>192514.91927750263</v>
      </c>
      <c r="BG27" s="22">
        <f>((Data!$AJ$23*'Intermediate calculations'!BG19)+Data!$AK$23)</f>
        <v>193264.25057982191</v>
      </c>
      <c r="BH27" s="22">
        <f>((Data!$AJ$23*'Intermediate calculations'!BH19)+Data!$AK$23)</f>
        <v>194020.01478714708</v>
      </c>
      <c r="BI27" s="22">
        <f>((Data!$AJ$23*'Intermediate calculations'!BI19)+Data!$AK$23)</f>
        <v>194779.4382275852</v>
      </c>
      <c r="BJ27" s="22">
        <f>((Data!$AJ$23*'Intermediate calculations'!BJ19)+Data!$AK$23)</f>
        <v>195545.61031492712</v>
      </c>
      <c r="BK27" s="22">
        <f>((Data!$AJ$23*'Intermediate calculations'!BK19)+Data!$AK$23)</f>
        <v>196319.29810308671</v>
      </c>
    </row>
    <row r="28" spans="1:63" x14ac:dyDescent="0.25">
      <c r="A28" t="s">
        <v>816</v>
      </c>
      <c r="B28" t="s">
        <v>815</v>
      </c>
      <c r="C28" s="22">
        <f>Data!C24</f>
        <v>217.37632200135343</v>
      </c>
      <c r="D28" s="22">
        <f>Data!D24</f>
        <v>182.43533983922441</v>
      </c>
      <c r="E28" s="22">
        <f>Data!E24</f>
        <v>190.5375058012163</v>
      </c>
      <c r="F28" s="22">
        <f>Data!F24</f>
        <v>187.44392961876648</v>
      </c>
      <c r="G28" s="22">
        <f>Data!G24</f>
        <v>233.91106858199078</v>
      </c>
      <c r="H28" s="22">
        <f>Data!H24</f>
        <v>331.02055240676185</v>
      </c>
      <c r="I28" s="22">
        <f>Data!I24</f>
        <v>298.13738680684139</v>
      </c>
      <c r="J28" s="22">
        <f>Data!J24</f>
        <v>302.93782099105391</v>
      </c>
      <c r="K28" s="22">
        <f>Data!K24</f>
        <v>324.02516807184935</v>
      </c>
      <c r="L28" s="22">
        <f>Data!L24</f>
        <v>291.41805349120352</v>
      </c>
      <c r="M28" s="22">
        <f>Data!M24</f>
        <v>272.814221136475</v>
      </c>
      <c r="N28" s="22">
        <f>Data!N24</f>
        <v>273.39449106353061</v>
      </c>
      <c r="O28" s="22">
        <f>Data!O24</f>
        <v>267.49019053642013</v>
      </c>
      <c r="P28" s="22">
        <f>Data!P24</f>
        <v>244.7939244530279</v>
      </c>
      <c r="Q28" s="22">
        <f>Data!Q24</f>
        <v>228.57854595451533</v>
      </c>
      <c r="R28" s="22">
        <f>Data!R24</f>
        <v>203.49543332726975</v>
      </c>
      <c r="S28" s="22">
        <f>Data!S24</f>
        <v>200.47811015517084</v>
      </c>
      <c r="T28" s="22">
        <f>Data!T24</f>
        <v>168.21780706498231</v>
      </c>
      <c r="U28" s="22">
        <f>Data!U24</f>
        <v>167.92588402758949</v>
      </c>
      <c r="V28" s="22">
        <f>Data!V24</f>
        <v>165.07423520689287</v>
      </c>
      <c r="W28" s="22">
        <f>Data!W24</f>
        <v>159.60223145034516</v>
      </c>
      <c r="X28" s="22">
        <f>Data!X24</f>
        <v>174.20152254230294</v>
      </c>
      <c r="Y28" s="22">
        <f>((Data!$AJ$24*LN('Intermediate calculations'!Y2))+Data!$AK$24)</f>
        <v>143.13279435069433</v>
      </c>
      <c r="Z28" s="22">
        <f>((Data!$AJ$24*LN('Intermediate calculations'!Z2))+Data!$AK$24)</f>
        <v>141.87225913644176</v>
      </c>
      <c r="AA28" s="22">
        <f>((Data!$AJ$24*LN('Intermediate calculations'!AA2))+Data!$AK$24)</f>
        <v>140.68816831280071</v>
      </c>
      <c r="AB28" s="22">
        <f>((Data!$AJ$24*LN('Intermediate calculations'!AB2))+Data!$AK$24)</f>
        <v>139.57177778872142</v>
      </c>
      <c r="AC28" s="22">
        <f>((Data!$AJ$24*LN('Intermediate calculations'!AC2))+Data!$AK$24)</f>
        <v>138.51576294445979</v>
      </c>
      <c r="AD28" s="22">
        <f>((Data!$AJ$24*LN('Intermediate calculations'!AD2))+Data!$AK$24)</f>
        <v>137.51392709989949</v>
      </c>
      <c r="AE28" s="22">
        <f>((Data!$AJ$24*LN('Intermediate calculations'!AE2))+Data!$AK$24)</f>
        <v>136.56098118541792</v>
      </c>
      <c r="AF28" s="22">
        <f>((Data!$AJ$24*LN('Intermediate calculations'!AF2))+Data!$AK$24)</f>
        <v>135.65237471533214</v>
      </c>
      <c r="AG28" s="22">
        <f>((Data!$AJ$24*LN('Intermediate calculations'!AG2))+Data!$AK$24)</f>
        <v>134.78416436485497</v>
      </c>
      <c r="AH28" s="22">
        <f>((Data!$AJ$24*LN('Intermediate calculations'!AH2))+Data!$AK$24)</f>
        <v>133.95291053792658</v>
      </c>
      <c r="AI28" s="22">
        <f>((Data!$AJ$24*LN('Intermediate calculations'!AI2))+Data!$AK$24)</f>
        <v>133.15559506335725</v>
      </c>
      <c r="AJ28" s="22">
        <f>((Data!$AJ$24*LN('Intermediate calculations'!AJ2))+Data!$AK$24)</f>
        <v>132.38955504281779</v>
      </c>
      <c r="AK28" s="22">
        <f>((Data!$AJ$24*LN('Intermediate calculations'!AK2))+Data!$AK$24)</f>
        <v>131.65242919020625</v>
      </c>
      <c r="AL28" s="22">
        <f>((Data!$AJ$24*LN('Intermediate calculations'!AL2))+Data!$AK$24)</f>
        <v>130.94211393462308</v>
      </c>
      <c r="AM28" s="22">
        <f>((Data!$AJ$24*LN('Intermediate calculations'!AM2))+Data!$AK$24)</f>
        <v>130.25672722979891</v>
      </c>
      <c r="AN28" s="22">
        <f>((Data!$AJ$24*LN('Intermediate calculations'!AN2))+Data!$AK$24)</f>
        <v>129.59457850138432</v>
      </c>
      <c r="AO28" s="22">
        <f>((Data!$AJ$24*LN('Intermediate calculations'!AO2))+Data!$AK$24)</f>
        <v>128.95414352380905</v>
      </c>
      <c r="AP28" s="22">
        <f>((Data!$AJ$24*LN('Intermediate calculations'!AP2))+Data!$AK$24)</f>
        <v>128.33404328713178</v>
      </c>
      <c r="AQ28" s="22">
        <f>((Data!$AJ$24*LN('Intermediate calculations'!AQ2))+Data!$AK$24)</f>
        <v>127.733026116817</v>
      </c>
      <c r="AR28" s="22">
        <f>((Data!$AJ$24*LN('Intermediate calculations'!AR2))+Data!$AK$24)</f>
        <v>127.14995246349075</v>
      </c>
      <c r="AS28" s="22">
        <f>((Data!$AJ$24*LN('Intermediate calculations'!AS2))+Data!$AK$24)</f>
        <v>126.58378189808082</v>
      </c>
      <c r="AT28" s="22">
        <f>((Data!$AJ$24*LN('Intermediate calculations'!AT2))+Data!$AK$24)</f>
        <v>126.03356193941144</v>
      </c>
      <c r="AU28" s="22">
        <f>((Data!$AJ$24*LN('Intermediate calculations'!AU2))+Data!$AK$24)</f>
        <v>125.49841841288261</v>
      </c>
      <c r="AV28" s="22">
        <f>((Data!$AJ$24*LN('Intermediate calculations'!AV2))+Data!$AK$24)</f>
        <v>124.97754709514982</v>
      </c>
      <c r="AW28" s="22">
        <f>((Data!$AJ$24*LN('Intermediate calculations'!AW2))+Data!$AK$24)</f>
        <v>124.47020644430265</v>
      </c>
      <c r="AX28" s="22">
        <f>((Data!$AJ$24*LN('Intermediate calculations'!AX2))+Data!$AK$24)</f>
        <v>123.97571125058951</v>
      </c>
      <c r="AY28" s="22">
        <f>((Data!$AJ$24*LN('Intermediate calculations'!AY2))+Data!$AK$24)</f>
        <v>123.49342707125868</v>
      </c>
      <c r="AZ28" s="22">
        <f>((Data!$AJ$24*LN('Intermediate calculations'!AZ2))+Data!$AK$24)</f>
        <v>123.02276533610791</v>
      </c>
      <c r="BA28" s="22">
        <f>((Data!$AJ$24*LN('Intermediate calculations'!BA2))+Data!$AK$24)</f>
        <v>122.5631790290216</v>
      </c>
      <c r="BB28" s="22">
        <f>((Data!$AJ$24*LN('Intermediate calculations'!BB2))+Data!$AK$24)</f>
        <v>122.11415886602218</v>
      </c>
      <c r="BC28" s="22">
        <f>((Data!$AJ$24*LN('Intermediate calculations'!BC2))+Data!$AK$24)</f>
        <v>121.67522990286919</v>
      </c>
      <c r="BD28" s="22">
        <f>((Data!$AJ$24*LN('Intermediate calculations'!BD2))+Data!$AK$24)</f>
        <v>121.24594851554498</v>
      </c>
      <c r="BE28" s="22">
        <f>((Data!$AJ$24*LN('Intermediate calculations'!BE2))+Data!$AK$24)</f>
        <v>120.82589970549897</v>
      </c>
      <c r="BF28" s="22">
        <f>((Data!$AJ$24*LN('Intermediate calculations'!BF2))+Data!$AK$24)</f>
        <v>120.41469468861661</v>
      </c>
      <c r="BG28" s="22">
        <f>((Data!$AJ$24*LN('Intermediate calculations'!BG2))+Data!$AK$24)</f>
        <v>120.01196873280439</v>
      </c>
      <c r="BH28" s="22">
        <f>((Data!$AJ$24*LN('Intermediate calculations'!BH2))+Data!$AK$24)</f>
        <v>119.61737921404726</v>
      </c>
      <c r="BI28" s="22">
        <f>((Data!$AJ$24*LN('Intermediate calculations'!BI2))+Data!$AK$24)</f>
        <v>119.23060386497559</v>
      </c>
      <c r="BJ28" s="22">
        <f>((Data!$AJ$24*LN('Intermediate calculations'!BJ2))+Data!$AK$24)</f>
        <v>118.85133919350781</v>
      </c>
      <c r="BK28" s="22">
        <f>((Data!$AJ$24*LN('Intermediate calculations'!BK2))+Data!$AK$24)</f>
        <v>118.47929905212735</v>
      </c>
    </row>
    <row r="29" spans="1:63" x14ac:dyDescent="0.25">
      <c r="A29" t="s">
        <v>334</v>
      </c>
      <c r="B29" t="s">
        <v>321</v>
      </c>
      <c r="C29" s="22">
        <v>125000</v>
      </c>
      <c r="D29" s="22">
        <v>130000</v>
      </c>
      <c r="E29" s="22">
        <v>112000</v>
      </c>
      <c r="F29" s="22">
        <v>129000</v>
      </c>
      <c r="G29" s="22">
        <v>122000</v>
      </c>
      <c r="H29" s="22">
        <v>124000</v>
      </c>
      <c r="I29" s="22">
        <v>131000</v>
      </c>
      <c r="J29" s="22">
        <v>133000</v>
      </c>
      <c r="K29" s="22">
        <v>130000</v>
      </c>
      <c r="L29" s="22">
        <v>126000</v>
      </c>
      <c r="M29" s="22">
        <v>131000</v>
      </c>
      <c r="N29" s="22">
        <v>115000</v>
      </c>
      <c r="O29" s="22">
        <v>123000</v>
      </c>
      <c r="P29" s="22">
        <v>146000</v>
      </c>
      <c r="Q29" s="22">
        <v>174000</v>
      </c>
      <c r="R29" s="22">
        <v>182000</v>
      </c>
      <c r="S29" s="22">
        <v>193000</v>
      </c>
      <c r="T29" s="22">
        <v>206000</v>
      </c>
      <c r="U29" s="22">
        <v>198000</v>
      </c>
      <c r="V29" s="22">
        <v>199000</v>
      </c>
      <c r="W29" s="22">
        <v>215000</v>
      </c>
      <c r="X29" s="22">
        <v>231000</v>
      </c>
      <c r="Y29" s="22">
        <f>((Data!$AJ$9*'Intermediate calculations'!Y4)+Data!$AK$9)*Drivers!Z4</f>
        <v>232865.03365763303</v>
      </c>
      <c r="Z29" s="22">
        <f>((Data!$AJ$9*'Intermediate calculations'!Z4)+Data!$AK$9)*Drivers!AA4</f>
        <v>240019.66916020311</v>
      </c>
      <c r="AA29" s="22">
        <f>((Data!$AJ$9*'Intermediate calculations'!AA4)+Data!$AK$9)*Drivers!AB4</f>
        <v>245334.38093254197</v>
      </c>
      <c r="AB29" s="22">
        <f>((Data!$AJ$9*'Intermediate calculations'!AB4)+Data!$AK$9)*Drivers!AC4</f>
        <v>249223.24247618759</v>
      </c>
      <c r="AC29" s="22">
        <f>((Data!$AJ$9*'Intermediate calculations'!AC4)+Data!$AK$9)*Drivers!AD4</f>
        <v>251569.66328457295</v>
      </c>
      <c r="AD29" s="22">
        <f>((Data!$AJ$9*'Intermediate calculations'!AD4)+Data!$AK$9)*Drivers!AE4</f>
        <v>255829.89511995236</v>
      </c>
      <c r="AE29" s="22">
        <f>((Data!$AJ$9*'Intermediate calculations'!AE4)+Data!$AK$9)*Drivers!AF4</f>
        <v>259679.61861546949</v>
      </c>
      <c r="AF29" s="22">
        <f>((Data!$AJ$9*'Intermediate calculations'!AF4)+Data!$AK$9)*Drivers!AG4</f>
        <v>263376.40024085058</v>
      </c>
      <c r="AG29" s="22">
        <f>((Data!$AJ$9*'Intermediate calculations'!AG4)+Data!$AK$9)*Drivers!AH4</f>
        <v>235472.46897317792</v>
      </c>
      <c r="AH29" s="22">
        <f>((Data!$AJ$9*'Intermediate calculations'!AH4)+Data!$AK$9)*Drivers!AI4</f>
        <v>243435.84986977605</v>
      </c>
      <c r="AI29" s="22">
        <f>((Data!$AJ$9*'Intermediate calculations'!AI4)+Data!$AK$9)*Drivers!AJ4</f>
        <v>251056.04148926781</v>
      </c>
      <c r="AJ29" s="22">
        <f>((Data!$AJ$9*'Intermediate calculations'!AJ4)+Data!$AK$9)*Drivers!AK4</f>
        <v>258892.47285263438</v>
      </c>
      <c r="AK29" s="22">
        <f>((Data!$AJ$9*'Intermediate calculations'!AK4)+Data!$AK$9)*Drivers!AL4</f>
        <v>267363.27741223405</v>
      </c>
      <c r="AL29" s="22">
        <f>((Data!$AJ$9*'Intermediate calculations'!AL4)+Data!$AK$9)*Drivers!AM4</f>
        <v>276777.25287105324</v>
      </c>
      <c r="AM29" s="22">
        <f>((Data!$AJ$9*'Intermediate calculations'!AM4)+Data!$AK$9)*Drivers!AN4</f>
        <v>286700.76420716732</v>
      </c>
      <c r="AN29" s="22">
        <f>((Data!$AJ$9*'Intermediate calculations'!AN4)+Data!$AK$9)*Drivers!AO4</f>
        <v>297305.59041562985</v>
      </c>
      <c r="AO29" s="22">
        <f>((Data!$AJ$9*'Intermediate calculations'!AO4)+Data!$AK$9)*Drivers!AP4</f>
        <v>308672.0105494911</v>
      </c>
      <c r="AP29" s="22">
        <f>((Data!$AJ$9*'Intermediate calculations'!AP4)+Data!$AK$9)*Drivers!AQ4</f>
        <v>321457.71009945084</v>
      </c>
      <c r="AQ29" s="22">
        <f>((Data!$AJ$9*'Intermediate calculations'!AQ4)+Data!$AK$9)*Drivers!AR4</f>
        <v>334250.63095494127</v>
      </c>
      <c r="AR29" s="22">
        <f>((Data!$AJ$9*'Intermediate calculations'!AR4)+Data!$AK$9)*Drivers!AS4</f>
        <v>349245.98649128521</v>
      </c>
      <c r="AS29" s="22">
        <f>((Data!$AJ$9*'Intermediate calculations'!AS4)+Data!$AK$9)*Drivers!AT4</f>
        <v>364848.87091234559</v>
      </c>
      <c r="AT29" s="22">
        <f>((Data!$AJ$9*'Intermediate calculations'!AT4)+Data!$AK$9)*Drivers!AU4</f>
        <v>381001.68167801754</v>
      </c>
      <c r="AU29" s="22">
        <f>((Data!$AJ$9*'Intermediate calculations'!AU4)+Data!$AK$9)*Drivers!AV4</f>
        <v>397640.92861113988</v>
      </c>
      <c r="AV29" s="22">
        <f>((Data!$AJ$9*'Intermediate calculations'!AV4)+Data!$AK$9)*Drivers!AW4</f>
        <v>413264.93251895544</v>
      </c>
      <c r="AW29" s="22">
        <f>((Data!$AJ$9*'Intermediate calculations'!AW4)+Data!$AK$9)*Drivers!AX4</f>
        <v>429703.83345824032</v>
      </c>
      <c r="AX29" s="22">
        <f>((Data!$AJ$9*'Intermediate calculations'!AX4)+Data!$AK$9)*Drivers!AY4</f>
        <v>447320.07659112429</v>
      </c>
      <c r="AY29" s="22">
        <f>((Data!$AJ$9*'Intermediate calculations'!AY4)+Data!$AK$9)*Drivers!AZ4</f>
        <v>465822.32894542348</v>
      </c>
      <c r="AZ29" s="22">
        <f>((Data!$AJ$9*'Intermediate calculations'!AZ4)+Data!$AK$9)*Drivers!BA4</f>
        <v>484087.70096326584</v>
      </c>
      <c r="BA29" s="22">
        <f>((Data!$AJ$9*'Intermediate calculations'!BA4)+Data!$AK$9)*Drivers!BB4</f>
        <v>502733.87786580384</v>
      </c>
      <c r="BB29" s="22">
        <f>((Data!$AJ$9*'Intermediate calculations'!BB4)+Data!$AK$9)*Drivers!BC4</f>
        <v>522218.67364128033</v>
      </c>
      <c r="BC29" s="22">
        <f>((Data!$AJ$9*'Intermediate calculations'!BC4)+Data!$AK$9)*Drivers!BD4</f>
        <v>542703.10968614428</v>
      </c>
      <c r="BD29" s="22">
        <f>((Data!$AJ$9*'Intermediate calculations'!BD4)+Data!$AK$9)*Drivers!BE4</f>
        <v>564413.410443853</v>
      </c>
      <c r="BE29" s="22">
        <f>((Data!$AJ$9*'Intermediate calculations'!BE4)+Data!$AK$9)*Drivers!BF4</f>
        <v>587280.41246236593</v>
      </c>
      <c r="BF29" s="22">
        <f>((Data!$AJ$9*'Intermediate calculations'!BF4)+Data!$AK$9)*Drivers!BG4</f>
        <v>611774.49923459883</v>
      </c>
      <c r="BG29" s="22">
        <f>((Data!$AJ$9*'Intermediate calculations'!BG4)+Data!$AK$9)*Drivers!BH4</f>
        <v>637740.57766391186</v>
      </c>
      <c r="BH29" s="22">
        <f>((Data!$AJ$9*'Intermediate calculations'!BH4)+Data!$AK$9)*Drivers!BI4</f>
        <v>664916.89979593083</v>
      </c>
      <c r="BI29" s="22">
        <f>((Data!$AJ$9*'Intermediate calculations'!BI4)+Data!$AK$9)*Drivers!BJ4</f>
        <v>692149.78456040937</v>
      </c>
      <c r="BJ29" s="22">
        <f>((Data!$AJ$9*'Intermediate calculations'!BJ4)+Data!$AK$9)*Drivers!BK4</f>
        <v>720708.57654213323</v>
      </c>
      <c r="BK29" s="22">
        <f>((Data!$AJ$9*'Intermediate calculations'!BK4)+Data!$AK$9)*Drivers!BL4</f>
        <v>750902.81043546845</v>
      </c>
    </row>
    <row r="30" spans="1:63" x14ac:dyDescent="0.25">
      <c r="A30" t="s">
        <v>334</v>
      </c>
      <c r="B30" t="s">
        <v>663</v>
      </c>
      <c r="C30" s="53">
        <f>C29*ttokg/Drivers!D4</f>
        <v>3.3966921490134823</v>
      </c>
      <c r="D30" s="53">
        <f>D29*ttokg/Drivers!E4</f>
        <v>3.4465434483197437</v>
      </c>
      <c r="E30" s="53">
        <f>E29*ttokg/Drivers!F4</f>
        <v>2.896106797247985</v>
      </c>
      <c r="F30" s="53">
        <f>F29*ttokg/Drivers!G4</f>
        <v>3.2548017787870185</v>
      </c>
      <c r="G30" s="53">
        <f>G29*ttokg/Drivers!H4</f>
        <v>3.0075885650398053</v>
      </c>
      <c r="H30" s="53">
        <f>H29*ttokg/Drivers!I4</f>
        <v>2.9925843277683009</v>
      </c>
      <c r="I30" s="53">
        <f>I29*ttokg/Drivers!J4</f>
        <v>3.1012515301776276</v>
      </c>
      <c r="J30" s="53">
        <f>J29*ttokg/Drivers!K4</f>
        <v>3.0939254588681102</v>
      </c>
      <c r="K30" s="53">
        <f>K29*ttokg/Drivers!L4</f>
        <v>2.9760364962801833</v>
      </c>
      <c r="L30" s="53">
        <f>L29*ttokg/Drivers!M4</f>
        <v>2.8417713229773924</v>
      </c>
      <c r="M30" s="53">
        <f>M29*ttokg/Drivers!N4</f>
        <v>2.9132016245969217</v>
      </c>
      <c r="N30" s="53">
        <f>N29*ttokg/Drivers!O4</f>
        <v>2.5235195311853693</v>
      </c>
      <c r="O30" s="53">
        <f>O29*ttokg/Drivers!P4</f>
        <v>2.6651693759557911</v>
      </c>
      <c r="P30" s="53">
        <f>P29*ttokg/Drivers!Q4</f>
        <v>3.1250537787508157</v>
      </c>
      <c r="Q30" s="53">
        <f>Q29*ttokg/Drivers!R4</f>
        <v>3.67929956286115</v>
      </c>
      <c r="R30" s="53">
        <f>R29*ttokg/Drivers!S4</f>
        <v>3.8011218781485221</v>
      </c>
      <c r="S30" s="53">
        <f>S29*ttokg/Drivers!T4</f>
        <v>3.9802465108963165</v>
      </c>
      <c r="T30" s="53">
        <f>T29*ttokg/Drivers!U4</f>
        <v>4.1938316513320029</v>
      </c>
      <c r="U30" s="53">
        <f>U29*ttokg/Drivers!V4</f>
        <v>3.9775432728081821</v>
      </c>
      <c r="V30" s="53">
        <f>V29*ttokg/Drivers!W4</f>
        <v>3.9423887440561804</v>
      </c>
      <c r="W30" s="53">
        <f>W29*ttokg/Drivers!X4</f>
        <v>4.197827891555618</v>
      </c>
      <c r="X30" s="53">
        <f>X29*ttokg/Drivers!Y4</f>
        <v>4.4419513111371138</v>
      </c>
      <c r="Y30" s="53">
        <f>Y29*ttokg/Drivers!Z4</f>
        <v>4.4503221632673196</v>
      </c>
      <c r="Z30" s="53">
        <f>Z29*ttokg/Drivers!AA4</f>
        <v>4.519771061626332</v>
      </c>
      <c r="AA30" s="53">
        <f>AA29*ttokg/Drivers!AB4</f>
        <v>4.5506142753357981</v>
      </c>
      <c r="AB30" s="53">
        <f>AB29*ttokg/Drivers!AC4</f>
        <v>4.5519818332673978</v>
      </c>
      <c r="AC30" s="53">
        <f>AC29*ttokg/Drivers!AD4</f>
        <v>4.5230120916985808</v>
      </c>
      <c r="AD30" s="53">
        <f>AD29*ttokg/Drivers!AE4</f>
        <v>4.5262044919514191</v>
      </c>
      <c r="AE30" s="53">
        <f>AE29*ttokg/Drivers!AF4</f>
        <v>4.5211995233744435</v>
      </c>
      <c r="AF30" s="53">
        <f>AF29*ttokg/Drivers!AG4</f>
        <v>4.5125870842202698</v>
      </c>
      <c r="AG30" s="53">
        <f>AG29*ttokg/Drivers!AH4</f>
        <v>3.9702861245658587</v>
      </c>
      <c r="AH30" s="53">
        <f>AH29*ttokg/Drivers!AI4</f>
        <v>4.0578335834292059</v>
      </c>
      <c r="AI30" s="53">
        <f>AI29*ttokg/Drivers!AJ4</f>
        <v>4.1372179627906798</v>
      </c>
      <c r="AJ30" s="53">
        <f>AJ29*ttokg/Drivers!AK4</f>
        <v>4.2177921743863571</v>
      </c>
      <c r="AK30" s="53">
        <f>AK29*ttokg/Drivers!AL4</f>
        <v>4.3062132941439808</v>
      </c>
      <c r="AL30" s="53">
        <f>AL29*ttokg/Drivers!AM4</f>
        <v>4.4070928829289988</v>
      </c>
      <c r="AM30" s="53">
        <f>AM29*ttokg/Drivers!AN4</f>
        <v>4.520592056615599</v>
      </c>
      <c r="AN30" s="53">
        <f>AN29*ttokg/Drivers!AO4</f>
        <v>4.6420968849110089</v>
      </c>
      <c r="AO30" s="53">
        <f>AO29*ttokg/Drivers!AP4</f>
        <v>4.7725779815117901</v>
      </c>
      <c r="AP30" s="53">
        <f>AP29*ttokg/Drivers!AQ4</f>
        <v>4.9218036836815937</v>
      </c>
      <c r="AQ30" s="53">
        <f>AQ29*ttokg/Drivers!AR4</f>
        <v>5.067775105451843</v>
      </c>
      <c r="AR30" s="53">
        <f>AR29*ttokg/Drivers!AS4</f>
        <v>5.2503210548489596</v>
      </c>
      <c r="AS30" s="53">
        <f>AS29*ttokg/Drivers!AT4</f>
        <v>5.4384705728831273</v>
      </c>
      <c r="AT30" s="53">
        <f>AT29*ttokg/Drivers!AU4</f>
        <v>5.6311877583861003</v>
      </c>
      <c r="AU30" s="53">
        <f>AU29*ttokg/Drivers!AV4</f>
        <v>5.8273826150079344</v>
      </c>
      <c r="AV30" s="53">
        <f>AV29*ttokg/Drivers!AW4</f>
        <v>6.0051014493292563</v>
      </c>
      <c r="AW30" s="53">
        <f>AW29*ttokg/Drivers!AX4</f>
        <v>6.1985922155312423</v>
      </c>
      <c r="AX30" s="53">
        <f>AX29*ttokg/Drivers!AY4</f>
        <v>6.405813252475892</v>
      </c>
      <c r="AY30" s="53">
        <f>AY29*ttokg/Drivers!AZ4</f>
        <v>6.6222905299832586</v>
      </c>
      <c r="AZ30" s="53">
        <f>AZ29*ttokg/Drivers!BA4</f>
        <v>6.8319396452468872</v>
      </c>
      <c r="BA30" s="53">
        <f>BA29*ttokg/Drivers!BB4</f>
        <v>7.0435267607231529</v>
      </c>
      <c r="BB30" s="53">
        <f>BB29*ttokg/Drivers!BC4</f>
        <v>7.2713555979982543</v>
      </c>
      <c r="BC30" s="53">
        <f>BC29*ttokg/Drivers!BD4</f>
        <v>7.5099365238228666</v>
      </c>
      <c r="BD30" s="53">
        <f>BD29*ttokg/Drivers!BE4</f>
        <v>7.7621539105786397</v>
      </c>
      <c r="BE30" s="53">
        <f>BE29*ttokg/Drivers!BF4</f>
        <v>8.0267809545026214</v>
      </c>
      <c r="BF30" s="53">
        <f>BF29*ttokg/Drivers!BG4</f>
        <v>8.3099466442593801</v>
      </c>
      <c r="BG30" s="53">
        <f>BG29*ttokg/Drivers!BH4</f>
        <v>8.6186560942640522</v>
      </c>
      <c r="BH30" s="53">
        <f>BH29*ttokg/Drivers!BI4</f>
        <v>8.9402879700993605</v>
      </c>
      <c r="BI30" s="53">
        <f>BI29*ttokg/Drivers!BJ4</f>
        <v>9.2591871068372154</v>
      </c>
      <c r="BJ30" s="53">
        <f>BJ29*ttokg/Drivers!BK4</f>
        <v>9.59226345234317</v>
      </c>
      <c r="BK30" s="53">
        <f>BK29*ttokg/Drivers!BL4</f>
        <v>9.9433739675640194</v>
      </c>
    </row>
    <row r="31" spans="1:63" x14ac:dyDescent="0.25">
      <c r="A31" t="s">
        <v>334</v>
      </c>
      <c r="B31" t="s">
        <v>322</v>
      </c>
      <c r="C31" s="73">
        <f>C29/Drivers!D4</f>
        <v>3.3966921490134823E-3</v>
      </c>
      <c r="D31" s="73">
        <f>D29/Drivers!E4</f>
        <v>3.446543448319744E-3</v>
      </c>
      <c r="E31" s="73">
        <f>E29/Drivers!F4</f>
        <v>2.8961067972479849E-3</v>
      </c>
      <c r="F31" s="73">
        <f>F29/Drivers!G4</f>
        <v>3.2548017787870187E-3</v>
      </c>
      <c r="G31" s="73">
        <f>G29/Drivers!H4</f>
        <v>3.0075885650398052E-3</v>
      </c>
      <c r="H31" s="73">
        <f>H29/Drivers!I4</f>
        <v>2.9925843277683012E-3</v>
      </c>
      <c r="I31" s="73">
        <f>I29/Drivers!J4</f>
        <v>3.1012515301776277E-3</v>
      </c>
      <c r="J31" s="73">
        <f>J29/Drivers!K4</f>
        <v>3.0939254588681106E-3</v>
      </c>
      <c r="K31" s="73">
        <f>K29/Drivers!L4</f>
        <v>2.9760364962801832E-3</v>
      </c>
      <c r="L31" s="73">
        <f>L29/Drivers!M4</f>
        <v>2.8417713229773925E-3</v>
      </c>
      <c r="M31" s="73">
        <f>M29/Drivers!N4</f>
        <v>2.9132016245969217E-3</v>
      </c>
      <c r="N31" s="73">
        <f>N29/Drivers!O4</f>
        <v>2.5235195311853692E-3</v>
      </c>
      <c r="O31" s="73">
        <f>O29/Drivers!P4</f>
        <v>2.665169375955791E-3</v>
      </c>
      <c r="P31" s="73">
        <f>P29/Drivers!Q4</f>
        <v>3.125053778750816E-3</v>
      </c>
      <c r="Q31" s="73">
        <f>Q29/Drivers!R4</f>
        <v>3.6792995628611501E-3</v>
      </c>
      <c r="R31" s="73">
        <f>R29/Drivers!S4</f>
        <v>3.801121878148522E-3</v>
      </c>
      <c r="S31" s="73">
        <f>S29/Drivers!T4</f>
        <v>3.9802465108963164E-3</v>
      </c>
      <c r="T31" s="73">
        <f>T29/Drivers!U4</f>
        <v>4.1938316513320025E-3</v>
      </c>
      <c r="U31" s="73">
        <f>U29/Drivers!V4</f>
        <v>3.9775432728081823E-3</v>
      </c>
      <c r="V31" s="73">
        <f>V29/Drivers!W4</f>
        <v>3.9423887440561802E-3</v>
      </c>
      <c r="W31" s="73">
        <f>W29/Drivers!X4</f>
        <v>4.1978278915556179E-3</v>
      </c>
      <c r="X31" s="73">
        <f>X29/Drivers!Y4</f>
        <v>4.4419513111371139E-3</v>
      </c>
      <c r="Y31" s="53"/>
      <c r="Z31" s="53"/>
      <c r="AA31" s="53"/>
      <c r="AB31" s="53"/>
      <c r="AC31" s="53"/>
      <c r="AD31" s="53"/>
      <c r="AE31" s="53"/>
      <c r="AF31" s="53"/>
      <c r="AG31" s="53"/>
      <c r="AH31" s="53"/>
      <c r="AI31" s="53"/>
      <c r="AJ31" s="53"/>
      <c r="AK31" s="53"/>
      <c r="AL31" s="53"/>
      <c r="AM31" s="53"/>
      <c r="AN31" s="53"/>
      <c r="AO31" s="53">
        <f>(AO32-AD32)/AD32</f>
        <v>0.19501673190390442</v>
      </c>
      <c r="AP31" s="53"/>
      <c r="AQ31" s="53">
        <f>(AQ32-AE32)/AE32</f>
        <v>0.2713531392070182</v>
      </c>
      <c r="AR31" s="53"/>
      <c r="AS31" s="53"/>
      <c r="AT31" s="53"/>
      <c r="AU31" s="53"/>
      <c r="AV31" s="53"/>
      <c r="AW31" s="53"/>
      <c r="AX31" s="53"/>
      <c r="AY31" s="53"/>
      <c r="AZ31" s="53"/>
      <c r="BA31" s="53"/>
      <c r="BB31" s="53"/>
      <c r="BC31" s="53"/>
      <c r="BD31" s="53"/>
      <c r="BE31" s="53"/>
      <c r="BF31" s="53"/>
      <c r="BG31" s="53"/>
      <c r="BH31" s="53"/>
      <c r="BI31" s="53"/>
      <c r="BJ31" s="53"/>
      <c r="BK31" s="53"/>
    </row>
    <row r="32" spans="1:63" x14ac:dyDescent="0.25">
      <c r="A32" t="s">
        <v>335</v>
      </c>
      <c r="B32" t="s">
        <v>321</v>
      </c>
      <c r="C32" s="22">
        <v>126200</v>
      </c>
      <c r="D32" s="22">
        <v>130800</v>
      </c>
      <c r="E32" s="22">
        <v>112700</v>
      </c>
      <c r="F32" s="22">
        <v>129600</v>
      </c>
      <c r="G32" s="22">
        <v>119600</v>
      </c>
      <c r="H32" s="22">
        <v>119000</v>
      </c>
      <c r="I32" s="22">
        <v>126500</v>
      </c>
      <c r="J32" s="22">
        <v>127900</v>
      </c>
      <c r="K32" s="22">
        <v>125000</v>
      </c>
      <c r="L32" s="22">
        <v>119200</v>
      </c>
      <c r="M32" s="22">
        <v>123000</v>
      </c>
      <c r="N32" s="22">
        <v>106900</v>
      </c>
      <c r="O32" s="22">
        <v>116600</v>
      </c>
      <c r="P32" s="22">
        <v>135000</v>
      </c>
      <c r="Q32" s="22">
        <v>156800</v>
      </c>
      <c r="R32" s="22">
        <v>159700</v>
      </c>
      <c r="S32" s="22">
        <v>171400</v>
      </c>
      <c r="T32" s="22">
        <v>187100</v>
      </c>
      <c r="U32" s="22">
        <v>181700</v>
      </c>
      <c r="V32" s="22">
        <v>180700</v>
      </c>
      <c r="W32" s="22">
        <v>191900</v>
      </c>
      <c r="X32" s="22">
        <v>205100</v>
      </c>
      <c r="Y32" s="22">
        <f>((Data!$AJ$26*'Intermediate calculations'!Y29)+Data!$AK$26)</f>
        <v>210303.78974335387</v>
      </c>
      <c r="Z32" s="22">
        <f>((Data!$AJ$26*'Intermediate calculations'!Z29)+Data!$AK$26)</f>
        <v>216370.9856267994</v>
      </c>
      <c r="AA32" s="22">
        <f>((Data!$AJ$26*'Intermediate calculations'!AA29)+Data!$AK$26)</f>
        <v>220877.90947711305</v>
      </c>
      <c r="AB32" s="22">
        <f>((Data!$AJ$26*'Intermediate calculations'!AB29)+Data!$AK$26)</f>
        <v>224175.69938414896</v>
      </c>
      <c r="AC32" s="22">
        <f>((Data!$AJ$26*'Intermediate calculations'!AC29)+Data!$AK$26)</f>
        <v>226165.48553948177</v>
      </c>
      <c r="AD32" s="22">
        <f>((Data!$AJ$26*'Intermediate calculations'!AD29)+Data!$AK$26)</f>
        <v>229778.20082663407</v>
      </c>
      <c r="AE32" s="22">
        <f>((Data!$AJ$26*'Intermediate calculations'!AE29)+Data!$AK$26)</f>
        <v>233042.80131341147</v>
      </c>
      <c r="AF32" s="22">
        <f>((Data!$AJ$26*'Intermediate calculations'!AF29)+Data!$AK$26)</f>
        <v>236177.70570531965</v>
      </c>
      <c r="AG32" s="22">
        <f>((Data!$AJ$26*'Intermediate calculations'!AG29)+Data!$AK$26)</f>
        <v>212514.9185712504</v>
      </c>
      <c r="AH32" s="22">
        <f>((Data!$AJ$26*'Intermediate calculations'!AH29)+Data!$AK$26)</f>
        <v>219267.93789372922</v>
      </c>
      <c r="AI32" s="22">
        <f>((Data!$AJ$26*'Intermediate calculations'!AI29)+Data!$AK$26)</f>
        <v>225729.92959243123</v>
      </c>
      <c r="AJ32" s="22">
        <f>((Data!$AJ$26*'Intermediate calculations'!AJ29)+Data!$AK$26)</f>
        <v>232375.29455779417</v>
      </c>
      <c r="AK32" s="22">
        <f>((Data!$AJ$26*'Intermediate calculations'!AK29)+Data!$AK$26)</f>
        <v>239558.61375483967</v>
      </c>
      <c r="AL32" s="22">
        <f>((Data!$AJ$26*'Intermediate calculations'!AL29)+Data!$AK$26)</f>
        <v>247541.75044015195</v>
      </c>
      <c r="AM32" s="22">
        <f>((Data!$AJ$26*'Intermediate calculations'!AM29)+Data!$AK$26)</f>
        <v>255956.97817693444</v>
      </c>
      <c r="AN32" s="22">
        <f>((Data!$AJ$26*'Intermediate calculations'!AN29)+Data!$AK$26)</f>
        <v>264949.96711306216</v>
      </c>
      <c r="AO32" s="22">
        <f>((Data!$AJ$26*'Intermediate calculations'!AO29)+Data!$AK$26)</f>
        <v>274588.79461460328</v>
      </c>
      <c r="AP32" s="22">
        <f>((Data!$AJ$26*'Intermediate calculations'!AP29)+Data!$AK$26)</f>
        <v>285431.1839506668</v>
      </c>
      <c r="AQ32" s="22">
        <f>((Data!$AJ$26*'Intermediate calculations'!AQ29)+Data!$AK$26)</f>
        <v>296279.6970194031</v>
      </c>
      <c r="AR32" s="22">
        <f>((Data!$AJ$26*'Intermediate calculations'!AR29)+Data!$AK$26)</f>
        <v>308995.89469966595</v>
      </c>
      <c r="AS32" s="22">
        <f>((Data!$AJ$26*'Intermediate calculations'!AS29)+Data!$AK$26)</f>
        <v>322227.28239164944</v>
      </c>
      <c r="AT32" s="22">
        <f>((Data!$AJ$26*'Intermediate calculations'!AT29)+Data!$AK$26)</f>
        <v>335925.01261820749</v>
      </c>
      <c r="AU32" s="22">
        <f>((Data!$AJ$26*'Intermediate calculations'!AU29)+Data!$AK$26)</f>
        <v>350035.24513249961</v>
      </c>
      <c r="AV32" s="22">
        <f>((Data!$AJ$26*'Intermediate calculations'!AV29)+Data!$AK$26)</f>
        <v>363284.54234105535</v>
      </c>
      <c r="AW32" s="22">
        <f>((Data!$AJ$26*'Intermediate calculations'!AW29)+Data!$AK$26)</f>
        <v>377224.87963306275</v>
      </c>
      <c r="AX32" s="22">
        <f>((Data!$AJ$26*'Intermediate calculations'!AX29)+Data!$AK$26)</f>
        <v>392163.61379767756</v>
      </c>
      <c r="AY32" s="22">
        <f>((Data!$AJ$26*'Intermediate calculations'!AY29)+Data!$AK$26)</f>
        <v>407853.69182864774</v>
      </c>
      <c r="AZ32" s="22">
        <f>((Data!$AJ$26*'Intermediate calculations'!AZ29)+Data!$AK$26)</f>
        <v>423342.89318299294</v>
      </c>
      <c r="BA32" s="22">
        <f>((Data!$AJ$26*'Intermediate calculations'!BA29)+Data!$AK$26)</f>
        <v>439155.02053796954</v>
      </c>
      <c r="BB32" s="22">
        <f>((Data!$AJ$26*'Intermediate calculations'!BB29)+Data!$AK$26)</f>
        <v>455678.30431340181</v>
      </c>
      <c r="BC32" s="22">
        <f>((Data!$AJ$26*'Intermediate calculations'!BC29)+Data!$AK$26)</f>
        <v>473049.29211584921</v>
      </c>
      <c r="BD32" s="22">
        <f>((Data!$AJ$26*'Intermediate calculations'!BD29)+Data!$AK$26)</f>
        <v>491459.8243278981</v>
      </c>
      <c r="BE32" s="22">
        <f>((Data!$AJ$26*'Intermediate calculations'!BE29)+Data!$AK$26)</f>
        <v>510851.24971408641</v>
      </c>
      <c r="BF32" s="22">
        <f>((Data!$AJ$26*'Intermediate calculations'!BF29)+Data!$AK$26)</f>
        <v>531622.45774835534</v>
      </c>
      <c r="BG32" s="22">
        <f>((Data!$AJ$26*'Intermediate calculations'!BG29)+Data!$AK$26)</f>
        <v>553641.92807622312</v>
      </c>
      <c r="BH32" s="22">
        <f>((Data!$AJ$26*'Intermediate calculations'!BH29)+Data!$AK$26)</f>
        <v>576687.69605522719</v>
      </c>
      <c r="BI32" s="22">
        <f>((Data!$AJ$26*'Intermediate calculations'!BI29)+Data!$AK$26)</f>
        <v>599781.42966024985</v>
      </c>
      <c r="BJ32" s="22">
        <f>((Data!$AJ$26*'Intermediate calculations'!BJ29)+Data!$AK$26)</f>
        <v>623999.54462717578</v>
      </c>
      <c r="BK32" s="22">
        <f>((Data!$AJ$26*'Intermediate calculations'!BK29)+Data!$AK$26)</f>
        <v>649604.52918797242</v>
      </c>
    </row>
    <row r="33" spans="1:63" x14ac:dyDescent="0.25">
      <c r="A33" t="s">
        <v>818</v>
      </c>
      <c r="B33" t="s">
        <v>815</v>
      </c>
      <c r="C33" s="22">
        <f>Data!C27</f>
        <v>13.653011027487219</v>
      </c>
      <c r="D33" s="22">
        <f>Data!D27</f>
        <v>14.391608053652755</v>
      </c>
      <c r="E33" s="22">
        <f>Data!E27</f>
        <v>16.592599020349589</v>
      </c>
      <c r="F33" s="22">
        <f>Data!F27</f>
        <v>14.420179981553732</v>
      </c>
      <c r="G33" s="22">
        <f>Data!G27</f>
        <v>14.841278051291667</v>
      </c>
      <c r="H33" s="22">
        <f>Data!H27</f>
        <v>15.058618610882386</v>
      </c>
      <c r="I33" s="22">
        <f>Data!I27</f>
        <v>15.256180717369467</v>
      </c>
      <c r="J33" s="22">
        <f>Data!J27</f>
        <v>15.018469029514932</v>
      </c>
      <c r="K33" s="22">
        <f>Data!K27</f>
        <v>15.701550370273951</v>
      </c>
      <c r="L33" s="22">
        <f>Data!L27</f>
        <v>16.882881640786671</v>
      </c>
      <c r="M33" s="22">
        <f>Data!M27</f>
        <v>15.138795298415898</v>
      </c>
      <c r="N33" s="22">
        <f>Data!N27</f>
        <v>17.746678439758945</v>
      </c>
      <c r="O33" s="22">
        <f>Data!O27</f>
        <v>16.58060559776451</v>
      </c>
      <c r="P33" s="22">
        <f>Data!P27</f>
        <v>13.927119744071932</v>
      </c>
      <c r="Q33" s="22">
        <f>Data!Q27</f>
        <v>11.990823759245604</v>
      </c>
      <c r="R33" s="22">
        <f>Data!R27</f>
        <v>11.688128726620503</v>
      </c>
      <c r="S33" s="22">
        <f>Data!S27</f>
        <v>10.698991960935169</v>
      </c>
      <c r="T33" s="22">
        <f>Data!T27</f>
        <v>9.9764519382217767</v>
      </c>
      <c r="U33" s="22">
        <f>Data!U27</f>
        <v>10.048944051821932</v>
      </c>
      <c r="V33" s="22">
        <f>Data!V27</f>
        <v>10.092041871875903</v>
      </c>
      <c r="W33" s="22">
        <f>Data!W27</f>
        <v>9.3910936453950828</v>
      </c>
      <c r="X33" s="22">
        <f>Data!X27</f>
        <v>8.7315701156068712</v>
      </c>
      <c r="Y33" s="22">
        <f>((Data!$AJ$27*LN('Intermediate calculations'!Y2))+Data!$AK$27)</f>
        <v>8.9505840171188549</v>
      </c>
      <c r="Z33" s="22">
        <f>((Data!$AJ$27*LN('Intermediate calculations'!Z2))+Data!$AK$27)</f>
        <v>8.6989484356715767</v>
      </c>
      <c r="AA33" s="22">
        <f>((Data!$AJ$27*LN('Intermediate calculations'!AA2))+Data!$AK$27)</f>
        <v>8.462573140856847</v>
      </c>
      <c r="AB33" s="22">
        <f>((Data!$AJ$27*LN('Intermediate calculations'!AB2))+Data!$AK$27)</f>
        <v>8.2397125849020476</v>
      </c>
      <c r="AC33" s="22">
        <f>((Data!$AJ$27*LN('Intermediate calculations'!AC2))+Data!$AK$27)</f>
        <v>8.0289045833895329</v>
      </c>
      <c r="AD33" s="22">
        <f>((Data!$AJ$27*LN('Intermediate calculations'!AD2))+Data!$AK$27)</f>
        <v>7.8289121179587777</v>
      </c>
      <c r="AE33" s="22">
        <f>((Data!$AJ$27*LN('Intermediate calculations'!AE2))+Data!$AK$27)</f>
        <v>7.6386793528863848</v>
      </c>
      <c r="AF33" s="22">
        <f>((Data!$AJ$27*LN('Intermediate calculations'!AF2))+Data!$AK$27)</f>
        <v>7.4572978929940827</v>
      </c>
      <c r="AG33" s="22">
        <f>((Data!$AJ$27*LN('Intermediate calculations'!AG2))+Data!$AK$27)</f>
        <v>7.2839805481943056</v>
      </c>
      <c r="AH33" s="22">
        <f>((Data!$AJ$27*LN('Intermediate calculations'!AH2))+Data!$AK$27)</f>
        <v>7.1180406857419687</v>
      </c>
      <c r="AI33" s="22">
        <f>((Data!$AJ$27*LN('Intermediate calculations'!AI2))+Data!$AK$27)</f>
        <v>6.9588758002459805</v>
      </c>
      <c r="AJ33" s="22">
        <f>((Data!$AJ$27*LN('Intermediate calculations'!AJ2))+Data!$AK$27)</f>
        <v>6.8059543080093459</v>
      </c>
      <c r="AK33" s="22">
        <f>((Data!$AJ$27*LN('Intermediate calculations'!AK2))+Data!$AK$27)</f>
        <v>6.6588048349724414</v>
      </c>
      <c r="AL33" s="22">
        <f>((Data!$AJ$27*LN('Intermediate calculations'!AL2))+Data!$AK$27)</f>
        <v>6.5170074537263076</v>
      </c>
      <c r="AM33" s="22">
        <f>((Data!$AJ$27*LN('Intermediate calculations'!AM2))+Data!$AK$27)</f>
        <v>6.3801864589340838</v>
      </c>
      <c r="AN33" s="22">
        <f>((Data!$AJ$27*LN('Intermediate calculations'!AN2))+Data!$AK$27)</f>
        <v>6.2480043680291715</v>
      </c>
      <c r="AO33" s="22">
        <f>((Data!$AJ$27*LN('Intermediate calculations'!AO2))+Data!$AK$27)</f>
        <v>6.1201569059835439</v>
      </c>
      <c r="AP33" s="22">
        <f>((Data!$AJ$27*LN('Intermediate calculations'!AP2))+Data!$AK$27)</f>
        <v>5.9963687865818933</v>
      </c>
      <c r="AQ33" s="22">
        <f>((Data!$AJ$27*LN('Intermediate calculations'!AQ2))+Data!$AK$27)</f>
        <v>5.8763901430644783</v>
      </c>
      <c r="AR33" s="22">
        <f>((Data!$AJ$27*LN('Intermediate calculations'!AR2))+Data!$AK$27)</f>
        <v>5.7599934917671636</v>
      </c>
      <c r="AS33" s="22">
        <f>((Data!$AJ$27*LN('Intermediate calculations'!AS2))+Data!$AK$27)</f>
        <v>5.6469711360135104</v>
      </c>
      <c r="AT33" s="22">
        <f>((Data!$AJ$27*LN('Intermediate calculations'!AT2))+Data!$AK$27)</f>
        <v>5.5371329358123642</v>
      </c>
      <c r="AU33" s="22">
        <f>((Data!$AJ$27*LN('Intermediate calculations'!AU2))+Data!$AK$27)</f>
        <v>5.4303043831997524</v>
      </c>
      <c r="AV33" s="22">
        <f>((Data!$AJ$27*LN('Intermediate calculations'!AV2))+Data!$AK$27)</f>
        <v>5.3263249342998495</v>
      </c>
      <c r="AW33" s="22">
        <f>((Data!$AJ$27*LN('Intermediate calculations'!AW2))+Data!$AK$27)</f>
        <v>5.2250465580797414</v>
      </c>
      <c r="AX33" s="22">
        <f>((Data!$AJ$27*LN('Intermediate calculations'!AX2))+Data!$AK$27)</f>
        <v>5.1263324688690943</v>
      </c>
      <c r="AY33" s="22">
        <f>((Data!$AJ$27*LN('Intermediate calculations'!AY2))+Data!$AK$27)</f>
        <v>5.0300560154098388</v>
      </c>
      <c r="AZ33" s="22">
        <f>((Data!$AJ$27*LN('Intermediate calculations'!AZ2))+Data!$AK$27)</f>
        <v>4.9360997037967014</v>
      </c>
      <c r="BA33" s="22">
        <f>((Data!$AJ$27*LN('Intermediate calculations'!BA2))+Data!$AK$27)</f>
        <v>4.8443543353997978</v>
      </c>
      <c r="BB33" s="22">
        <f>((Data!$AJ$27*LN('Intermediate calculations'!BB2))+Data!$AK$27)</f>
        <v>4.7547182439044011</v>
      </c>
      <c r="BC33" s="22">
        <f>((Data!$AJ$27*LN('Intermediate calculations'!BC2))+Data!$AK$27)</f>
        <v>4.667096618099567</v>
      </c>
      <c r="BD33" s="22">
        <f>((Data!$AJ$27*LN('Intermediate calculations'!BD2))+Data!$AK$27)</f>
        <v>4.5814008991046222</v>
      </c>
      <c r="BE33" s="22">
        <f>((Data!$AJ$27*LN('Intermediate calculations'!BE2))+Data!$AK$27)</f>
        <v>4.4975482424258928</v>
      </c>
      <c r="BF33" s="22">
        <f>((Data!$AJ$27*LN('Intermediate calculations'!BF2))+Data!$AK$27)</f>
        <v>4.4154610366522853</v>
      </c>
      <c r="BG33" s="22">
        <f>((Data!$AJ$27*LN('Intermediate calculations'!BG2))+Data!$AK$27)</f>
        <v>4.3350664717810403</v>
      </c>
      <c r="BH33" s="22">
        <f>((Data!$AJ$27*LN('Intermediate calculations'!BH2))+Data!$AK$27)</f>
        <v>4.2562961511562971</v>
      </c>
      <c r="BI33" s="22">
        <f>((Data!$AJ$27*LN('Intermediate calculations'!BI2))+Data!$AK$27)</f>
        <v>4.1790857418375573</v>
      </c>
      <c r="BJ33" s="22">
        <f>((Data!$AJ$27*LN('Intermediate calculations'!BJ2))+Data!$AK$27)</f>
        <v>4.1033746589196625</v>
      </c>
      <c r="BK33" s="22">
        <f>((Data!$AJ$27*LN('Intermediate calculations'!BK2))+Data!$AK$27)</f>
        <v>4.0291057799232792</v>
      </c>
    </row>
    <row r="34" spans="1:63" x14ac:dyDescent="0.25">
      <c r="A34" t="s">
        <v>336</v>
      </c>
      <c r="B34" t="s">
        <v>321</v>
      </c>
      <c r="C34" s="22">
        <v>209000</v>
      </c>
      <c r="D34" s="22">
        <v>214000</v>
      </c>
      <c r="E34" s="22">
        <v>223000</v>
      </c>
      <c r="F34" s="22">
        <v>218000</v>
      </c>
      <c r="G34" s="22">
        <v>233000</v>
      </c>
      <c r="H34" s="22">
        <v>272000</v>
      </c>
      <c r="I34" s="22">
        <v>263000</v>
      </c>
      <c r="J34" s="22">
        <v>293000</v>
      </c>
      <c r="K34" s="22">
        <v>302000</v>
      </c>
      <c r="L34" s="22">
        <v>299000</v>
      </c>
      <c r="M34" s="22">
        <v>310000</v>
      </c>
      <c r="N34" s="22">
        <v>308000</v>
      </c>
      <c r="O34" s="22">
        <v>313000</v>
      </c>
      <c r="P34" s="22">
        <v>305000</v>
      </c>
      <c r="Q34" s="22">
        <v>329000</v>
      </c>
      <c r="R34" s="22">
        <v>357000</v>
      </c>
      <c r="S34" s="22">
        <v>392000</v>
      </c>
      <c r="T34" s="22">
        <v>416000</v>
      </c>
      <c r="U34" s="22">
        <v>404000</v>
      </c>
      <c r="V34" s="22">
        <v>379000</v>
      </c>
      <c r="W34" s="22">
        <v>386000</v>
      </c>
      <c r="X34" s="22">
        <v>426000</v>
      </c>
      <c r="Y34" s="22">
        <f>((Data!$AJ$10*'Intermediate calculations'!Y4)+Data!$AK$10)*Drivers!Z4</f>
        <v>419324.73869071464</v>
      </c>
      <c r="Z34" s="22">
        <f>((Data!$AJ$10*'Intermediate calculations'!Z4)+Data!$AK$10)*Drivers!AA4</f>
        <v>428952.79625378514</v>
      </c>
      <c r="AA34" s="22">
        <f>((Data!$AJ$10*'Intermediate calculations'!AA4)+Data!$AK$10)*Drivers!AB4</f>
        <v>437005.79064406833</v>
      </c>
      <c r="AB34" s="22">
        <f>((Data!$AJ$10*'Intermediate calculations'!AB4)+Data!$AK$10)*Drivers!AC4</f>
        <v>443868.25231210049</v>
      </c>
      <c r="AC34" s="22">
        <f>((Data!$AJ$10*'Intermediate calculations'!AC4)+Data!$AK$10)*Drivers!AD4</f>
        <v>449437.77145712974</v>
      </c>
      <c r="AD34" s="22">
        <f>((Data!$AJ$10*'Intermediate calculations'!AD4)+Data!$AK$10)*Drivers!AE4</f>
        <v>456892.10526294581</v>
      </c>
      <c r="AE34" s="22">
        <f>((Data!$AJ$10*'Intermediate calculations'!AE4)+Data!$AK$10)*Drivers!AF4</f>
        <v>464016.90108978964</v>
      </c>
      <c r="AF34" s="22">
        <f>((Data!$AJ$10*'Intermediate calculations'!AF4)+Data!$AK$10)*Drivers!AG4</f>
        <v>471059.360518481</v>
      </c>
      <c r="AG34" s="22">
        <f>((Data!$AJ$10*'Intermediate calculations'!AG4)+Data!$AK$10)*Drivers!AH4</f>
        <v>449150.77389618411</v>
      </c>
      <c r="AH34" s="22">
        <f>((Data!$AJ$10*'Intermediate calculations'!AH4)+Data!$AK$10)*Drivers!AI4</f>
        <v>459143.90981664276</v>
      </c>
      <c r="AI34" s="22">
        <f>((Data!$AJ$10*'Intermediate calculations'!AI4)+Data!$AK$10)*Drivers!AJ4</f>
        <v>468852.87942465267</v>
      </c>
      <c r="AJ34" s="22">
        <f>((Data!$AJ$10*'Intermediate calculations'!AJ4)+Data!$AK$10)*Drivers!AK4</f>
        <v>478791.60479314433</v>
      </c>
      <c r="AK34" s="22">
        <f>((Data!$AJ$10*'Intermediate calculations'!AK4)+Data!$AK$10)*Drivers!AL4</f>
        <v>489344.30008518102</v>
      </c>
      <c r="AL34" s="22">
        <f>((Data!$AJ$10*'Intermediate calculations'!AL4)+Data!$AK$10)*Drivers!AM4</f>
        <v>500794.81131976307</v>
      </c>
      <c r="AM34" s="22">
        <f>((Data!$AJ$10*'Intermediate calculations'!AM4)+Data!$AK$10)*Drivers!AN4</f>
        <v>512333.98050473048</v>
      </c>
      <c r="AN34" s="22">
        <f>((Data!$AJ$10*'Intermediate calculations'!AN4)+Data!$AK$10)*Drivers!AO4</f>
        <v>524522.52860320418</v>
      </c>
      <c r="AO34" s="22">
        <f>((Data!$AJ$10*'Intermediate calculations'!AO4)+Data!$AK$10)*Drivers!AP4</f>
        <v>537434.38882143225</v>
      </c>
      <c r="AP34" s="22">
        <f>((Data!$AJ$10*'Intermediate calculations'!AP4)+Data!$AK$10)*Drivers!AQ4</f>
        <v>551673.56671717402</v>
      </c>
      <c r="AQ34" s="22">
        <f>((Data!$AJ$10*'Intermediate calculations'!AQ4)+Data!$AK$10)*Drivers!AR4</f>
        <v>565944.00641091878</v>
      </c>
      <c r="AR34" s="22">
        <f>((Data!$AJ$10*'Intermediate calculations'!AR4)+Data!$AK$10)*Drivers!AS4</f>
        <v>581921.21873513761</v>
      </c>
      <c r="AS34" s="22">
        <f>((Data!$AJ$10*'Intermediate calculations'!AS4)+Data!$AK$10)*Drivers!AT4</f>
        <v>598475.02498370316</v>
      </c>
      <c r="AT34" s="22">
        <f>((Data!$AJ$10*'Intermediate calculations'!AT4)+Data!$AK$10)*Drivers!AU4</f>
        <v>615552.70598465798</v>
      </c>
      <c r="AU34" s="22">
        <f>((Data!$AJ$10*'Intermediate calculations'!AU4)+Data!$AK$10)*Drivers!AV4</f>
        <v>633096.13897829142</v>
      </c>
      <c r="AV34" s="22">
        <f>((Data!$AJ$10*'Intermediate calculations'!AV4)+Data!$AK$10)*Drivers!AW4</f>
        <v>649726.91786865948</v>
      </c>
      <c r="AW34" s="22">
        <f>((Data!$AJ$10*'Intermediate calculations'!AW4)+Data!$AK$10)*Drivers!AX4</f>
        <v>666797.35518876463</v>
      </c>
      <c r="AX34" s="22">
        <f>((Data!$AJ$10*'Intermediate calculations'!AX4)+Data!$AK$10)*Drivers!AY4</f>
        <v>684963.10505899449</v>
      </c>
      <c r="AY34" s="22">
        <f>((Data!$AJ$10*'Intermediate calculations'!AY4)+Data!$AK$10)*Drivers!AZ4</f>
        <v>703956.82438438211</v>
      </c>
      <c r="AZ34" s="22">
        <f>((Data!$AJ$10*'Intermediate calculations'!AZ4)+Data!$AK$10)*Drivers!BA4</f>
        <v>722747.78617048322</v>
      </c>
      <c r="BA34" s="22">
        <f>((Data!$AJ$10*'Intermediate calculations'!BA4)+Data!$AK$10)*Drivers!BB4</f>
        <v>741903.14477863593</v>
      </c>
      <c r="BB34" s="22">
        <f>((Data!$AJ$10*'Intermediate calculations'!BB4)+Data!$AK$10)*Drivers!BC4</f>
        <v>761532.00074936915</v>
      </c>
      <c r="BC34" s="22">
        <f>((Data!$AJ$10*'Intermediate calculations'!BC4)+Data!$AK$10)*Drivers!BD4</f>
        <v>782089.36138876737</v>
      </c>
      <c r="BD34" s="22">
        <f>((Data!$AJ$10*'Intermediate calculations'!BD4)+Data!$AK$10)*Drivers!BE4</f>
        <v>803782.97219275031</v>
      </c>
      <c r="BE34" s="22">
        <f>((Data!$AJ$10*'Intermediate calculations'!BE4)+Data!$AK$10)*Drivers!BF4</f>
        <v>826549.40739857999</v>
      </c>
      <c r="BF34" s="22">
        <f>((Data!$AJ$10*'Intermediate calculations'!BF4)+Data!$AK$10)*Drivers!BG4</f>
        <v>850820.55596537155</v>
      </c>
      <c r="BG34" s="22">
        <f>((Data!$AJ$10*'Intermediate calculations'!BG4)+Data!$AK$10)*Drivers!BH4</f>
        <v>876134.22684693593</v>
      </c>
      <c r="BH34" s="22">
        <f>((Data!$AJ$10*'Intermediate calculations'!BH4)+Data!$AK$10)*Drivers!BI4</f>
        <v>902566.46071740589</v>
      </c>
      <c r="BI34" s="22">
        <f>((Data!$AJ$10*'Intermediate calculations'!BI4)+Data!$AK$10)*Drivers!BJ4</f>
        <v>929058.19500221126</v>
      </c>
      <c r="BJ34" s="22">
        <f>((Data!$AJ$10*'Intermediate calculations'!BJ4)+Data!$AK$10)*Drivers!BK4</f>
        <v>956774.75071064336</v>
      </c>
      <c r="BK34" s="22">
        <f>((Data!$AJ$10*'Intermediate calculations'!BK4)+Data!$AK$10)*Drivers!BL4</f>
        <v>986000.32541335002</v>
      </c>
    </row>
    <row r="35" spans="1:63" x14ac:dyDescent="0.25">
      <c r="A35" t="s">
        <v>336</v>
      </c>
      <c r="B35" t="s">
        <v>663</v>
      </c>
      <c r="C35" s="53">
        <f>C34*ttokg/Drivers!D4</f>
        <v>5.6792692731505428</v>
      </c>
      <c r="D35" s="53">
        <f>D34*ttokg/Drivers!E4</f>
        <v>5.6735407533878863</v>
      </c>
      <c r="E35" s="53">
        <f>E34*ttokg/Drivers!F4</f>
        <v>5.7663554980919702</v>
      </c>
      <c r="F35" s="53">
        <f>F34*ttokg/Drivers!G4</f>
        <v>5.5003626959346512</v>
      </c>
      <c r="G35" s="53">
        <f>G34*ttokg/Drivers!H4</f>
        <v>5.7440011119202836</v>
      </c>
      <c r="H35" s="53">
        <f>H34*ttokg/Drivers!I4</f>
        <v>6.5643785254272409</v>
      </c>
      <c r="I35" s="53">
        <f>I34*ttokg/Drivers!J4</f>
        <v>6.2261767361581377</v>
      </c>
      <c r="J35" s="53">
        <f>J34*ttokg/Drivers!K4</f>
        <v>6.8159410484838823</v>
      </c>
      <c r="K35" s="53">
        <f>K34*ttokg/Drivers!L4</f>
        <v>6.9135617067431951</v>
      </c>
      <c r="L35" s="53">
        <f>L34*ttokg/Drivers!M4</f>
        <v>6.7435684569066696</v>
      </c>
      <c r="M35" s="53">
        <f>M34*ttokg/Drivers!N4</f>
        <v>6.8938359055347007</v>
      </c>
      <c r="N35" s="53">
        <f>N34*ttokg/Drivers!O4</f>
        <v>6.7586436139573367</v>
      </c>
      <c r="O35" s="53">
        <f>O34*ttokg/Drivers!P4</f>
        <v>6.7820976802777446</v>
      </c>
      <c r="P35" s="53">
        <f>P34*ttokg/Drivers!Q4</f>
        <v>6.5283657706780742</v>
      </c>
      <c r="Q35" s="53">
        <f>Q34*ttokg/Drivers!R4</f>
        <v>6.956836529777692</v>
      </c>
      <c r="R35" s="53">
        <f>R34*ttokg/Drivers!S4</f>
        <v>7.4560467609836394</v>
      </c>
      <c r="S35" s="53">
        <f>S34*ttokg/Drivers!T4</f>
        <v>8.0842312552919999</v>
      </c>
      <c r="T35" s="53">
        <f>T34*ttokg/Drivers!U4</f>
        <v>8.4690969269617149</v>
      </c>
      <c r="U35" s="53">
        <f>U34*ttokg/Drivers!V4</f>
        <v>8.115795364719725</v>
      </c>
      <c r="V35" s="53">
        <f>V34*ttokg/Drivers!W4</f>
        <v>7.5083685125492075</v>
      </c>
      <c r="W35" s="53">
        <f>W34*ttokg/Drivers!X4</f>
        <v>7.5365654239091562</v>
      </c>
      <c r="X35" s="53">
        <f>X34*ttokg/Drivers!Y4</f>
        <v>8.1916504698892236</v>
      </c>
      <c r="Y35" s="53">
        <f>Y34*ttokg/Drivers!Z4</f>
        <v>8.0137844179097311</v>
      </c>
      <c r="Z35" s="53">
        <f>Z34*ttokg/Drivers!AA4</f>
        <v>8.0775398203615847</v>
      </c>
      <c r="AA35" s="53">
        <f>AA34*ttokg/Drivers!AB4</f>
        <v>8.1058544740050493</v>
      </c>
      <c r="AB35" s="53">
        <f>AB34*ttokg/Drivers!AC4</f>
        <v>8.1071099180562225</v>
      </c>
      <c r="AC35" s="53">
        <f>AC34*ttokg/Drivers!AD4</f>
        <v>8.080515147278172</v>
      </c>
      <c r="AD35" s="53">
        <f>AD34*ttokg/Drivers!AE4</f>
        <v>8.0834458311006134</v>
      </c>
      <c r="AE35" s="53">
        <f>AE34*ttokg/Drivers!AF4</f>
        <v>8.0788511752684293</v>
      </c>
      <c r="AF35" s="53">
        <f>AF34*ttokg/Drivers!AG4</f>
        <v>8.0709447932041947</v>
      </c>
      <c r="AG35" s="53">
        <f>AG34*ttokg/Drivers!AH4</f>
        <v>7.5731022535851675</v>
      </c>
      <c r="AH35" s="53">
        <f>AH34*ttokg/Drivers!AI4</f>
        <v>7.6534724769487701</v>
      </c>
      <c r="AI35" s="53">
        <f>AI34*ttokg/Drivers!AJ4</f>
        <v>7.7263488389094457</v>
      </c>
      <c r="AJ35" s="53">
        <f>AJ34*ttokg/Drivers!AK4</f>
        <v>7.800317489369065</v>
      </c>
      <c r="AK35" s="53">
        <f>AK34*ttokg/Drivers!AL4</f>
        <v>7.8814897499605747</v>
      </c>
      <c r="AL35" s="53">
        <f>AL34*ttokg/Drivers!AM4</f>
        <v>7.9740991207949188</v>
      </c>
      <c r="AM35" s="53">
        <f>AM34*ttokg/Drivers!AN4</f>
        <v>8.0782935092924166</v>
      </c>
      <c r="AN35" s="53">
        <f>AN34*ttokg/Drivers!AO4</f>
        <v>8.1898372401630208</v>
      </c>
      <c r="AO35" s="53">
        <f>AO34*ttokg/Drivers!AP4</f>
        <v>8.3096213551411751</v>
      </c>
      <c r="AP35" s="53">
        <f>AP34*ttokg/Drivers!AQ4</f>
        <v>8.4466133726216377</v>
      </c>
      <c r="AQ35" s="53">
        <f>AQ34*ttokg/Drivers!AR4</f>
        <v>8.580617899134392</v>
      </c>
      <c r="AR35" s="53">
        <f>AR34*ttokg/Drivers!AS4</f>
        <v>8.7481985338855104</v>
      </c>
      <c r="AS35" s="53">
        <f>AS34*ttokg/Drivers!AT4</f>
        <v>8.9209233506476231</v>
      </c>
      <c r="AT35" s="53">
        <f>AT34*ttokg/Drivers!AU4</f>
        <v>9.0978413725522351</v>
      </c>
      <c r="AU35" s="53">
        <f>AU34*ttokg/Drivers!AV4</f>
        <v>9.2779519623307376</v>
      </c>
      <c r="AV35" s="53">
        <f>AV34*ttokg/Drivers!AW4</f>
        <v>9.4411012141281994</v>
      </c>
      <c r="AW35" s="53">
        <f>AW34*ttokg/Drivers!AX4</f>
        <v>9.6187293977482557</v>
      </c>
      <c r="AX35" s="53">
        <f>AX34*ttokg/Drivers!AY4</f>
        <v>9.8089622296443224</v>
      </c>
      <c r="AY35" s="53">
        <f>AY34*ttokg/Drivers!AZ4</f>
        <v>10.007692465476396</v>
      </c>
      <c r="AZ35" s="53">
        <f>AZ34*ttokg/Drivers!BA4</f>
        <v>10.200154319201012</v>
      </c>
      <c r="BA35" s="53">
        <f>BA34*ttokg/Drivers!BB4</f>
        <v>10.394395293781802</v>
      </c>
      <c r="BB35" s="53">
        <f>BB34*ttokg/Drivers!BC4</f>
        <v>10.603546476217042</v>
      </c>
      <c r="BC35" s="53">
        <f>BC34*ttokg/Drivers!BD4</f>
        <v>10.822568279336984</v>
      </c>
      <c r="BD35" s="53">
        <f>BD34*ttokg/Drivers!BE4</f>
        <v>11.05410861155138</v>
      </c>
      <c r="BE35" s="53">
        <f>BE34*ttokg/Drivers!BF4</f>
        <v>11.29704124379851</v>
      </c>
      <c r="BF35" s="53">
        <f>BF34*ttokg/Drivers!BG4</f>
        <v>11.556992703613954</v>
      </c>
      <c r="BG35" s="53">
        <f>BG34*ttokg/Drivers!BH4</f>
        <v>11.840393818545891</v>
      </c>
      <c r="BH35" s="53">
        <f>BH34*ttokg/Drivers!BI4</f>
        <v>12.135657964842666</v>
      </c>
      <c r="BI35" s="53">
        <f>BI34*ttokg/Drivers!BJ4</f>
        <v>12.428413404953009</v>
      </c>
      <c r="BJ35" s="53">
        <f>BJ34*ttokg/Drivers!BK4</f>
        <v>12.734183790901398</v>
      </c>
      <c r="BK35" s="53">
        <f>BK34*ttokg/Drivers!BL4</f>
        <v>13.056509885798746</v>
      </c>
    </row>
    <row r="36" spans="1:63" x14ac:dyDescent="0.25">
      <c r="A36" t="s">
        <v>336</v>
      </c>
      <c r="B36" t="s">
        <v>322</v>
      </c>
      <c r="C36" s="53">
        <f>C34/Drivers!D4</f>
        <v>5.6792692731505428E-3</v>
      </c>
      <c r="D36" s="53">
        <f>D34/Drivers!E4</f>
        <v>5.6735407533878863E-3</v>
      </c>
      <c r="E36" s="53">
        <f>E34/Drivers!F4</f>
        <v>5.7663554980919695E-3</v>
      </c>
      <c r="F36" s="53">
        <f>F34/Drivers!G4</f>
        <v>5.5003626959346519E-3</v>
      </c>
      <c r="G36" s="53">
        <f>G34/Drivers!H4</f>
        <v>5.7440011119202841E-3</v>
      </c>
      <c r="H36" s="53">
        <f>H34/Drivers!I4</f>
        <v>6.5643785254272408E-3</v>
      </c>
      <c r="I36" s="53">
        <f>I34/Drivers!J4</f>
        <v>6.2261767361581379E-3</v>
      </c>
      <c r="J36" s="53">
        <f>J34/Drivers!K4</f>
        <v>6.8159410484838825E-3</v>
      </c>
      <c r="K36" s="53">
        <f>K34/Drivers!L4</f>
        <v>6.9135617067431947E-3</v>
      </c>
      <c r="L36" s="53">
        <f>L34/Drivers!M4</f>
        <v>6.7435684569066689E-3</v>
      </c>
      <c r="M36" s="53">
        <f>M34/Drivers!N4</f>
        <v>6.8938359055347002E-3</v>
      </c>
      <c r="N36" s="53">
        <f>N34/Drivers!O4</f>
        <v>6.7586436139573363E-3</v>
      </c>
      <c r="O36" s="53">
        <f>O34/Drivers!P4</f>
        <v>6.7820976802777447E-3</v>
      </c>
      <c r="P36" s="53">
        <f>P34/Drivers!Q4</f>
        <v>6.5283657706780738E-3</v>
      </c>
      <c r="Q36" s="53">
        <f>Q34/Drivers!R4</f>
        <v>6.9568365297776923E-3</v>
      </c>
      <c r="R36" s="53">
        <f>R34/Drivers!S4</f>
        <v>7.456046760983639E-3</v>
      </c>
      <c r="S36" s="53">
        <f>S34/Drivers!T4</f>
        <v>8.0842312552920001E-3</v>
      </c>
      <c r="T36" s="53">
        <f>T34/Drivers!U4</f>
        <v>8.4690969269617146E-3</v>
      </c>
      <c r="U36" s="53">
        <f>U34/Drivers!V4</f>
        <v>8.1157953647197252E-3</v>
      </c>
      <c r="V36" s="53">
        <f>V34/Drivers!W4</f>
        <v>7.5083685125492076E-3</v>
      </c>
      <c r="W36" s="53">
        <f>W34/Drivers!X4</f>
        <v>7.5365654239091563E-3</v>
      </c>
      <c r="X36" s="53">
        <f>X34/Drivers!Y4</f>
        <v>8.191650469889223E-3</v>
      </c>
      <c r="Y36" s="53"/>
      <c r="Z36" s="53"/>
      <c r="AA36" s="53"/>
      <c r="AB36" s="53"/>
      <c r="AC36" s="53"/>
      <c r="AD36" s="53"/>
      <c r="AE36" s="53"/>
      <c r="AF36" s="53"/>
      <c r="AG36" s="53"/>
      <c r="AH36" s="53"/>
      <c r="AI36" s="53"/>
      <c r="AJ36" s="53"/>
      <c r="AK36" s="53"/>
      <c r="AL36" s="53"/>
      <c r="AM36" s="53"/>
      <c r="AN36" s="53"/>
      <c r="AO36" s="53">
        <f>(AO37-AD37)/AD37</f>
        <v>0.17882943078122085</v>
      </c>
      <c r="AP36" s="53"/>
      <c r="AQ36" s="53">
        <f>(AQ37-AE37)/AE37</f>
        <v>0.22278619841541558</v>
      </c>
      <c r="AR36" s="53"/>
      <c r="AS36" s="53"/>
      <c r="AT36" s="53"/>
      <c r="AU36" s="53"/>
      <c r="AV36" s="53"/>
      <c r="AW36" s="53"/>
      <c r="AX36" s="53"/>
      <c r="AY36" s="53"/>
      <c r="AZ36" s="53"/>
      <c r="BA36" s="53"/>
      <c r="BB36" s="53"/>
      <c r="BC36" s="53"/>
      <c r="BD36" s="53"/>
      <c r="BE36" s="53"/>
      <c r="BF36" s="53"/>
      <c r="BG36" s="53"/>
      <c r="BH36" s="53"/>
      <c r="BI36" s="53"/>
      <c r="BJ36" s="53"/>
      <c r="BK36" s="53"/>
    </row>
    <row r="37" spans="1:63" x14ac:dyDescent="0.25">
      <c r="A37" t="s">
        <v>337</v>
      </c>
      <c r="B37" t="s">
        <v>321</v>
      </c>
      <c r="C37" s="22">
        <v>224000</v>
      </c>
      <c r="D37" s="22">
        <v>232000</v>
      </c>
      <c r="E37" s="22">
        <v>238000</v>
      </c>
      <c r="F37" s="22">
        <v>235000</v>
      </c>
      <c r="G37" s="22">
        <v>251000</v>
      </c>
      <c r="H37" s="22">
        <v>290000</v>
      </c>
      <c r="I37" s="22">
        <v>282000</v>
      </c>
      <c r="J37" s="22">
        <v>314000</v>
      </c>
      <c r="K37" s="22">
        <v>323000</v>
      </c>
      <c r="L37" s="22">
        <v>318000</v>
      </c>
      <c r="M37" s="22">
        <v>329000</v>
      </c>
      <c r="N37" s="22">
        <v>330000</v>
      </c>
      <c r="O37" s="22">
        <v>340000</v>
      </c>
      <c r="P37" s="22">
        <v>328000</v>
      </c>
      <c r="Q37" s="22">
        <v>348000</v>
      </c>
      <c r="R37" s="22">
        <v>375000</v>
      </c>
      <c r="S37" s="22">
        <v>412000</v>
      </c>
      <c r="T37" s="22">
        <v>438000</v>
      </c>
      <c r="U37" s="22">
        <v>426000</v>
      </c>
      <c r="V37" s="22">
        <v>404000</v>
      </c>
      <c r="W37" s="22">
        <v>413000</v>
      </c>
      <c r="X37" s="22">
        <v>452000</v>
      </c>
      <c r="Y37" s="22">
        <f>((Data!$AJ$29*'Intermediate calculations'!Y34)+Data!$AK$29)</f>
        <v>449024.19564662891</v>
      </c>
      <c r="Z37" s="22">
        <f>((Data!$AJ$29*'Intermediate calculations'!Z34)+Data!$AK$29)</f>
        <v>459496.66412706987</v>
      </c>
      <c r="AA37" s="22">
        <f>((Data!$AJ$29*'Intermediate calculations'!AA34)+Data!$AK$29)</f>
        <v>468255.93144272076</v>
      </c>
      <c r="AB37" s="22">
        <f>((Data!$AJ$29*'Intermediate calculations'!AB34)+Data!$AK$29)</f>
        <v>475720.25257353269</v>
      </c>
      <c r="AC37" s="22">
        <f>((Data!$AJ$29*'Intermediate calculations'!AC34)+Data!$AK$29)</f>
        <v>481778.23605726776</v>
      </c>
      <c r="AD37" s="22">
        <f>((Data!$AJ$29*'Intermediate calculations'!AD34)+Data!$AK$29)</f>
        <v>489886.33837309963</v>
      </c>
      <c r="AE37" s="22">
        <f>((Data!$AJ$29*'Intermediate calculations'!AE34)+Data!$AK$29)</f>
        <v>497636.00119318807</v>
      </c>
      <c r="AF37" s="22">
        <f>((Data!$AJ$29*'Intermediate calculations'!AF34)+Data!$AK$29)</f>
        <v>505296.10645415355</v>
      </c>
      <c r="AG37" s="22">
        <f>((Data!$AJ$29*'Intermediate calculations'!AG34)+Data!$AK$29)</f>
        <v>481466.0679079523</v>
      </c>
      <c r="AH37" s="22">
        <f>((Data!$AJ$29*'Intermediate calculations'!AH34)+Data!$AK$29)</f>
        <v>492335.63326547289</v>
      </c>
      <c r="AI37" s="22">
        <f>((Data!$AJ$29*'Intermediate calculations'!AI34)+Data!$AK$29)</f>
        <v>502896.11003156914</v>
      </c>
      <c r="AJ37" s="22">
        <f>((Data!$AJ$29*'Intermediate calculations'!AJ34)+Data!$AK$29)</f>
        <v>513706.4928606571</v>
      </c>
      <c r="AK37" s="22">
        <f>((Data!$AJ$29*'Intermediate calculations'!AK34)+Data!$AK$29)</f>
        <v>525184.69270580937</v>
      </c>
      <c r="AL37" s="22">
        <f>((Data!$AJ$29*'Intermediate calculations'!AL34)+Data!$AK$29)</f>
        <v>537639.44977425924</v>
      </c>
      <c r="AM37" s="22">
        <f>((Data!$AJ$29*'Intermediate calculations'!AM34)+Data!$AK$29)</f>
        <v>550190.64037407003</v>
      </c>
      <c r="AN37" s="22">
        <f>((Data!$AJ$29*'Intermediate calculations'!AN34)+Data!$AK$29)</f>
        <v>563448.16245964589</v>
      </c>
      <c r="AO37" s="22">
        <f>((Data!$AJ$29*'Intermediate calculations'!AO34)+Data!$AK$29)</f>
        <v>577492.43341185758</v>
      </c>
      <c r="AP37" s="22">
        <f>((Data!$AJ$29*'Intermediate calculations'!AP34)+Data!$AK$29)</f>
        <v>592980.43197477772</v>
      </c>
      <c r="AQ37" s="22">
        <f>((Data!$AJ$29*'Intermediate calculations'!AQ34)+Data!$AK$29)</f>
        <v>608502.43409366766</v>
      </c>
      <c r="AR37" s="22">
        <f>((Data!$AJ$29*'Intermediate calculations'!AR34)+Data!$AK$29)</f>
        <v>625880.89816854731</v>
      </c>
      <c r="AS37" s="22">
        <f>((Data!$AJ$29*'Intermediate calculations'!AS34)+Data!$AK$29)</f>
        <v>643886.52526765899</v>
      </c>
      <c r="AT37" s="22">
        <f>((Data!$AJ$29*'Intermediate calculations'!AT34)+Data!$AK$29)</f>
        <v>662461.97258192394</v>
      </c>
      <c r="AU37" s="22">
        <f>((Data!$AJ$29*'Intermediate calculations'!AU34)+Data!$AK$29)</f>
        <v>681544.01980287582</v>
      </c>
      <c r="AV37" s="22">
        <f>((Data!$AJ$29*'Intermediate calculations'!AV34)+Data!$AK$29)</f>
        <v>699633.37028646586</v>
      </c>
      <c r="AW37" s="22">
        <f>((Data!$AJ$29*'Intermediate calculations'!AW34)+Data!$AK$29)</f>
        <v>718200.93862629752</v>
      </c>
      <c r="AX37" s="22">
        <f>((Data!$AJ$29*'Intermediate calculations'!AX34)+Data!$AK$29)</f>
        <v>737959.88187038898</v>
      </c>
      <c r="AY37" s="22">
        <f>((Data!$AJ$29*'Intermediate calculations'!AY34)+Data!$AK$29)</f>
        <v>758619.4100938607</v>
      </c>
      <c r="AZ37" s="22">
        <f>((Data!$AJ$29*'Intermediate calculations'!AZ34)+Data!$AK$29)</f>
        <v>779058.39830441261</v>
      </c>
      <c r="BA37" s="22">
        <f>((Data!$AJ$29*'Intermediate calculations'!BA34)+Data!$AK$29)</f>
        <v>799893.74208391621</v>
      </c>
      <c r="BB37" s="22">
        <f>((Data!$AJ$29*'Intermediate calculations'!BB34)+Data!$AK$29)</f>
        <v>821244.11043329933</v>
      </c>
      <c r="BC37" s="22">
        <f>((Data!$AJ$29*'Intermediate calculations'!BC34)+Data!$AK$29)</f>
        <v>843604.41622986109</v>
      </c>
      <c r="BD37" s="22">
        <f>((Data!$AJ$29*'Intermediate calculations'!BD34)+Data!$AK$29)</f>
        <v>867200.62490263232</v>
      </c>
      <c r="BE37" s="22">
        <f>((Data!$AJ$29*'Intermediate calculations'!BE34)+Data!$AK$29)</f>
        <v>891963.74805008224</v>
      </c>
      <c r="BF37" s="22">
        <f>((Data!$AJ$29*'Intermediate calculations'!BF34)+Data!$AK$29)</f>
        <v>918363.55265083117</v>
      </c>
      <c r="BG37" s="22">
        <f>((Data!$AJ$29*'Intermediate calculations'!BG34)+Data!$AK$29)</f>
        <v>945897.31205088366</v>
      </c>
      <c r="BH37" s="22">
        <f>((Data!$AJ$29*'Intermediate calculations'!BH34)+Data!$AK$29)</f>
        <v>974647.73593055387</v>
      </c>
      <c r="BI37" s="22">
        <f>((Data!$AJ$29*'Intermediate calculations'!BI34)+Data!$AK$29)</f>
        <v>1003462.8785979564</v>
      </c>
      <c r="BJ37" s="22">
        <f>((Data!$AJ$29*'Intermediate calculations'!BJ34)+Data!$AK$29)</f>
        <v>1033610.2633784825</v>
      </c>
      <c r="BK37" s="22">
        <f>((Data!$AJ$29*'Intermediate calculations'!BK34)+Data!$AK$29)</f>
        <v>1065399.0128631981</v>
      </c>
    </row>
    <row r="38" spans="1:63" x14ac:dyDescent="0.25">
      <c r="A38" t="s">
        <v>836</v>
      </c>
      <c r="B38" t="s">
        <v>815</v>
      </c>
      <c r="C38" s="22">
        <f>Data!C30</f>
        <v>68.119237849915791</v>
      </c>
      <c r="D38" s="22">
        <f>Data!D30</f>
        <v>63.894859769163475</v>
      </c>
      <c r="E38" s="22">
        <f>Data!E30</f>
        <v>59.072103114550025</v>
      </c>
      <c r="F38" s="22">
        <f>Data!F30</f>
        <v>58.885553141022513</v>
      </c>
      <c r="G38" s="22">
        <f>Data!G30</f>
        <v>52.733853566608673</v>
      </c>
      <c r="H38" s="22">
        <f>Data!H30</f>
        <v>49.801167659087803</v>
      </c>
      <c r="I38" s="22">
        <f>Data!I30</f>
        <v>54.097578895179353</v>
      </c>
      <c r="J38" s="22">
        <f>Data!J30</f>
        <v>48.744213441440387</v>
      </c>
      <c r="K38" s="22">
        <f>Data!K30</f>
        <v>53.352655002236958</v>
      </c>
      <c r="L38" s="22">
        <f>Data!L30</f>
        <v>58.098761689825743</v>
      </c>
      <c r="M38" s="22">
        <f>Data!M30</f>
        <v>54.966389071324642</v>
      </c>
      <c r="N38" s="22">
        <f>Data!N30</f>
        <v>56.261688084642699</v>
      </c>
      <c r="O38" s="22">
        <f>Data!O30</f>
        <v>54.178346501154266</v>
      </c>
      <c r="P38" s="22">
        <f>Data!P30</f>
        <v>53.918414227536552</v>
      </c>
      <c r="Q38" s="22">
        <f>Data!Q30</f>
        <v>52.662428155033204</v>
      </c>
      <c r="R38" s="22">
        <f>Data!R30</f>
        <v>51.817664184004158</v>
      </c>
      <c r="S38" s="22">
        <f>Data!S30</f>
        <v>52.051167139869889</v>
      </c>
      <c r="T38" s="22">
        <f>Data!T30</f>
        <v>54.184194262204088</v>
      </c>
      <c r="U38" s="22">
        <f>Data!U30</f>
        <v>56.444210182137155</v>
      </c>
      <c r="V38" s="22">
        <f>Data!V30</f>
        <v>57.323692110809887</v>
      </c>
      <c r="W38" s="22">
        <f>Data!W30</f>
        <v>58.258803357595554</v>
      </c>
      <c r="X38" s="22">
        <f>Data!X30</f>
        <v>55.689096813946371</v>
      </c>
      <c r="Y38" s="22">
        <f>((Data!$AJ$30*LN('Intermediate calculations'!Y2))+Data!$AK$30)</f>
        <v>54.878404435813614</v>
      </c>
      <c r="Z38" s="22">
        <f>((Data!$AJ$30*LN('Intermediate calculations'!Z2))+Data!$AK$30)</f>
        <v>54.880806049015746</v>
      </c>
      <c r="AA38" s="22">
        <f>((Data!$AJ$30*LN('Intermediate calculations'!AA2))+Data!$AK$30)</f>
        <v>54.883062017847422</v>
      </c>
      <c r="AB38" s="22">
        <f>((Data!$AJ$30*LN('Intermediate calculations'!AB2))+Data!$AK$30)</f>
        <v>54.88518900183886</v>
      </c>
      <c r="AC38" s="22">
        <f>((Data!$AJ$30*LN('Intermediate calculations'!AC2))+Data!$AK$30)</f>
        <v>54.887200956096819</v>
      </c>
      <c r="AD38" s="22">
        <f>((Data!$AJ$30*LN('Intermediate calculations'!AD2))+Data!$AK$30)</f>
        <v>54.889109686740333</v>
      </c>
      <c r="AE38" s="22">
        <f>((Data!$AJ$30*LN('Intermediate calculations'!AE2))+Data!$AK$30)</f>
        <v>54.890925270679013</v>
      </c>
      <c r="AF38" s="22">
        <f>((Data!$AJ$30*LN('Intermediate calculations'!AF2))+Data!$AK$30)</f>
        <v>54.892656377648038</v>
      </c>
      <c r="AG38" s="22">
        <f>((Data!$AJ$30*LN('Intermediate calculations'!AG2))+Data!$AK$30)</f>
        <v>54.894310520599667</v>
      </c>
      <c r="AH38" s="22">
        <f>((Data!$AJ$30*LN('Intermediate calculations'!AH2))+Data!$AK$30)</f>
        <v>54.895894252765579</v>
      </c>
      <c r="AI38" s="22">
        <f>((Data!$AJ$30*LN('Intermediate calculations'!AI2))+Data!$AK$30)</f>
        <v>54.897413324464914</v>
      </c>
      <c r="AJ38" s="22">
        <f>((Data!$AJ$30*LN('Intermediate calculations'!AJ2))+Data!$AK$30)</f>
        <v>54.89887280913927</v>
      </c>
      <c r="AK38" s="22">
        <f>((Data!$AJ$30*LN('Intermediate calculations'!AK2))+Data!$AK$30)</f>
        <v>54.900277205588694</v>
      </c>
      <c r="AL38" s="22">
        <f>((Data!$AJ$30*LN('Intermediate calculations'!AL2))+Data!$AK$30)</f>
        <v>54.901630521605725</v>
      </c>
      <c r="AM38" s="22">
        <f>((Data!$AJ$30*LN('Intermediate calculations'!AM2))+Data!$AK$30)</f>
        <v>54.902936342926907</v>
      </c>
      <c r="AN38" s="22">
        <f>((Data!$AJ$30*LN('Intermediate calculations'!AN2))+Data!$AK$30)</f>
        <v>54.90419789049016</v>
      </c>
      <c r="AO38" s="22">
        <f>((Data!$AJ$30*LN('Intermediate calculations'!AO2))+Data!$AK$30)</f>
        <v>54.905418068300236</v>
      </c>
      <c r="AP38" s="22">
        <f>((Data!$AJ$30*LN('Intermediate calculations'!AP2))+Data!$AK$30)</f>
        <v>54.906599503692291</v>
      </c>
      <c r="AQ38" s="22">
        <f>((Data!$AJ$30*LN('Intermediate calculations'!AQ2))+Data!$AK$30)</f>
        <v>54.907744581397871</v>
      </c>
      <c r="AR38" s="22">
        <f>((Data!$AJ$30*LN('Intermediate calculations'!AR2))+Data!$AK$30)</f>
        <v>54.908855472523967</v>
      </c>
      <c r="AS38" s="22">
        <f>((Data!$AJ$30*LN('Intermediate calculations'!AS2))+Data!$AK$30)</f>
        <v>54.909934159330312</v>
      </c>
      <c r="AT38" s="22">
        <f>((Data!$AJ$30*LN('Intermediate calculations'!AT2))+Data!$AK$30)</f>
        <v>54.910982456515406</v>
      </c>
      <c r="AU38" s="22">
        <f>((Data!$AJ$30*LN('Intermediate calculations'!AU2))+Data!$AK$30)</f>
        <v>54.912002029585494</v>
      </c>
      <c r="AV38" s="22">
        <f>((Data!$AJ$30*LN('Intermediate calculations'!AV2))+Data!$AK$30)</f>
        <v>54.912994410773372</v>
      </c>
      <c r="AW38" s="22">
        <f>((Data!$AJ$30*LN('Intermediate calculations'!AW2))+Data!$AK$30)</f>
        <v>54.913961012889104</v>
      </c>
      <c r="AX38" s="22">
        <f>((Data!$AJ$30*LN('Intermediate calculations'!AX2))+Data!$AK$30)</f>
        <v>54.914903141416879</v>
      </c>
      <c r="AY38" s="22">
        <f>((Data!$AJ$30*LN('Intermediate calculations'!AY2))+Data!$AK$30)</f>
        <v>54.915822005117917</v>
      </c>
      <c r="AZ38" s="22">
        <f>((Data!$AJ$30*LN('Intermediate calculations'!AZ2))+Data!$AK$30)</f>
        <v>54.916718725355558</v>
      </c>
      <c r="BA38" s="22">
        <f>((Data!$AJ$30*LN('Intermediate calculations'!BA2))+Data!$AK$30)</f>
        <v>54.917594344322914</v>
      </c>
      <c r="BB38" s="22">
        <f>((Data!$AJ$30*LN('Intermediate calculations'!BB2))+Data!$AK$30)</f>
        <v>54.91844983232459</v>
      </c>
      <c r="BC38" s="22">
        <f>((Data!$AJ$30*LN('Intermediate calculations'!BC2))+Data!$AK$30)</f>
        <v>54.919286094239993</v>
      </c>
      <c r="BD38" s="22">
        <f>((Data!$AJ$30*LN('Intermediate calculations'!BD2))+Data!$AK$30)</f>
        <v>54.920103975276213</v>
      </c>
      <c r="BE38" s="22">
        <f>((Data!$AJ$30*LN('Intermediate calculations'!BE2))+Data!$AK$30)</f>
        <v>54.920904266102156</v>
      </c>
      <c r="BF38" s="22">
        <f>((Data!$AJ$30*LN('Intermediate calculations'!BF2))+Data!$AK$30)</f>
        <v>54.921687707442125</v>
      </c>
      <c r="BG38" s="22">
        <f>((Data!$AJ$30*LN('Intermediate calculations'!BG2))+Data!$AK$30)</f>
        <v>54.922454994195704</v>
      </c>
      <c r="BH38" s="22">
        <f>((Data!$AJ$30*LN('Intermediate calculations'!BH2))+Data!$AK$30)</f>
        <v>54.923206779141459</v>
      </c>
      <c r="BI38" s="22">
        <f>((Data!$AJ$30*LN('Intermediate calculations'!BI2))+Data!$AK$30)</f>
        <v>54.923943676273794</v>
      </c>
      <c r="BJ38" s="22">
        <f>((Data!$AJ$30*LN('Intermediate calculations'!BJ2))+Data!$AK$30)</f>
        <v>54.924666263815823</v>
      </c>
      <c r="BK38" s="22">
        <f>((Data!$AJ$30*LN('Intermediate calculations'!BK2))+Data!$AK$30)</f>
        <v>54.925375086945202</v>
      </c>
    </row>
    <row r="39" spans="1:63" x14ac:dyDescent="0.25">
      <c r="A39" t="s">
        <v>338</v>
      </c>
      <c r="B39" t="s">
        <v>321</v>
      </c>
      <c r="C39" s="22">
        <v>605000</v>
      </c>
      <c r="D39" s="22">
        <v>593000</v>
      </c>
      <c r="E39" s="22">
        <v>571000</v>
      </c>
      <c r="F39" s="22">
        <v>580000</v>
      </c>
      <c r="G39" s="22">
        <v>609000</v>
      </c>
      <c r="H39" s="22">
        <v>662000</v>
      </c>
      <c r="I39" s="22">
        <v>738000</v>
      </c>
      <c r="J39" s="22">
        <v>826000</v>
      </c>
      <c r="K39" s="22">
        <v>854000</v>
      </c>
      <c r="L39" s="22">
        <v>874000</v>
      </c>
      <c r="M39" s="22">
        <v>927000</v>
      </c>
      <c r="N39" s="22">
        <v>938000</v>
      </c>
      <c r="O39" s="22">
        <v>965000</v>
      </c>
      <c r="P39" s="22">
        <v>1032000</v>
      </c>
      <c r="Q39" s="22">
        <v>1196000</v>
      </c>
      <c r="R39" s="22">
        <v>1455000</v>
      </c>
      <c r="S39" s="22">
        <v>1664000</v>
      </c>
      <c r="T39" s="22">
        <v>1767000</v>
      </c>
      <c r="U39" s="22">
        <v>1813000</v>
      </c>
      <c r="V39" s="22">
        <v>1841000</v>
      </c>
      <c r="W39" s="22">
        <v>1887000</v>
      </c>
      <c r="X39" s="22">
        <v>1987000</v>
      </c>
      <c r="Y39" s="22">
        <f>((Data!$AJ$11*'Intermediate calculations'!Y4)+Data!$AK$11)*Drivers!Z4</f>
        <v>1781601.3456390223</v>
      </c>
      <c r="Z39" s="22">
        <f>((Data!$AJ$11*'Intermediate calculations'!Z4)+Data!$AK$11)*Drivers!AA4</f>
        <v>1852034.0575111578</v>
      </c>
      <c r="AA39" s="22">
        <f>((Data!$AJ$11*'Intermediate calculations'!AA4)+Data!$AK$11)*Drivers!AB4</f>
        <v>1900010.5975948803</v>
      </c>
      <c r="AB39" s="22">
        <f>((Data!$AJ$11*'Intermediate calculations'!AB4)+Data!$AK$11)*Drivers!AC4</f>
        <v>1930439.7777061828</v>
      </c>
      <c r="AC39" s="22">
        <f>((Data!$AJ$11*'Intermediate calculations'!AC4)+Data!$AK$11)*Drivers!AD4</f>
        <v>1941911.1643097261</v>
      </c>
      <c r="AD39" s="22">
        <f>((Data!$AJ$11*'Intermediate calculations'!AD4)+Data!$AK$11)*Drivers!AE4</f>
        <v>1975552.1624392611</v>
      </c>
      <c r="AE39" s="22">
        <f>((Data!$AJ$11*'Intermediate calculations'!AE4)+Data!$AK$11)*Drivers!AF4</f>
        <v>2004077.4619362126</v>
      </c>
      <c r="AF39" s="22">
        <f>((Data!$AJ$11*'Intermediate calculations'!AF4)+Data!$AK$11)*Drivers!AG4</f>
        <v>2030501.870939441</v>
      </c>
      <c r="AG39" s="22">
        <f>((Data!$AJ$11*'Intermediate calculations'!AG4)+Data!$AK$11)*Drivers!AH4</f>
        <v>1680397.6426584895</v>
      </c>
      <c r="AH39" s="22">
        <f>((Data!$AJ$11*'Intermediate calculations'!AH4)+Data!$AK$11)*Drivers!AI4</f>
        <v>1762278.668327871</v>
      </c>
      <c r="AI39" s="22">
        <f>((Data!$AJ$11*'Intermediate calculations'!AI4)+Data!$AK$11)*Drivers!AJ4</f>
        <v>1839924.7090802919</v>
      </c>
      <c r="AJ39" s="22">
        <f>((Data!$AJ$11*'Intermediate calculations'!AJ4)+Data!$AK$11)*Drivers!AK4</f>
        <v>1919994.7200619492</v>
      </c>
      <c r="AK39" s="22">
        <f>((Data!$AJ$11*'Intermediate calculations'!AK4)+Data!$AK$11)*Drivers!AL4</f>
        <v>2007465.344418806</v>
      </c>
      <c r="AL39" s="22">
        <f>((Data!$AJ$11*'Intermediate calculations'!AL4)+Data!$AK$11)*Drivers!AM4</f>
        <v>2106011.4328339128</v>
      </c>
      <c r="AM39" s="22">
        <f>((Data!$AJ$11*'Intermediate calculations'!AM4)+Data!$AK$11)*Drivers!AN4</f>
        <v>2212451.7792252428</v>
      </c>
      <c r="AN39" s="22">
        <f>((Data!$AJ$11*'Intermediate calculations'!AN4)+Data!$AK$11)*Drivers!AO4</f>
        <v>2326888.6810515397</v>
      </c>
      <c r="AO39" s="22">
        <f>((Data!$AJ$11*'Intermediate calculations'!AO4)+Data!$AK$11)*Drivers!AP4</f>
        <v>2450276.8207824542</v>
      </c>
      <c r="AP39" s="22">
        <f>((Data!$AJ$11*'Intermediate calculations'!AP4)+Data!$AK$11)*Drivers!AQ4</f>
        <v>2590445.5819840566</v>
      </c>
      <c r="AQ39" s="22">
        <f>((Data!$AJ$11*'Intermediate calculations'!AQ4)+Data!$AK$11)*Drivers!AR4</f>
        <v>2730581.5709082722</v>
      </c>
      <c r="AR39" s="22">
        <f>((Data!$AJ$11*'Intermediate calculations'!AR4)+Data!$AK$11)*Drivers!AS4</f>
        <v>2898459.2527684858</v>
      </c>
      <c r="AS39" s="22">
        <f>((Data!$AJ$11*'Intermediate calculations'!AS4)+Data!$AK$11)*Drivers!AT4</f>
        <v>3073479.3159959293</v>
      </c>
      <c r="AT39" s="22">
        <f>((Data!$AJ$11*'Intermediate calculations'!AT4)+Data!$AK$11)*Drivers!AU4</f>
        <v>3254955.1572501105</v>
      </c>
      <c r="AU39" s="22">
        <f>((Data!$AJ$11*'Intermediate calculations'!AU4)+Data!$AK$11)*Drivers!AV4</f>
        <v>3442130.0672235498</v>
      </c>
      <c r="AV39" s="22">
        <f>((Data!$AJ$11*'Intermediate calculations'!AV4)+Data!$AK$11)*Drivers!AW4</f>
        <v>3617123.9744591308</v>
      </c>
      <c r="AW39" s="22">
        <f>((Data!$AJ$11*'Intermediate calculations'!AW4)+Data!$AK$11)*Drivers!AX4</f>
        <v>3803307.1210072725</v>
      </c>
      <c r="AX39" s="22">
        <f>((Data!$AJ$11*'Intermediate calculations'!AX4)+Data!$AK$11)*Drivers!AY4</f>
        <v>4003438.0751496912</v>
      </c>
      <c r="AY39" s="22">
        <f>((Data!$AJ$11*'Intermediate calculations'!AY4)+Data!$AK$11)*Drivers!AZ4</f>
        <v>4214047.6589762336</v>
      </c>
      <c r="AZ39" s="22">
        <f>((Data!$AJ$11*'Intermediate calculations'!AZ4)+Data!$AK$11)*Drivers!BA4</f>
        <v>4421766.0179353785</v>
      </c>
      <c r="BA39" s="22">
        <f>((Data!$AJ$11*'Intermediate calculations'!BA4)+Data!$AK$11)*Drivers!BB4</f>
        <v>4633946.9123209063</v>
      </c>
      <c r="BB39" s="22">
        <f>((Data!$AJ$11*'Intermediate calculations'!BB4)+Data!$AK$11)*Drivers!BC4</f>
        <v>4857541.3340869593</v>
      </c>
      <c r="BC39" s="22">
        <f>((Data!$AJ$11*'Intermediate calculations'!BC4)+Data!$AK$11)*Drivers!BD4</f>
        <v>5092985.5227872869</v>
      </c>
      <c r="BD39" s="22">
        <f>((Data!$AJ$11*'Intermediate calculations'!BD4)+Data!$AK$11)*Drivers!BE4</f>
        <v>5342972.6263702158</v>
      </c>
      <c r="BE39" s="22">
        <f>((Data!$AJ$11*'Intermediate calculations'!BE4)+Data!$AK$11)*Drivers!BF4</f>
        <v>5606678.8455864126</v>
      </c>
      <c r="BF39" s="22">
        <f>((Data!$AJ$11*'Intermediate calculations'!BF4)+Data!$AK$11)*Drivers!BG4</f>
        <v>5889704.3290255824</v>
      </c>
      <c r="BG39" s="22">
        <f>((Data!$AJ$11*'Intermediate calculations'!BG4)+Data!$AK$11)*Drivers!BH4</f>
        <v>6191744.2892942475</v>
      </c>
      <c r="BH39" s="22">
        <f>((Data!$AJ$11*'Intermediate calculations'!BH4)+Data!$AK$11)*Drivers!BI4</f>
        <v>6508157.3122024508</v>
      </c>
      <c r="BI39" s="22">
        <f>((Data!$AJ$11*'Intermediate calculations'!BI4)+Data!$AK$11)*Drivers!BJ4</f>
        <v>6825207.2632178552</v>
      </c>
      <c r="BJ39" s="22">
        <f>((Data!$AJ$11*'Intermediate calculations'!BJ4)+Data!$AK$11)*Drivers!BK4</f>
        <v>7158007.0170727894</v>
      </c>
      <c r="BK39" s="22">
        <f>((Data!$AJ$11*'Intermediate calculations'!BK4)+Data!$AK$11)*Drivers!BL4</f>
        <v>7510241.7660984183</v>
      </c>
    </row>
    <row r="40" spans="1:63" x14ac:dyDescent="0.25">
      <c r="A40" t="s">
        <v>338</v>
      </c>
      <c r="B40" t="s">
        <v>663</v>
      </c>
      <c r="C40" s="53">
        <f>C39*ttokg/Drivers!D4</f>
        <v>16.439990001225254</v>
      </c>
      <c r="D40" s="53">
        <f>D39*ttokg/Drivers!E4</f>
        <v>15.721540498873908</v>
      </c>
      <c r="E40" s="53">
        <f>E39*ttokg/Drivers!F4</f>
        <v>14.764973046683922</v>
      </c>
      <c r="F40" s="53">
        <f>F39*ttokg/Drivers!G4</f>
        <v>14.633992493771091</v>
      </c>
      <c r="G40" s="53">
        <f>G39*ttokg/Drivers!H4</f>
        <v>15.013290459911815</v>
      </c>
      <c r="H40" s="53">
        <f>H39*ttokg/Drivers!I4</f>
        <v>15.976538911150124</v>
      </c>
      <c r="I40" s="53">
        <f>I39*ttokg/Drivers!J4</f>
        <v>17.471172742527397</v>
      </c>
      <c r="J40" s="53">
        <f>J39*ttokg/Drivers!K4</f>
        <v>19.214905481391423</v>
      </c>
      <c r="K40" s="53">
        <f>K39*ttokg/Drivers!L4</f>
        <v>19.550270521717511</v>
      </c>
      <c r="L40" s="53">
        <f>L39*ttokg/Drivers!M4</f>
        <v>19.71196933557334</v>
      </c>
      <c r="M40" s="53">
        <f>M39*ttokg/Drivers!N4</f>
        <v>20.614793175582797</v>
      </c>
      <c r="N40" s="53">
        <f>N39*ttokg/Drivers!O4</f>
        <v>20.583141915233707</v>
      </c>
      <c r="O40" s="53">
        <f>O39*ttokg/Drivers!P4</f>
        <v>20.909662177214134</v>
      </c>
      <c r="P40" s="53">
        <f>P39*ttokg/Drivers!Q4</f>
        <v>22.089421230622204</v>
      </c>
      <c r="Q40" s="53">
        <f>Q39*ttokg/Drivers!R4</f>
        <v>25.289898144723768</v>
      </c>
      <c r="R40" s="53">
        <f>R39*ttokg/Drivers!S4</f>
        <v>30.388089740143403</v>
      </c>
      <c r="S40" s="53">
        <f>S39*ttokg/Drivers!T4</f>
        <v>34.316736757157884</v>
      </c>
      <c r="T40" s="53">
        <f>T39*ttokg/Drivers!U4</f>
        <v>35.973303533512855</v>
      </c>
      <c r="U40" s="53">
        <f>U39*ttokg/Drivers!V4</f>
        <v>36.420636129299162</v>
      </c>
      <c r="V40" s="53">
        <f>V39*ttokg/Drivers!W4</f>
        <v>36.472048632198131</v>
      </c>
      <c r="W40" s="53">
        <f>W39*ttokg/Drivers!X4</f>
        <v>36.843261541234661</v>
      </c>
      <c r="X40" s="53">
        <f>X39*ttokg/Drivers!Y4</f>
        <v>38.208472966361235</v>
      </c>
      <c r="Y40" s="53">
        <f>Y39*ttokg/Drivers!Z4</f>
        <v>34.048477910433284</v>
      </c>
      <c r="Z40" s="53">
        <f>Z39*ttokg/Drivers!AA4</f>
        <v>34.875349872673098</v>
      </c>
      <c r="AA40" s="53">
        <f>AA39*ttokg/Drivers!AB4</f>
        <v>35.242575116619946</v>
      </c>
      <c r="AB40" s="53">
        <f>AB39*ttokg/Drivers!AC4</f>
        <v>35.258857524794848</v>
      </c>
      <c r="AC40" s="53">
        <f>AC39*ttokg/Drivers!AD4</f>
        <v>34.91393820105327</v>
      </c>
      <c r="AD40" s="53">
        <f>AD39*ttokg/Drivers!AE4</f>
        <v>34.951947533435671</v>
      </c>
      <c r="AE40" s="53">
        <f>AE39*ttokg/Drivers!AF4</f>
        <v>34.892357413419667</v>
      </c>
      <c r="AF40" s="53">
        <f>AF39*ttokg/Drivers!AG4</f>
        <v>34.789816053781841</v>
      </c>
      <c r="AG40" s="53">
        <f>AG39*ttokg/Drivers!AH4</f>
        <v>28.33307636129696</v>
      </c>
      <c r="AH40" s="53">
        <f>AH39*ttokg/Drivers!AI4</f>
        <v>29.375433271340764</v>
      </c>
      <c r="AI40" s="53">
        <f>AI39*ttokg/Drivers!AJ4</f>
        <v>30.320598984329987</v>
      </c>
      <c r="AJ40" s="53">
        <f>AJ39*ttokg/Drivers!AK4</f>
        <v>31.27993106910451</v>
      </c>
      <c r="AK40" s="53">
        <f>AK39*ttokg/Drivers!AL4</f>
        <v>32.332689954054359</v>
      </c>
      <c r="AL40" s="53">
        <f>AL39*ttokg/Drivers!AM4</f>
        <v>33.533781771197482</v>
      </c>
      <c r="AM40" s="53">
        <f>AM39*ttokg/Drivers!AN4</f>
        <v>34.885124797168736</v>
      </c>
      <c r="AN40" s="53">
        <f>AN39*ttokg/Drivers!AO4</f>
        <v>36.331784689092004</v>
      </c>
      <c r="AO40" s="53">
        <f>AO39*ttokg/Drivers!AP4</f>
        <v>37.885317760613944</v>
      </c>
      <c r="AP40" s="53">
        <f>AP39*ttokg/Drivers!AQ4</f>
        <v>39.662027716931782</v>
      </c>
      <c r="AQ40" s="53">
        <f>AQ39*ttokg/Drivers!AR4</f>
        <v>41.399991583920034</v>
      </c>
      <c r="AR40" s="53">
        <f>AR39*ttokg/Drivers!AS4</f>
        <v>43.573418822414723</v>
      </c>
      <c r="AS40" s="53">
        <f>AS39*ttokg/Drivers!AT4</f>
        <v>45.813563228552745</v>
      </c>
      <c r="AT40" s="53">
        <f>AT39*ttokg/Drivers!AU4</f>
        <v>48.108091163472842</v>
      </c>
      <c r="AU40" s="53">
        <f>AU39*ttokg/Drivers!AV4</f>
        <v>50.4440249206597</v>
      </c>
      <c r="AV40" s="53">
        <f>AV39*ttokg/Drivers!AW4</f>
        <v>52.559979597184501</v>
      </c>
      <c r="AW40" s="53">
        <f>AW39*ttokg/Drivers!AX4</f>
        <v>54.863717932926733</v>
      </c>
      <c r="AX40" s="53">
        <f>AX39*ttokg/Drivers!AY4</f>
        <v>57.330931517079421</v>
      </c>
      <c r="AY40" s="53">
        <f>AY39*ttokg/Drivers!AZ4</f>
        <v>59.908351684459554</v>
      </c>
      <c r="AZ40" s="53">
        <f>AZ39*ttokg/Drivers!BA4</f>
        <v>62.404474436813963</v>
      </c>
      <c r="BA40" s="53">
        <f>BA39*ttokg/Drivers!BB4</f>
        <v>64.923671393029224</v>
      </c>
      <c r="BB40" s="53">
        <f>BB39*ttokg/Drivers!BC4</f>
        <v>67.636245417726229</v>
      </c>
      <c r="BC40" s="53">
        <f>BC39*ttokg/Drivers!BD4</f>
        <v>70.47683587993609</v>
      </c>
      <c r="BD40" s="53">
        <f>BD39*ttokg/Drivers!BE4</f>
        <v>73.479784672869428</v>
      </c>
      <c r="BE40" s="53">
        <f>BE39*ttokg/Drivers!BF4</f>
        <v>76.630485234597657</v>
      </c>
      <c r="BF40" s="53">
        <f>BF39*ttokg/Drivers!BG4</f>
        <v>80.001910484826738</v>
      </c>
      <c r="BG40" s="53">
        <f>BG39*ttokg/Drivers!BH4</f>
        <v>83.677464665222416</v>
      </c>
      <c r="BH40" s="53">
        <f>BH39*ttokg/Drivers!BI4</f>
        <v>87.506875736885632</v>
      </c>
      <c r="BI40" s="53">
        <f>BI39*ttokg/Drivers!BJ4</f>
        <v>91.303750290429903</v>
      </c>
      <c r="BJ40" s="53">
        <f>BJ39*ttokg/Drivers!BK4</f>
        <v>95.269421422611941</v>
      </c>
      <c r="BK40" s="53">
        <f>BK39*ttokg/Drivers!BL4</f>
        <v>99.449810853454906</v>
      </c>
    </row>
    <row r="41" spans="1:63" x14ac:dyDescent="0.25">
      <c r="A41" t="s">
        <v>338</v>
      </c>
      <c r="B41" t="s">
        <v>322</v>
      </c>
      <c r="C41" s="53">
        <f>C39/Drivers!D4</f>
        <v>1.6439990001225254E-2</v>
      </c>
      <c r="D41" s="53">
        <f>D39/Drivers!E4</f>
        <v>1.5721540498873907E-2</v>
      </c>
      <c r="E41" s="53">
        <f>E39/Drivers!F4</f>
        <v>1.4764973046683923E-2</v>
      </c>
      <c r="F41" s="53">
        <f>F39/Drivers!G4</f>
        <v>1.4633992493771092E-2</v>
      </c>
      <c r="G41" s="53">
        <f>G39/Drivers!H4</f>
        <v>1.5013290459911816E-2</v>
      </c>
      <c r="H41" s="53">
        <f>H39/Drivers!I4</f>
        <v>1.5976538911150123E-2</v>
      </c>
      <c r="I41" s="53">
        <f>I39/Drivers!J4</f>
        <v>1.7471172742527397E-2</v>
      </c>
      <c r="J41" s="53">
        <f>J39/Drivers!K4</f>
        <v>1.9214905481391424E-2</v>
      </c>
      <c r="K41" s="53">
        <f>K39/Drivers!L4</f>
        <v>1.9550270521717511E-2</v>
      </c>
      <c r="L41" s="53">
        <f>L39/Drivers!M4</f>
        <v>1.9711969335573339E-2</v>
      </c>
      <c r="M41" s="53">
        <f>M39/Drivers!N4</f>
        <v>2.0614793175582798E-2</v>
      </c>
      <c r="N41" s="53">
        <f>N39/Drivers!O4</f>
        <v>2.0583141915233708E-2</v>
      </c>
      <c r="O41" s="53">
        <f>O39/Drivers!P4</f>
        <v>2.0909662177214131E-2</v>
      </c>
      <c r="P41" s="53">
        <f>P39/Drivers!Q4</f>
        <v>2.2089421230622203E-2</v>
      </c>
      <c r="Q41" s="53">
        <f>Q39/Drivers!R4</f>
        <v>2.5289898144723769E-2</v>
      </c>
      <c r="R41" s="53">
        <f>R39/Drivers!S4</f>
        <v>3.0388089740143405E-2</v>
      </c>
      <c r="S41" s="53">
        <f>S39/Drivers!T4</f>
        <v>3.4316736757157879E-2</v>
      </c>
      <c r="T41" s="53">
        <f>T39/Drivers!U4</f>
        <v>3.5973303533512857E-2</v>
      </c>
      <c r="U41" s="53">
        <f>U39/Drivers!V4</f>
        <v>3.6420636129299161E-2</v>
      </c>
      <c r="V41" s="53">
        <f>V39/Drivers!W4</f>
        <v>3.6472048632198134E-2</v>
      </c>
      <c r="W41" s="53">
        <f>W39/Drivers!X4</f>
        <v>3.6843261541234656E-2</v>
      </c>
      <c r="X41" s="53">
        <f>X39/Drivers!Y4</f>
        <v>3.8208472966361234E-2</v>
      </c>
      <c r="Y41" s="53"/>
      <c r="Z41" s="53"/>
      <c r="AA41" s="53"/>
      <c r="AB41" s="53"/>
      <c r="AC41" s="53"/>
      <c r="AD41" s="53"/>
      <c r="AE41" s="53"/>
      <c r="AF41" s="53"/>
      <c r="AG41" s="53"/>
      <c r="AH41" s="53"/>
      <c r="AI41" s="53"/>
      <c r="AJ41" s="53"/>
      <c r="AK41" s="53"/>
      <c r="AL41" s="53"/>
      <c r="AM41" s="53"/>
      <c r="AN41" s="53"/>
      <c r="AO41" s="53">
        <f>(AO42-AD42)/AD42</f>
        <v>0.21352928482545169</v>
      </c>
      <c r="AP41" s="53"/>
      <c r="AQ41" s="53">
        <f>(AQ42-AE42)/AE42</f>
        <v>0.3226390496611824</v>
      </c>
      <c r="AR41" s="53"/>
      <c r="AS41" s="53"/>
      <c r="AT41" s="53"/>
      <c r="AU41" s="53"/>
      <c r="AV41" s="53"/>
      <c r="AW41" s="53"/>
      <c r="AX41" s="53"/>
      <c r="AY41" s="53"/>
      <c r="AZ41" s="53"/>
      <c r="BA41" s="53"/>
      <c r="BB41" s="53"/>
      <c r="BC41" s="53"/>
      <c r="BD41" s="53"/>
      <c r="BE41" s="53"/>
      <c r="BF41" s="53"/>
      <c r="BG41" s="53"/>
      <c r="BH41" s="53"/>
      <c r="BI41" s="53"/>
      <c r="BJ41" s="53"/>
      <c r="BK41" s="53"/>
    </row>
    <row r="42" spans="1:63" x14ac:dyDescent="0.25">
      <c r="A42" t="s">
        <v>339</v>
      </c>
      <c r="B42" t="s">
        <v>321</v>
      </c>
      <c r="C42" s="22">
        <v>609000</v>
      </c>
      <c r="D42" s="22">
        <v>593000</v>
      </c>
      <c r="E42" s="22">
        <v>564000</v>
      </c>
      <c r="F42" s="22">
        <v>577000</v>
      </c>
      <c r="G42" s="22">
        <v>607000</v>
      </c>
      <c r="H42" s="22">
        <v>647000</v>
      </c>
      <c r="I42" s="22">
        <v>699000</v>
      </c>
      <c r="J42" s="22">
        <v>753000</v>
      </c>
      <c r="K42" s="22">
        <v>777000</v>
      </c>
      <c r="L42" s="22">
        <v>803000</v>
      </c>
      <c r="M42" s="22">
        <v>850000</v>
      </c>
      <c r="N42" s="22">
        <v>869000</v>
      </c>
      <c r="O42" s="22">
        <v>896000</v>
      </c>
      <c r="P42" s="22">
        <v>925000</v>
      </c>
      <c r="Q42" s="22">
        <v>1043000</v>
      </c>
      <c r="R42" s="22">
        <v>1273000</v>
      </c>
      <c r="S42" s="22">
        <v>1427000</v>
      </c>
      <c r="T42" s="22">
        <v>1499000</v>
      </c>
      <c r="U42" s="22">
        <v>1584000</v>
      </c>
      <c r="V42" s="22">
        <v>1644000</v>
      </c>
      <c r="W42" s="22">
        <v>1681000</v>
      </c>
      <c r="X42" s="22">
        <v>1721000</v>
      </c>
      <c r="Y42" s="22">
        <f>((Data!$AJ$33*'Intermediate calculations'!Y39)+Data!$AK$33)</f>
        <v>1462697.1526267841</v>
      </c>
      <c r="Z42" s="22">
        <f>((Data!$AJ$33*'Intermediate calculations'!Z39)+Data!$AK$33)</f>
        <v>1513464.8048522903</v>
      </c>
      <c r="AA42" s="22">
        <f>((Data!$AJ$33*'Intermediate calculations'!AA39)+Data!$AK$33)</f>
        <v>1548046.1270421161</v>
      </c>
      <c r="AB42" s="22">
        <f>((Data!$AJ$33*'Intermediate calculations'!AB39)+Data!$AK$33)</f>
        <v>1569979.3735739603</v>
      </c>
      <c r="AC42" s="22">
        <f>((Data!$AJ$33*'Intermediate calculations'!AC39)+Data!$AK$33)</f>
        <v>1578247.9088916159</v>
      </c>
      <c r="AD42" s="22">
        <f>((Data!$AJ$33*'Intermediate calculations'!AD39)+Data!$AK$33)</f>
        <v>1602496.2226106678</v>
      </c>
      <c r="AE42" s="22">
        <f>((Data!$AJ$33*'Intermediate calculations'!AE39)+Data!$AK$33)</f>
        <v>1623057.1586586602</v>
      </c>
      <c r="AF42" s="22">
        <f>((Data!$AJ$33*'Intermediate calculations'!AF39)+Data!$AK$33)</f>
        <v>1642103.7801912206</v>
      </c>
      <c r="AG42" s="22">
        <f>((Data!$AJ$33*'Intermediate calculations'!AG39)+Data!$AK$33)</f>
        <v>1389749.8776989565</v>
      </c>
      <c r="AH42" s="22">
        <f>((Data!$AJ$33*'Intermediate calculations'!AH39)+Data!$AK$33)</f>
        <v>1448769.4344440869</v>
      </c>
      <c r="AI42" s="22">
        <f>((Data!$AJ$33*'Intermediate calculations'!AI39)+Data!$AK$33)</f>
        <v>1504736.4288821626</v>
      </c>
      <c r="AJ42" s="22">
        <f>((Data!$AJ$33*'Intermediate calculations'!AJ39)+Data!$AK$33)</f>
        <v>1562450.6125783524</v>
      </c>
      <c r="AK42" s="22">
        <f>((Data!$AJ$33*'Intermediate calculations'!AK39)+Data!$AK$33)</f>
        <v>1625499.13249561</v>
      </c>
      <c r="AL42" s="22">
        <f>((Data!$AJ$33*'Intermediate calculations'!AL39)+Data!$AK$33)</f>
        <v>1696530.8081454781</v>
      </c>
      <c r="AM42" s="22">
        <f>((Data!$AJ$33*'Intermediate calculations'!AM39)+Data!$AK$33)</f>
        <v>1773252.6373172337</v>
      </c>
      <c r="AN42" s="22">
        <f>((Data!$AJ$33*'Intermediate calculations'!AN39)+Data!$AK$33)</f>
        <v>1855738.355661131</v>
      </c>
      <c r="AO42" s="22">
        <f>((Data!$AJ$33*'Intermediate calculations'!AO39)+Data!$AK$33)</f>
        <v>1944676.0949602115</v>
      </c>
      <c r="AP42" s="22">
        <f>((Data!$AJ$33*'Intermediate calculations'!AP39)+Data!$AK$33)</f>
        <v>2045709.2474885643</v>
      </c>
      <c r="AQ42" s="22">
        <f>((Data!$AJ$33*'Intermediate calculations'!AQ39)+Data!$AK$33)</f>
        <v>2146718.7778740693</v>
      </c>
      <c r="AR42" s="22">
        <f>((Data!$AJ$33*'Intermediate calculations'!AR39)+Data!$AK$33)</f>
        <v>2267724.4234408028</v>
      </c>
      <c r="AS42" s="22">
        <f>((Data!$AJ$33*'Intermediate calculations'!AS39)+Data!$AK$33)</f>
        <v>2393878.272500989</v>
      </c>
      <c r="AT42" s="22">
        <f>((Data!$AJ$33*'Intermediate calculations'!AT39)+Data!$AK$33)</f>
        <v>2524685.4237696929</v>
      </c>
      <c r="AU42" s="22">
        <f>((Data!$AJ$33*'Intermediate calculations'!AU39)+Data!$AK$33)</f>
        <v>2659600.4438263229</v>
      </c>
      <c r="AV42" s="22">
        <f>((Data!$AJ$33*'Intermediate calculations'!AV39)+Data!$AK$33)</f>
        <v>2785735.4397391123</v>
      </c>
      <c r="AW42" s="22">
        <f>((Data!$AJ$33*'Intermediate calculations'!AW39)+Data!$AK$33)</f>
        <v>2919935.600189642</v>
      </c>
      <c r="AX42" s="22">
        <f>((Data!$AJ$33*'Intermediate calculations'!AX39)+Data!$AK$33)</f>
        <v>3064189.2915412681</v>
      </c>
      <c r="AY42" s="22">
        <f>((Data!$AJ$33*'Intermediate calculations'!AY39)+Data!$AK$33)</f>
        <v>3215995.9424973638</v>
      </c>
      <c r="AZ42" s="22">
        <f>((Data!$AJ$33*'Intermediate calculations'!AZ39)+Data!$AK$33)</f>
        <v>3365718.6086873999</v>
      </c>
      <c r="BA42" s="22">
        <f>((Data!$AJ$33*'Intermediate calculations'!BA39)+Data!$AK$33)</f>
        <v>3518657.8547953283</v>
      </c>
      <c r="BB42" s="22">
        <f>((Data!$AJ$33*'Intermediate calculations'!BB39)+Data!$AK$33)</f>
        <v>3679823.93149545</v>
      </c>
      <c r="BC42" s="22">
        <f>((Data!$AJ$33*'Intermediate calculations'!BC39)+Data!$AK$33)</f>
        <v>3849531.2787314085</v>
      </c>
      <c r="BD42" s="22">
        <f>((Data!$AJ$33*'Intermediate calculations'!BD39)+Data!$AK$33)</f>
        <v>4029721.1081192023</v>
      </c>
      <c r="BE42" s="22">
        <f>((Data!$AJ$33*'Intermediate calculations'!BE39)+Data!$AK$33)</f>
        <v>4219799.6280429456</v>
      </c>
      <c r="BF42" s="22">
        <f>((Data!$AJ$33*'Intermediate calculations'!BF39)+Data!$AK$33)</f>
        <v>4423803.4060073728</v>
      </c>
      <c r="BG42" s="22">
        <f>((Data!$AJ$33*'Intermediate calculations'!BG39)+Data!$AK$33)</f>
        <v>4641512.7523259213</v>
      </c>
      <c r="BH42" s="22">
        <f>((Data!$AJ$33*'Intermediate calculations'!BH39)+Data!$AK$33)</f>
        <v>4869582.1518939342</v>
      </c>
      <c r="BI42" s="22">
        <f>((Data!$AJ$33*'Intermediate calculations'!BI39)+Data!$AK$33)</f>
        <v>5098110.6470125737</v>
      </c>
      <c r="BJ42" s="22">
        <f>((Data!$AJ$33*'Intermediate calculations'!BJ39)+Data!$AK$33)</f>
        <v>5337991.5448986813</v>
      </c>
      <c r="BK42" s="22">
        <f>((Data!$AJ$33*'Intermediate calculations'!BK39)+Data!$AK$33)</f>
        <v>5591881.1192875691</v>
      </c>
    </row>
    <row r="43" spans="1:63" x14ac:dyDescent="0.25">
      <c r="A43" t="s">
        <v>838</v>
      </c>
      <c r="B43" t="s">
        <v>815</v>
      </c>
      <c r="C43" s="22">
        <f>Data!C35</f>
        <v>86.98690270724579</v>
      </c>
      <c r="D43" s="22">
        <f>Data!D35</f>
        <v>85.412029598416751</v>
      </c>
      <c r="E43" s="22">
        <f>Data!E35</f>
        <v>82.670075098233795</v>
      </c>
      <c r="F43" s="22">
        <f>Data!F35</f>
        <v>93.784908087692543</v>
      </c>
      <c r="G43" s="22">
        <f>Data!G35</f>
        <v>85.280758961852342</v>
      </c>
      <c r="H43" s="22">
        <f>Data!H35</f>
        <v>90.110194006957386</v>
      </c>
      <c r="I43" s="22">
        <f>Data!I35</f>
        <v>96.630851643558501</v>
      </c>
      <c r="J43" s="22">
        <f>Data!J35</f>
        <v>90.082578577450462</v>
      </c>
      <c r="K43" s="22">
        <f>Data!K35</f>
        <v>94.634047967599372</v>
      </c>
      <c r="L43" s="22">
        <f>Data!L35</f>
        <v>94.202352622715566</v>
      </c>
      <c r="M43" s="22">
        <f>Data!M35</f>
        <v>95.33205671803546</v>
      </c>
      <c r="N43" s="22">
        <f>Data!N35</f>
        <v>87.813432210520816</v>
      </c>
      <c r="O43" s="22">
        <f>Data!O35</f>
        <v>95.16546905639143</v>
      </c>
      <c r="P43" s="22">
        <f>Data!P35</f>
        <v>89.302199213409068</v>
      </c>
      <c r="Q43" s="22">
        <f>Data!Q35</f>
        <v>81.529954234122201</v>
      </c>
      <c r="R43" s="22">
        <f>Data!R35</f>
        <v>71.80889155599867</v>
      </c>
      <c r="S43" s="22">
        <f>Data!S35</f>
        <v>68.101686202690857</v>
      </c>
      <c r="T43" s="22">
        <f>Data!T35</f>
        <v>68.19521740619362</v>
      </c>
      <c r="U43" s="22">
        <f>Data!U35</f>
        <v>67.928587433949829</v>
      </c>
      <c r="V43" s="22">
        <f>Data!V35</f>
        <v>61.42602874071288</v>
      </c>
      <c r="W43" s="22">
        <f>Data!W35</f>
        <v>61.879913995624968</v>
      </c>
      <c r="X43" s="22">
        <f>Data!X35</f>
        <v>62.868580144994802</v>
      </c>
      <c r="Y43" s="22">
        <f>((Data!$AJ$35*LN('Intermediate calculations'!Y2))+Data!$AK$35)</f>
        <v>67.008604056011919</v>
      </c>
      <c r="Z43" s="22">
        <f>((Data!$AJ$35*LN('Intermediate calculations'!Z2))+Data!$AK$35)</f>
        <v>66.126942573569849</v>
      </c>
      <c r="AA43" s="22">
        <f>((Data!$AJ$35*LN('Intermediate calculations'!AA2))+Data!$AK$35)</f>
        <v>65.298748914944895</v>
      </c>
      <c r="AB43" s="22">
        <f>((Data!$AJ$35*LN('Intermediate calculations'!AB2))+Data!$AK$35)</f>
        <v>64.517907163508653</v>
      </c>
      <c r="AC43" s="22">
        <f>((Data!$AJ$35*LN('Intermediate calculations'!AC2))+Data!$AK$35)</f>
        <v>63.779294229458571</v>
      </c>
      <c r="AD43" s="22">
        <f>((Data!$AJ$35*LN('Intermediate calculations'!AD2))+Data!$AK$35)</f>
        <v>63.078575942582013</v>
      </c>
      <c r="AE43" s="22">
        <f>((Data!$AJ$35*LN('Intermediate calculations'!AE2))+Data!$AK$35)</f>
        <v>62.412052946517086</v>
      </c>
      <c r="AF43" s="22">
        <f>((Data!$AJ$35*LN('Intermediate calculations'!AF2))+Data!$AK$35)</f>
        <v>61.776542475794329</v>
      </c>
      <c r="AG43" s="22">
        <f>((Data!$AJ$35*LN('Intermediate calculations'!AG2))+Data!$AK$35)</f>
        <v>61.169286434060382</v>
      </c>
      <c r="AH43" s="22">
        <f>((Data!$AJ$35*LN('Intermediate calculations'!AH2))+Data!$AK$35)</f>
        <v>60.587879050078747</v>
      </c>
      <c r="AI43" s="22">
        <f>((Data!$AJ$35*LN('Intermediate calculations'!AI2))+Data!$AK$35)</f>
        <v>60.030209311594177</v>
      </c>
      <c r="AJ43" s="22">
        <f>((Data!$AJ$35*LN('Intermediate calculations'!AJ2))+Data!$AK$35)</f>
        <v>59.494414696352727</v>
      </c>
      <c r="AK43" s="22">
        <f>((Data!$AJ$35*LN('Intermediate calculations'!AK2))+Data!$AK$35)</f>
        <v>58.978843640017558</v>
      </c>
      <c r="AL43" s="22">
        <f>((Data!$AJ$35*LN('Intermediate calculations'!AL2))+Data!$AK$35)</f>
        <v>58.482024833087181</v>
      </c>
      <c r="AM43" s="22">
        <f>((Data!$AJ$35*LN('Intermediate calculations'!AM2))+Data!$AK$35)</f>
        <v>58.002641907970194</v>
      </c>
      <c r="AN43" s="22">
        <f>((Data!$AJ$35*LN('Intermediate calculations'!AN2))+Data!$AK$35)</f>
        <v>57.539512419090912</v>
      </c>
      <c r="AO43" s="22">
        <f>((Data!$AJ$35*LN('Intermediate calculations'!AO2))+Data!$AK$35)</f>
        <v>57.091570270904612</v>
      </c>
      <c r="AP43" s="22">
        <f>((Data!$AJ$35*LN('Intermediate calculations'!AP2))+Data!$AK$35)</f>
        <v>56.657850936648842</v>
      </c>
      <c r="AQ43" s="22">
        <f>((Data!$AJ$35*LN('Intermediate calculations'!AQ2))+Data!$AK$35)</f>
        <v>56.237478952303242</v>
      </c>
      <c r="AR43" s="22">
        <f>((Data!$AJ$35*LN('Intermediate calculations'!AR2))+Data!$AK$35)</f>
        <v>55.829657278023902</v>
      </c>
      <c r="AS43" s="22">
        <f>((Data!$AJ$35*LN('Intermediate calculations'!AS2))+Data!$AK$35)</f>
        <v>55.433658202099345</v>
      </c>
      <c r="AT43" s="22">
        <f>((Data!$AJ$35*LN('Intermediate calculations'!AT2))+Data!$AK$35)</f>
        <v>55.048815526587653</v>
      </c>
      <c r="AU43" s="22">
        <f>((Data!$AJ$35*LN('Intermediate calculations'!AU2))+Data!$AK$35)</f>
        <v>54.674517823846799</v>
      </c>
      <c r="AV43" s="22">
        <f>((Data!$AJ$35*LN('Intermediate calculations'!AV2))+Data!$AK$35)</f>
        <v>54.310202592537571</v>
      </c>
      <c r="AW43" s="22">
        <f>((Data!$AJ$35*LN('Intermediate calculations'!AW2))+Data!$AK$35)</f>
        <v>53.955351172861633</v>
      </c>
      <c r="AX43" s="22">
        <f>((Data!$AJ$35*LN('Intermediate calculations'!AX2))+Data!$AK$35)</f>
        <v>53.609484305661013</v>
      </c>
      <c r="AY43" s="22">
        <f>((Data!$AJ$35*LN('Intermediate calculations'!AY2))+Data!$AK$35)</f>
        <v>53.272158239955402</v>
      </c>
      <c r="AZ43" s="22">
        <f>((Data!$AJ$35*LN('Intermediate calculations'!AZ2))+Data!$AK$35)</f>
        <v>52.942961309596079</v>
      </c>
      <c r="BA43" s="22">
        <f>((Data!$AJ$35*LN('Intermediate calculations'!BA2))+Data!$AK$35)</f>
        <v>52.621510912785027</v>
      </c>
      <c r="BB43" s="22">
        <f>((Data!$AJ$35*LN('Intermediate calculations'!BB2))+Data!$AK$35)</f>
        <v>52.307450838873336</v>
      </c>
      <c r="BC43" s="22">
        <f>((Data!$AJ$35*LN('Intermediate calculations'!BC2))+Data!$AK$35)</f>
        <v>52.000448895599824</v>
      </c>
      <c r="BD43" s="22">
        <f>((Data!$AJ$35*LN('Intermediate calculations'!BD2))+Data!$AK$35)</f>
        <v>51.700194797139382</v>
      </c>
      <c r="BE43" s="22">
        <f>((Data!$AJ$35*LN('Intermediate calculations'!BE2))+Data!$AK$35)</f>
        <v>51.406398279298507</v>
      </c>
      <c r="BF43" s="22">
        <f>((Data!$AJ$35*LN('Intermediate calculations'!BF2))+Data!$AK$35)</f>
        <v>51.118787413157747</v>
      </c>
      <c r="BG43" s="22">
        <f>((Data!$AJ$35*LN('Intermediate calculations'!BG2))+Data!$AK$35)</f>
        <v>50.837107092604512</v>
      </c>
      <c r="BH43" s="22">
        <f>((Data!$AJ$35*LN('Intermediate calculations'!BH2))+Data!$AK$35)</f>
        <v>50.561117674673177</v>
      </c>
      <c r="BI43" s="22">
        <f>((Data!$AJ$35*LN('Intermediate calculations'!BI2))+Data!$AK$35)</f>
        <v>50.290593754532807</v>
      </c>
      <c r="BJ43" s="22">
        <f>((Data!$AJ$35*LN('Intermediate calculations'!BJ2))+Data!$AK$35)</f>
        <v>50.02532305943172</v>
      </c>
      <c r="BK43" s="22">
        <f>((Data!$AJ$35*LN('Intermediate calculations'!BK2))+Data!$AK$35)</f>
        <v>49.765105448000718</v>
      </c>
    </row>
    <row r="44" spans="1:63" x14ac:dyDescent="0.25">
      <c r="A44" t="s">
        <v>345</v>
      </c>
      <c r="B44" t="s">
        <v>321</v>
      </c>
      <c r="C44" s="22">
        <v>6425000</v>
      </c>
      <c r="D44" s="22">
        <v>6769000</v>
      </c>
      <c r="E44" s="22">
        <v>7022000</v>
      </c>
      <c r="F44" s="22">
        <v>6828000</v>
      </c>
      <c r="G44" s="22">
        <v>6773000</v>
      </c>
      <c r="H44" s="22">
        <v>6417000</v>
      </c>
      <c r="I44" s="22">
        <v>6842000</v>
      </c>
      <c r="J44" s="22">
        <v>6738000</v>
      </c>
      <c r="K44" s="22">
        <v>6383000</v>
      </c>
      <c r="L44" s="22">
        <v>6341000</v>
      </c>
      <c r="M44" s="22">
        <v>6362000</v>
      </c>
      <c r="N44" s="22">
        <v>6852000</v>
      </c>
      <c r="O44" s="22">
        <v>7151000</v>
      </c>
      <c r="P44" s="22">
        <v>6983000</v>
      </c>
      <c r="Q44" s="22">
        <v>7243000</v>
      </c>
      <c r="R44" s="22">
        <v>7283000</v>
      </c>
      <c r="S44" s="22">
        <v>7462000</v>
      </c>
      <c r="T44" s="22">
        <v>7660000</v>
      </c>
      <c r="U44" s="22">
        <v>8029000</v>
      </c>
      <c r="V44" s="22">
        <v>8613000</v>
      </c>
      <c r="W44" s="22">
        <v>8658000</v>
      </c>
      <c r="X44" s="22">
        <v>8857000</v>
      </c>
      <c r="Y44" s="22">
        <f>((Data!$AJ$40*'Intermediate calculations'!Y45)+Data!$AK$40)</f>
        <v>8837588.9818800204</v>
      </c>
      <c r="Z44" s="22">
        <f>((Data!$AJ$40*'Intermediate calculations'!Z45)+Data!$AK$40)</f>
        <v>9069608.5036172904</v>
      </c>
      <c r="AA44" s="22">
        <f>((Data!$AJ$40*'Intermediate calculations'!AA45)+Data!$AK$40)</f>
        <v>9310273.6227034926</v>
      </c>
      <c r="AB44" s="22">
        <f>((Data!$AJ$40*'Intermediate calculations'!AB45)+Data!$AK$40)</f>
        <v>9559918.203922689</v>
      </c>
      <c r="AC44" s="22">
        <f>((Data!$AJ$40*'Intermediate calculations'!AC45)+Data!$AK$40)</f>
        <v>9818892.7438438796</v>
      </c>
      <c r="AD44" s="22">
        <f>((Data!$AJ$40*'Intermediate calculations'!AD45)+Data!$AK$40)</f>
        <v>10087565.193359558</v>
      </c>
      <c r="AE44" s="22">
        <f>((Data!$AJ$40*'Intermediate calculations'!AE45)+Data!$AK$40)</f>
        <v>10359825.374047417</v>
      </c>
      <c r="AF44" s="22">
        <f>((Data!$AJ$40*'Intermediate calculations'!AF45)+Data!$AK$40)</f>
        <v>10636488.448266506</v>
      </c>
      <c r="AG44" s="22">
        <f>((Data!$AJ$40*'Intermediate calculations'!AG45)+Data!$AK$40)</f>
        <v>10917625.618024401</v>
      </c>
      <c r="AH44" s="22">
        <f>((Data!$AJ$40*'Intermediate calculations'!AH45)+Data!$AK$40)</f>
        <v>11121031.726210065</v>
      </c>
      <c r="AI44" s="22">
        <f>((Data!$AJ$40*'Intermediate calculations'!AI45)+Data!$AK$40)</f>
        <v>11326779.887281906</v>
      </c>
      <c r="AJ44" s="22">
        <f>((Data!$AJ$40*'Intermediate calculations'!AJ45)+Data!$AK$40)</f>
        <v>11534897.06803935</v>
      </c>
      <c r="AK44" s="22">
        <f>((Data!$AJ$40*'Intermediate calculations'!AK45)+Data!$AK$40)</f>
        <v>11745410.545782182</v>
      </c>
      <c r="AL44" s="22">
        <f>((Data!$AJ$40*'Intermediate calculations'!AL45)+Data!$AK$40)</f>
        <v>11958347.91188572</v>
      </c>
      <c r="AM44" s="22">
        <f>((Data!$AJ$40*'Intermediate calculations'!AM45)+Data!$AK$40)</f>
        <v>12142539.899210591</v>
      </c>
      <c r="AN44" s="22">
        <f>((Data!$AJ$40*'Intermediate calculations'!AN45)+Data!$AK$40)</f>
        <v>12328545.523359004</v>
      </c>
      <c r="AO44" s="22">
        <f>((Data!$AJ$40*'Intermediate calculations'!AO45)+Data!$AK$40)</f>
        <v>12516382.64221162</v>
      </c>
      <c r="AP44" s="22">
        <f>((Data!$AJ$40*'Intermediate calculations'!AP45)+Data!$AK$40)</f>
        <v>12706069.289485786</v>
      </c>
      <c r="AQ44" s="22">
        <f>((Data!$AJ$40*'Intermediate calculations'!AQ45)+Data!$AK$40)</f>
        <v>12897623.676466919</v>
      </c>
      <c r="AR44" s="22">
        <f>((Data!$AJ$40*'Intermediate calculations'!AR45)+Data!$AK$40)</f>
        <v>13065285.550986845</v>
      </c>
      <c r="AS44" s="22">
        <f>((Data!$AJ$40*'Intermediate calculations'!AS45)+Data!$AK$40)</f>
        <v>13234378.29749348</v>
      </c>
      <c r="AT44" s="22">
        <f>((Data!$AJ$40*'Intermediate calculations'!AT45)+Data!$AK$40)</f>
        <v>13404914.127437096</v>
      </c>
      <c r="AU44" s="22">
        <f>((Data!$AJ$40*'Intermediate calculations'!AU45)+Data!$AK$40)</f>
        <v>13576905.356483787</v>
      </c>
      <c r="AV44" s="22">
        <f>((Data!$AJ$40*'Intermediate calculations'!AV45)+Data!$AK$40)</f>
        <v>13750364.405404896</v>
      </c>
      <c r="AW44" s="22">
        <f>((Data!$AJ$40*'Intermediate calculations'!AW45)+Data!$AK$40)</f>
        <v>13900436.811271213</v>
      </c>
      <c r="AX44" s="22">
        <f>((Data!$AJ$40*'Intermediate calculations'!AX45)+Data!$AK$40)</f>
        <v>14051607.920698307</v>
      </c>
      <c r="AY44" s="22">
        <f>((Data!$AJ$40*'Intermediate calculations'!AY45)+Data!$AK$40)</f>
        <v>14203885.77746683</v>
      </c>
      <c r="AZ44" s="22">
        <f>((Data!$AJ$40*'Intermediate calculations'!AZ45)+Data!$AK$40)</f>
        <v>14357278.484247208</v>
      </c>
      <c r="BA44" s="22">
        <f>((Data!$AJ$40*'Intermediate calculations'!BA45)+Data!$AK$40)</f>
        <v>14511794.203030784</v>
      </c>
      <c r="BB44" s="22">
        <f>((Data!$AJ$40*'Intermediate calculations'!BB45)+Data!$AK$40)</f>
        <v>14643837.8575859</v>
      </c>
      <c r="BC44" s="22">
        <f>((Data!$AJ$40*'Intermediate calculations'!BC45)+Data!$AK$40)</f>
        <v>14776701.625972856</v>
      </c>
      <c r="BD44" s="22">
        <f>((Data!$AJ$40*'Intermediate calculations'!BD45)+Data!$AK$40)</f>
        <v>14910390.601860862</v>
      </c>
      <c r="BE44" s="22">
        <f>((Data!$AJ$40*'Intermediate calculations'!BE45)+Data!$AK$40)</f>
        <v>15044909.910555545</v>
      </c>
      <c r="BF44" s="22">
        <f>((Data!$AJ$40*'Intermediate calculations'!BF45)+Data!$AK$40)</f>
        <v>15180264.70919545</v>
      </c>
      <c r="BG44" s="22">
        <f>((Data!$AJ$40*'Intermediate calculations'!BG45)+Data!$AK$40)</f>
        <v>15292205.461046569</v>
      </c>
      <c r="BH44" s="22">
        <f>((Data!$AJ$40*'Intermediate calculations'!BH45)+Data!$AK$40)</f>
        <v>15404717.652523216</v>
      </c>
      <c r="BI44" s="22">
        <f>((Data!$AJ$40*'Intermediate calculations'!BI45)+Data!$AK$40)</f>
        <v>15517804.200733215</v>
      </c>
      <c r="BJ44" s="22">
        <f>((Data!$AJ$40*'Intermediate calculations'!BJ45)+Data!$AK$40)</f>
        <v>15631468.037675802</v>
      </c>
      <c r="BK44" s="22">
        <f>((Data!$AJ$40*'Intermediate calculations'!BK45)+Data!$AK$40)</f>
        <v>15745712.110317562</v>
      </c>
    </row>
    <row r="45" spans="1:63" x14ac:dyDescent="0.25">
      <c r="A45" t="s">
        <v>749</v>
      </c>
      <c r="B45" t="s">
        <v>321</v>
      </c>
      <c r="C45" s="22">
        <v>2353000</v>
      </c>
      <c r="D45" s="22">
        <v>2534000</v>
      </c>
      <c r="E45" s="22">
        <v>2567000</v>
      </c>
      <c r="F45" s="22">
        <v>2743000</v>
      </c>
      <c r="G45" s="22">
        <v>2918000</v>
      </c>
      <c r="H45" s="22">
        <v>2540000</v>
      </c>
      <c r="I45" s="22">
        <v>2807000</v>
      </c>
      <c r="J45" s="22">
        <v>2912000</v>
      </c>
      <c r="K45" s="22">
        <v>3382000</v>
      </c>
      <c r="L45" s="22">
        <v>3381000</v>
      </c>
      <c r="M45" s="22">
        <v>3426000</v>
      </c>
      <c r="N45" s="22">
        <v>3589000</v>
      </c>
      <c r="O45" s="22">
        <v>3877000</v>
      </c>
      <c r="P45" s="22">
        <v>3708000</v>
      </c>
      <c r="Q45" s="22">
        <v>3712000</v>
      </c>
      <c r="R45" s="22">
        <v>3740000</v>
      </c>
      <c r="S45" s="22">
        <v>3825000</v>
      </c>
      <c r="T45" s="22">
        <v>3816000</v>
      </c>
      <c r="U45" s="22">
        <v>3809000</v>
      </c>
      <c r="V45" s="22">
        <v>4524000</v>
      </c>
      <c r="W45" s="22">
        <v>4471000</v>
      </c>
      <c r="X45" s="22">
        <v>4513000</v>
      </c>
      <c r="Y45" s="22">
        <f>((Data!$AJ$39*Drivers!Z4)+Data!$AK$39)</f>
        <v>4413531.2351076361</v>
      </c>
      <c r="Z45" s="22">
        <f>((Data!$AJ$39*Drivers!AA4)+Data!$AK$39)</f>
        <v>4510882.5831505293</v>
      </c>
      <c r="AA45" s="22">
        <f>((Data!$AJ$39*Drivers!AB4)+Data!$AK$39)</f>
        <v>4611861.4731789092</v>
      </c>
      <c r="AB45" s="22">
        <f>((Data!$AJ$39*Drivers!AC4)+Data!$AK$39)</f>
        <v>4716607.9890380893</v>
      </c>
      <c r="AC45" s="22">
        <f>((Data!$AJ$39*Drivers!AD4)+Data!$AK$39)</f>
        <v>4825269.1929805083</v>
      </c>
      <c r="AD45" s="22">
        <f>((Data!$AJ$39*Drivers!AE4)+Data!$AK$39)</f>
        <v>4937999.4707885766</v>
      </c>
      <c r="AE45" s="22">
        <f>((Data!$AJ$39*Drivers!AF4)+Data!$AK$39)</f>
        <v>5052235.0980750509</v>
      </c>
      <c r="AF45" s="22">
        <f>((Data!$AJ$39*Drivers!AG4)+Data!$AK$39)</f>
        <v>5168318.1027603969</v>
      </c>
      <c r="AG45" s="22">
        <f>((Data!$AJ$39*Drivers!AH4)+Data!$AK$39)</f>
        <v>5286278.3599661952</v>
      </c>
      <c r="AH45" s="22">
        <f>((Data!$AJ$39*Drivers!AI4)+Data!$AK$39)</f>
        <v>5371624.0183132365</v>
      </c>
      <c r="AI45" s="22">
        <f>((Data!$AJ$39*Drivers!AJ4)+Data!$AK$39)</f>
        <v>5457952.3612376349</v>
      </c>
      <c r="AJ45" s="22">
        <f>((Data!$AJ$39*Drivers!AK4)+Data!$AK$39)</f>
        <v>5545274.7035384951</v>
      </c>
      <c r="AK45" s="22">
        <f>((Data!$AJ$39*Drivers!AL4)+Data!$AK$39)</f>
        <v>5633602.4902954595</v>
      </c>
      <c r="AL45" s="22">
        <f>((Data!$AJ$39*Drivers!AM4)+Data!$AK$39)</f>
        <v>5722947.2983687902</v>
      </c>
      <c r="AM45" s="22">
        <f>((Data!$AJ$39*Drivers!AN4)+Data!$AK$39)</f>
        <v>5800231.0464366814</v>
      </c>
      <c r="AN45" s="22">
        <f>((Data!$AJ$39*Drivers!AO4)+Data!$AK$39)</f>
        <v>5878275.7649104679</v>
      </c>
      <c r="AO45" s="22">
        <f>((Data!$AJ$39*Drivers!AP4)+Data!$AK$39)</f>
        <v>5957088.9466456743</v>
      </c>
      <c r="AP45" s="22">
        <f>((Data!$AJ$39*Drivers!AQ4)+Data!$AK$39)</f>
        <v>6036678.158275838</v>
      </c>
      <c r="AQ45" s="22">
        <f>((Data!$AJ$39*Drivers!AR4)+Data!$AK$39)</f>
        <v>6117051.0409389604</v>
      </c>
      <c r="AR45" s="22">
        <f>((Data!$AJ$39*Drivers!AS4)+Data!$AK$39)</f>
        <v>6187399.0417351853</v>
      </c>
      <c r="AS45" s="22">
        <f>((Data!$AJ$39*Drivers!AT4)+Data!$AK$39)</f>
        <v>6258347.4114820044</v>
      </c>
      <c r="AT45" s="22">
        <f>((Data!$AJ$39*Drivers!AU4)+Data!$AK$39)</f>
        <v>6329901.273891151</v>
      </c>
      <c r="AU45" s="22">
        <f>((Data!$AJ$39*Drivers!AV4)+Data!$AK$39)</f>
        <v>6402065.7964014988</v>
      </c>
      <c r="AV45" s="22">
        <f>((Data!$AJ$39*Drivers!AW4)+Data!$AK$39)</f>
        <v>6474846.1905522533</v>
      </c>
      <c r="AW45" s="22">
        <f>((Data!$AJ$39*Drivers!AX4)+Data!$AK$39)</f>
        <v>6537813.9568235315</v>
      </c>
      <c r="AX45" s="22">
        <f>((Data!$AJ$39*Drivers!AY4)+Data!$AK$39)</f>
        <v>6601242.7199624032</v>
      </c>
      <c r="AY45" s="22">
        <f>((Data!$AJ$39*Drivers!AZ4)+Data!$AK$39)</f>
        <v>6665135.8549990524</v>
      </c>
      <c r="AZ45" s="22">
        <f>((Data!$AJ$39*Drivers!BA4)+Data!$AK$39)</f>
        <v>6729496.7616727911</v>
      </c>
      <c r="BA45" s="22">
        <f>((Data!$AJ$39*Drivers!BB4)+Data!$AK$39)</f>
        <v>6794328.8646129537</v>
      </c>
      <c r="BB45" s="22">
        <f>((Data!$AJ$39*Drivers!BC4)+Data!$AK$39)</f>
        <v>6849732.081011299</v>
      </c>
      <c r="BC45" s="22">
        <f>((Data!$AJ$39*Drivers!BD4)+Data!$AK$39)</f>
        <v>6905479.4028818067</v>
      </c>
      <c r="BD45" s="22">
        <f>((Data!$AJ$39*Drivers!BE4)+Data!$AK$39)</f>
        <v>6961572.9674393125</v>
      </c>
      <c r="BE45" s="22">
        <f>((Data!$AJ$39*Drivers!BF4)+Data!$AK$39)</f>
        <v>7018014.9251727425</v>
      </c>
      <c r="BF45" s="22">
        <f>((Data!$AJ$39*Drivers!BG4)+Data!$AK$39)</f>
        <v>7074807.4399275575</v>
      </c>
      <c r="BG45" s="22">
        <f>((Data!$AJ$39*Drivers!BH4)+Data!$AK$39)</f>
        <v>7121775.8286736626</v>
      </c>
      <c r="BH45" s="22">
        <f>((Data!$AJ$39*Drivers!BI4)+Data!$AK$39)</f>
        <v>7168983.9835284706</v>
      </c>
      <c r="BI45" s="22">
        <f>((Data!$AJ$39*Drivers!BJ4)+Data!$AK$39)</f>
        <v>7216433.1284595914</v>
      </c>
      <c r="BJ45" s="22">
        <f>((Data!$AJ$39*Drivers!BK4)+Data!$AK$39)</f>
        <v>7264124.4936828092</v>
      </c>
      <c r="BK45" s="22">
        <f>((Data!$AJ$39*Drivers!BL4)+Data!$AK$39)</f>
        <v>7312059.3156939484</v>
      </c>
    </row>
    <row r="46" spans="1:63" x14ac:dyDescent="0.25">
      <c r="A46" t="s">
        <v>344</v>
      </c>
      <c r="B46" t="s">
        <v>321</v>
      </c>
      <c r="C46" s="22">
        <v>9180000</v>
      </c>
      <c r="D46" s="22">
        <v>8614000</v>
      </c>
      <c r="E46" s="22">
        <v>3277000</v>
      </c>
      <c r="F46" s="22">
        <v>9997000</v>
      </c>
      <c r="G46" s="22">
        <v>13275000</v>
      </c>
      <c r="H46" s="22">
        <v>4866000</v>
      </c>
      <c r="I46" s="22">
        <v>10171000</v>
      </c>
      <c r="J46" s="22">
        <v>10136000</v>
      </c>
      <c r="K46" s="22">
        <v>7693000</v>
      </c>
      <c r="L46" s="22">
        <v>7946000</v>
      </c>
      <c r="M46" s="22">
        <v>11455000</v>
      </c>
      <c r="N46" s="22">
        <v>7772000</v>
      </c>
      <c r="O46" s="22">
        <v>10076000</v>
      </c>
      <c r="P46" s="22">
        <v>9705000</v>
      </c>
      <c r="Q46" s="22">
        <v>9737000</v>
      </c>
      <c r="R46" s="22">
        <v>11749000</v>
      </c>
      <c r="S46" s="22">
        <v>6618000</v>
      </c>
      <c r="T46" s="22">
        <v>7339000</v>
      </c>
      <c r="U46" s="22">
        <v>13164000</v>
      </c>
      <c r="V46" s="22">
        <v>12567000</v>
      </c>
      <c r="W46" s="22">
        <v>13421000</v>
      </c>
      <c r="X46" s="22">
        <v>10924000</v>
      </c>
      <c r="Y46" s="22">
        <f>((Data!$AJ$41*'Intermediate calculations'!Y44)+Data!$AK$41)</f>
        <v>11669565.858699912</v>
      </c>
      <c r="Z46" s="22">
        <f>((Data!$AJ$41*'Intermediate calculations'!Z44)+Data!$AK$41)</f>
        <v>11888967.550540989</v>
      </c>
      <c r="AA46" s="22">
        <f>((Data!$AJ$41*'Intermediate calculations'!AA44)+Data!$AK$41)</f>
        <v>12116544.669480311</v>
      </c>
      <c r="AB46" s="22">
        <f>((Data!$AJ$41*'Intermediate calculations'!AB44)+Data!$AK$41)</f>
        <v>12352612.92385966</v>
      </c>
      <c r="AC46" s="22">
        <f>((Data!$AJ$41*'Intermediate calculations'!AC44)+Data!$AK$41)</f>
        <v>12597503.749325689</v>
      </c>
      <c r="AD46" s="22">
        <f>((Data!$AJ$41*'Intermediate calculations'!AD44)+Data!$AK$41)</f>
        <v>12851565.086636676</v>
      </c>
      <c r="AE46" s="22">
        <f>((Data!$AJ$41*'Intermediate calculations'!AE44)+Data!$AK$41)</f>
        <v>13109019.044892458</v>
      </c>
      <c r="AF46" s="22">
        <f>((Data!$AJ$41*'Intermediate calculations'!AF44)+Data!$AK$41)</f>
        <v>13370636.455785824</v>
      </c>
      <c r="AG46" s="22">
        <f>((Data!$AJ$41*'Intermediate calculations'!AG44)+Data!$AK$41)</f>
        <v>13636484.649172502</v>
      </c>
      <c r="AH46" s="22">
        <f>((Data!$AJ$41*'Intermediate calculations'!AH44)+Data!$AK$41)</f>
        <v>13828828.99990898</v>
      </c>
      <c r="AI46" s="22">
        <f>((Data!$AJ$41*'Intermediate calculations'!AI44)+Data!$AK$41)</f>
        <v>14023388.036555341</v>
      </c>
      <c r="AJ46" s="22">
        <f>((Data!$AJ$41*'Intermediate calculations'!AJ44)+Data!$AK$41)</f>
        <v>14220187.259385752</v>
      </c>
      <c r="AK46" s="22">
        <f>((Data!$AJ$41*'Intermediate calculations'!AK44)+Data!$AK$41)</f>
        <v>14419252.462288922</v>
      </c>
      <c r="AL46" s="22">
        <f>((Data!$AJ$41*'Intermediate calculations'!AL44)+Data!$AK$41)</f>
        <v>14620609.73614884</v>
      </c>
      <c r="AM46" s="22">
        <f>((Data!$AJ$41*'Intermediate calculations'!AM44)+Data!$AK$41)</f>
        <v>14794784.880292134</v>
      </c>
      <c r="AN46" s="22">
        <f>((Data!$AJ$41*'Intermediate calculations'!AN44)+Data!$AK$41)</f>
        <v>14970675.030933548</v>
      </c>
      <c r="AO46" s="22">
        <f>((Data!$AJ$41*'Intermediate calculations'!AO44)+Data!$AK$41)</f>
        <v>15148297.074795375</v>
      </c>
      <c r="AP46" s="22">
        <f>((Data!$AJ$41*'Intermediate calculations'!AP44)+Data!$AK$41)</f>
        <v>15327668.064874131</v>
      </c>
      <c r="AQ46" s="22">
        <f>((Data!$AJ$41*'Intermediate calculations'!AQ44)+Data!$AK$41)</f>
        <v>15508805.222077787</v>
      </c>
      <c r="AR46" s="22">
        <f>((Data!$AJ$41*'Intermediate calculations'!AR44)+Data!$AK$41)</f>
        <v>15667349.204288784</v>
      </c>
      <c r="AS46" s="22">
        <f>((Data!$AJ$41*'Intermediate calculations'!AS44)+Data!$AK$41)</f>
        <v>15827246.243916424</v>
      </c>
      <c r="AT46" s="22">
        <f>((Data!$AJ$41*'Intermediate calculations'!AT44)+Data!$AK$41)</f>
        <v>15988507.888320293</v>
      </c>
      <c r="AU46" s="22">
        <f>((Data!$AJ$41*'Intermediate calculations'!AU44)+Data!$AK$41)</f>
        <v>16151145.783408277</v>
      </c>
      <c r="AV46" s="22">
        <f>((Data!$AJ$41*'Intermediate calculations'!AV44)+Data!$AK$41)</f>
        <v>16315171.674477605</v>
      </c>
      <c r="AW46" s="22">
        <f>((Data!$AJ$41*'Intermediate calculations'!AW44)+Data!$AK$41)</f>
        <v>16457082.749456095</v>
      </c>
      <c r="AX46" s="22">
        <f>((Data!$AJ$41*'Intermediate calculations'!AX44)+Data!$AK$41)</f>
        <v>16600032.777615165</v>
      </c>
      <c r="AY46" s="22">
        <f>((Data!$AJ$41*'Intermediate calculations'!AY44)+Data!$AK$41)</f>
        <v>16744029.36529359</v>
      </c>
      <c r="AZ46" s="22">
        <f>((Data!$AJ$41*'Intermediate calculations'!AZ44)+Data!$AK$41)</f>
        <v>16889080.174517334</v>
      </c>
      <c r="BA46" s="22">
        <f>((Data!$AJ$41*'Intermediate calculations'!BA44)+Data!$AK$41)</f>
        <v>17035192.923407253</v>
      </c>
      <c r="BB46" s="22">
        <f>((Data!$AJ$41*'Intermediate calculations'!BB44)+Data!$AK$41)</f>
        <v>17160055.697838262</v>
      </c>
      <c r="BC46" s="22">
        <f>((Data!$AJ$41*'Intermediate calculations'!BC44)+Data!$AK$41)</f>
        <v>17285693.986160778</v>
      </c>
      <c r="BD46" s="22">
        <f>((Data!$AJ$41*'Intermediate calculations'!BD44)+Data!$AK$41)</f>
        <v>17412112.605036922</v>
      </c>
      <c r="BE46" s="22">
        <f>((Data!$AJ$41*'Intermediate calculations'!BE44)+Data!$AK$41)</f>
        <v>17539316.401044767</v>
      </c>
      <c r="BF46" s="22">
        <f>((Data!$AJ$41*'Intermediate calculations'!BF44)+Data!$AK$41)</f>
        <v>17667310.250864141</v>
      </c>
      <c r="BG46" s="22">
        <f>((Data!$AJ$41*'Intermediate calculations'!BG44)+Data!$AK$41)</f>
        <v>17773163.371145584</v>
      </c>
      <c r="BH46" s="22">
        <f>((Data!$AJ$41*'Intermediate calculations'!BH44)+Data!$AK$41)</f>
        <v>17879556.854667529</v>
      </c>
      <c r="BI46" s="22">
        <f>((Data!$AJ$41*'Intermediate calculations'!BI44)+Data!$AK$41)</f>
        <v>17986493.459897824</v>
      </c>
      <c r="BJ46" s="22">
        <f>((Data!$AJ$41*'Intermediate calculations'!BJ44)+Data!$AK$41)</f>
        <v>18093975.959385909</v>
      </c>
      <c r="BK46" s="22">
        <f>((Data!$AJ$41*'Intermediate calculations'!BK44)+Data!$AK$41)</f>
        <v>18202007.139834598</v>
      </c>
    </row>
    <row r="47" spans="1:63" x14ac:dyDescent="0.25">
      <c r="A47" t="s">
        <v>750</v>
      </c>
      <c r="B47" t="s">
        <v>321</v>
      </c>
      <c r="C47" s="22">
        <v>194000</v>
      </c>
      <c r="D47" s="22">
        <v>195000</v>
      </c>
      <c r="E47" s="22">
        <v>199000</v>
      </c>
      <c r="F47" s="22">
        <v>200000</v>
      </c>
      <c r="G47" s="22">
        <v>184000</v>
      </c>
      <c r="H47" s="22">
        <v>183000</v>
      </c>
      <c r="I47" s="22">
        <v>181000</v>
      </c>
      <c r="J47" s="22">
        <v>179000</v>
      </c>
      <c r="K47" s="22">
        <v>177000</v>
      </c>
      <c r="L47" s="22">
        <v>175500</v>
      </c>
      <c r="M47" s="22">
        <v>174000</v>
      </c>
      <c r="N47" s="22">
        <v>186000</v>
      </c>
      <c r="O47" s="22">
        <v>190000</v>
      </c>
      <c r="P47" s="22">
        <v>174000</v>
      </c>
      <c r="Q47" s="22">
        <v>169000</v>
      </c>
      <c r="R47" s="22">
        <v>179000</v>
      </c>
      <c r="S47" s="22">
        <v>191000</v>
      </c>
      <c r="T47" s="22">
        <v>182000</v>
      </c>
      <c r="U47" s="22">
        <v>185000</v>
      </c>
      <c r="V47" s="22">
        <v>177000</v>
      </c>
      <c r="W47" s="22">
        <v>184000</v>
      </c>
      <c r="X47" s="22">
        <v>182000</v>
      </c>
      <c r="Y47" s="22">
        <f>((Data!$AJ$12*((Drivers!Z5*1000000)/Drivers!Z4))+Data!$AK$12)*Drivers!Z4</f>
        <v>170693.602864502</v>
      </c>
      <c r="Z47" s="22">
        <f>((Data!$AJ$12*((Drivers!AA5*1000000)/Drivers!AA4))+Data!$AK$12)*Drivers!AA4</f>
        <v>169414.39165300457</v>
      </c>
      <c r="AA47" s="22">
        <f>((Data!$AJ$12*((Drivers!AB5*1000000)/Drivers!AB4))+Data!$AK$12)*Drivers!AB4</f>
        <v>170269.56669741552</v>
      </c>
      <c r="AB47" s="22">
        <f>((Data!$AJ$12*((Drivers!AC5*1000000)/Drivers!AC4))+Data!$AK$12)*Drivers!AC4</f>
        <v>172839.0312953619</v>
      </c>
      <c r="AC47" s="22">
        <f>((Data!$AJ$12*((Drivers!AD5*1000000)/Drivers!AD4))+Data!$AK$12)*Drivers!AD4</f>
        <v>177252.81949976893</v>
      </c>
      <c r="AD47" s="22">
        <f>((Data!$AJ$12*((Drivers!AE5*1000000)/Drivers!AE4))+Data!$AK$12)*Drivers!AE4</f>
        <v>179940.47855363789</v>
      </c>
      <c r="AE47" s="22">
        <f>((Data!$AJ$12*((Drivers!AF5*1000000)/Drivers!AF4))+Data!$AK$12)*Drivers!AF4</f>
        <v>183148.18370616445</v>
      </c>
      <c r="AF47" s="22">
        <f>((Data!$AJ$12*((Drivers!AG5*1000000)/Drivers!AG4))+Data!$AK$12)*Drivers!AG4</f>
        <v>186630.67694847751</v>
      </c>
      <c r="AG47" s="22">
        <f>((Data!$AJ$12*((Drivers!AH5*1000000)/Drivers!AH4))+Data!$AK$12)*Drivers!AH4</f>
        <v>222965.18477048847</v>
      </c>
      <c r="AH47" s="22">
        <f>((Data!$AJ$12*((Drivers!AI5*1000000)/Drivers!AI4))+Data!$AK$12)*Drivers!AI4</f>
        <v>220092.01706937721</v>
      </c>
      <c r="AI47" s="22">
        <f>((Data!$AJ$12*((Drivers!AJ5*1000000)/Drivers!AJ4))+Data!$AK$12)*Drivers!AJ4</f>
        <v>217636.24108536579</v>
      </c>
      <c r="AJ47" s="22">
        <f>((Data!$AJ$12*((Drivers!AK5*1000000)/Drivers!AK4))+Data!$AK$12)*Drivers!AK4</f>
        <v>215019.08191869067</v>
      </c>
      <c r="AK47" s="22">
        <f>((Data!$AJ$12*((Drivers!AL5*1000000)/Drivers!AL4))+Data!$AK$12)*Drivers!AL4</f>
        <v>211808.13465922102</v>
      </c>
      <c r="AL47" s="22">
        <f>((Data!$AJ$12*((Drivers!AM5*1000000)/Drivers!AM4))+Data!$AK$12)*Drivers!AM4</f>
        <v>207684.25872828375</v>
      </c>
      <c r="AM47" s="22">
        <f>((Data!$AJ$12*((Drivers!AN5*1000000)/Drivers!AN4))+Data!$AK$12)*Drivers!AN4</f>
        <v>202272.87645413305</v>
      </c>
      <c r="AN47" s="22">
        <f>((Data!$AJ$12*((Drivers!AO5*1000000)/Drivers!AO4))+Data!$AK$12)*Drivers!AO4</f>
        <v>196203.68238973626</v>
      </c>
      <c r="AO47" s="22">
        <f>((Data!$AJ$12*((Drivers!AP5*1000000)/Drivers!AP4))+Data!$AK$12)*Drivers!AP4</f>
        <v>189393.9910004283</v>
      </c>
      <c r="AP47" s="22">
        <f>((Data!$AJ$12*((Drivers!AQ5*1000000)/Drivers!AQ4))+Data!$AK$12)*Drivers!AQ4</f>
        <v>181163.01179860739</v>
      </c>
      <c r="AQ47" s="22">
        <f>((Data!$AJ$12*((Drivers!AR5*1000000)/Drivers!AR4))+Data!$AK$12)*Drivers!AR4</f>
        <v>172973.9141602249</v>
      </c>
      <c r="AR47" s="22">
        <f>((Data!$AJ$12*((Drivers!AS5*1000000)/Drivers!AS4))+Data!$AK$12)*Drivers!AS4</f>
        <v>161871.96632547246</v>
      </c>
      <c r="AS47" s="22">
        <f>((Data!$AJ$12*((Drivers!AT5*1000000)/Drivers!AT4))+Data!$AK$12)*Drivers!AT4</f>
        <v>150178.52236894117</v>
      </c>
      <c r="AT47" s="22">
        <f>((Data!$AJ$12*((Drivers!AU5*1000000)/Drivers!AU4))+Data!$AK$12)*Drivers!AU4</f>
        <v>137953.57292704756</v>
      </c>
      <c r="AU47" s="22">
        <f>((Data!$AJ$12*((Drivers!AV5*1000000)/Drivers!AV4))+Data!$AK$12)*Drivers!AV4</f>
        <v>125263.2101313678</v>
      </c>
      <c r="AV47" s="22">
        <f>((Data!$AJ$12*((Drivers!AW5*1000000)/Drivers!AW4))+Data!$AK$12)*Drivers!AW4</f>
        <v>113663.28480813603</v>
      </c>
      <c r="AW47" s="22">
        <f>((Data!$AJ$12*((Drivers!AX5*1000000)/Drivers!AX4))+Data!$AK$12)*Drivers!AX4</f>
        <v>100601.16714489784</v>
      </c>
      <c r="AX47" s="22">
        <f>((Data!$AJ$12*((Drivers!AY5*1000000)/Drivers!AY4))+Data!$AK$12)*Drivers!AY4</f>
        <v>86348.530388847183</v>
      </c>
      <c r="AY47" s="22">
        <f>((Data!$AJ$12*((Drivers!AZ5*1000000)/Drivers!AZ4))+Data!$AK$12)*Drivers!AZ4</f>
        <v>71207.365970400031</v>
      </c>
      <c r="AZ47" s="22">
        <f>((Data!$AJ$12*((Drivers!BA5*1000000)/Drivers!BA4))+Data!$AK$12)*Drivers!BA4</f>
        <v>56341.039290062945</v>
      </c>
      <c r="BA47" s="22">
        <f>((Data!$AJ$12*((Drivers!BB5*1000000)/Drivers!BB4))+Data!$AK$12)*Drivers!BB4</f>
        <v>41109.933460939348</v>
      </c>
      <c r="BB47" s="22">
        <f>((Data!$AJ$12*((Drivers!BC5*1000000)/Drivers!BC4))+Data!$AK$12)*Drivers!BC4</f>
        <v>24416.233953966614</v>
      </c>
      <c r="BC47" s="22">
        <f>((Data!$AJ$12*((Drivers!BD5*1000000)/Drivers!BD4))+Data!$AK$12)*Drivers!BD4</f>
        <v>6708.7261157994262</v>
      </c>
      <c r="BD47" s="22">
        <f>((Data!$AJ$12*((Drivers!BE5*1000000)/Drivers!BE4))+Data!$AK$12)*Drivers!BE4</f>
        <v>-12246.791255512597</v>
      </c>
      <c r="BE47" s="22">
        <f>((Data!$AJ$12*((Drivers!BF5*1000000)/Drivers!BF4))+Data!$AK$12)*Drivers!BF4</f>
        <v>-32378.539367081205</v>
      </c>
      <c r="BF47" s="22">
        <f>((Data!$AJ$12*((Drivers!BG5*1000000)/Drivers!BG4))+Data!$AK$12)*Drivers!BG4</f>
        <v>-54173.631223280296</v>
      </c>
      <c r="BG47" s="22">
        <f>((Data!$AJ$12*((Drivers!BH5*1000000)/Drivers!BH4))+Data!$AK$12)*Drivers!BH4</f>
        <v>-78112.294705626598</v>
      </c>
      <c r="BH47" s="22">
        <f>((Data!$AJ$12*((Drivers!BI5*1000000)/Drivers!BI4))+Data!$AK$12)*Drivers!BI4</f>
        <v>-103289.49334875829</v>
      </c>
      <c r="BI47" s="22">
        <f>((Data!$AJ$12*((Drivers!BJ5*1000000)/Drivers!BJ4))+Data!$AK$12)*Drivers!BJ4</f>
        <v>-128510.10324383076</v>
      </c>
      <c r="BJ47" s="22">
        <f>((Data!$AJ$12*((Drivers!BK5*1000000)/Drivers!BK4))+Data!$AK$12)*Drivers!BK4</f>
        <v>-155088.90439668321</v>
      </c>
      <c r="BK47" s="22">
        <f>((Data!$AJ$12*((Drivers!BL5*1000000)/Drivers!BL4))+Data!$AK$12)*Drivers!BL4</f>
        <v>-183346.45212035277</v>
      </c>
    </row>
    <row r="48" spans="1:63" x14ac:dyDescent="0.25">
      <c r="A48" t="s">
        <v>750</v>
      </c>
      <c r="B48" t="s">
        <v>322</v>
      </c>
      <c r="C48" s="22">
        <f>C47/Drivers!D4</f>
        <v>5.2716662152689246E-3</v>
      </c>
      <c r="D48" s="22">
        <f>D47/Drivers!E4</f>
        <v>5.169815172479616E-3</v>
      </c>
      <c r="E48" s="22">
        <f>E47/Drivers!F4</f>
        <v>5.1457611843959729E-3</v>
      </c>
      <c r="F48" s="22">
        <f>F47/Drivers!G4</f>
        <v>5.0462043081969284E-3</v>
      </c>
      <c r="G48" s="22">
        <f>G47/Drivers!H4</f>
        <v>4.5360352128469197E-3</v>
      </c>
      <c r="H48" s="22">
        <f>H47/Drivers!I4</f>
        <v>4.4164752579161221E-3</v>
      </c>
      <c r="I48" s="22">
        <f>I47/Drivers!J4</f>
        <v>4.2849353203217606E-3</v>
      </c>
      <c r="J48" s="22">
        <f>J47/Drivers!K4</f>
        <v>4.164004940882645E-3</v>
      </c>
      <c r="K48" s="22">
        <f>K47/Drivers!L4</f>
        <v>4.0519881526276339E-3</v>
      </c>
      <c r="L48" s="22">
        <f>L47/Drivers!M4</f>
        <v>3.9581814855756533E-3</v>
      </c>
      <c r="M48" s="22">
        <f>M47/Drivers!N4</f>
        <v>3.8694433792356062E-3</v>
      </c>
      <c r="N48" s="22">
        <f>N47/Drivers!O4</f>
        <v>4.0815185460911186E-3</v>
      </c>
      <c r="O48" s="22">
        <f>O47/Drivers!P4</f>
        <v>4.1169283043219537E-3</v>
      </c>
      <c r="P48" s="22">
        <f>P47/Drivers!Q4</f>
        <v>3.7243791609769998E-3</v>
      </c>
      <c r="Q48" s="22">
        <f>Q47/Drivers!R4</f>
        <v>3.5735725639283586E-3</v>
      </c>
      <c r="R48" s="22">
        <f>R47/Drivers!S4</f>
        <v>3.7384660230142057E-3</v>
      </c>
      <c r="S48" s="22">
        <f>S47/Drivers!T4</f>
        <v>3.9390004330631945E-3</v>
      </c>
      <c r="T48" s="22">
        <f>T47/Drivers!U4</f>
        <v>3.7052299055457499E-3</v>
      </c>
      <c r="U48" s="22">
        <f>U47/Drivers!V4</f>
        <v>3.7163914417652206E-3</v>
      </c>
      <c r="V48" s="22">
        <f>V47/Drivers!W4</f>
        <v>3.5065467723514772E-3</v>
      </c>
      <c r="W48" s="22">
        <f>W47/Drivers!X4</f>
        <v>3.5925596839359707E-3</v>
      </c>
      <c r="X48" s="22">
        <f>X47/Drivers!Y4</f>
        <v>3.499719214835302E-3</v>
      </c>
      <c r="Y48" s="22"/>
      <c r="Z48" s="22"/>
      <c r="AA48" s="22"/>
      <c r="AB48" s="22"/>
      <c r="AC48" s="22"/>
      <c r="AD48" s="22"/>
      <c r="AE48" s="22"/>
      <c r="AF48" s="22"/>
      <c r="AG48" s="22"/>
      <c r="AH48" s="22"/>
      <c r="AI48" s="22"/>
      <c r="AJ48" s="22"/>
      <c r="AK48" s="22"/>
      <c r="AL48" s="22"/>
      <c r="AM48" s="22"/>
      <c r="AN48" s="22"/>
      <c r="AO48" s="22"/>
      <c r="AP48" s="22"/>
      <c r="AQ48" s="22"/>
      <c r="AR48" s="22"/>
      <c r="AS48" s="22"/>
      <c r="AT48" s="22"/>
      <c r="AU48" s="22"/>
      <c r="AV48" s="22"/>
      <c r="AW48" s="22"/>
      <c r="AX48" s="22"/>
      <c r="AY48" s="22"/>
      <c r="AZ48" s="22"/>
      <c r="BA48" s="22"/>
      <c r="BB48" s="22"/>
      <c r="BC48" s="22"/>
      <c r="BD48" s="22"/>
      <c r="BE48" s="22"/>
      <c r="BF48" s="22"/>
      <c r="BG48" s="22"/>
      <c r="BH48" s="22"/>
      <c r="BI48" s="22"/>
      <c r="BJ48" s="22"/>
      <c r="BK48" s="22"/>
    </row>
    <row r="49" spans="1:63" x14ac:dyDescent="0.25">
      <c r="A49" t="s">
        <v>371</v>
      </c>
      <c r="B49" t="s">
        <v>321</v>
      </c>
      <c r="C49" s="22">
        <v>316000</v>
      </c>
      <c r="D49" s="22">
        <v>245000</v>
      </c>
      <c r="E49" s="22">
        <v>243000</v>
      </c>
      <c r="F49" s="22">
        <v>287000</v>
      </c>
      <c r="G49" s="22">
        <v>410000</v>
      </c>
      <c r="H49" s="22">
        <v>303000</v>
      </c>
      <c r="I49" s="22">
        <v>331000</v>
      </c>
      <c r="J49" s="22">
        <v>243000</v>
      </c>
      <c r="K49" s="22">
        <v>235000</v>
      </c>
      <c r="L49" s="22"/>
      <c r="M49" s="22">
        <v>210000</v>
      </c>
      <c r="N49" s="22">
        <v>209000</v>
      </c>
      <c r="O49" s="22">
        <v>206000</v>
      </c>
      <c r="P49" s="22">
        <v>196000</v>
      </c>
      <c r="Q49" s="22">
        <v>179000</v>
      </c>
      <c r="R49" s="22">
        <v>189000</v>
      </c>
      <c r="S49" s="22">
        <v>203000</v>
      </c>
      <c r="T49" s="22">
        <v>190000</v>
      </c>
      <c r="U49" s="22">
        <v>196000</v>
      </c>
      <c r="V49" s="22">
        <v>187000</v>
      </c>
      <c r="W49" s="22">
        <v>192000</v>
      </c>
      <c r="X49" s="22">
        <v>191000</v>
      </c>
      <c r="Y49" s="22">
        <f>((Data!$AJ$44*'Intermediate calculations'!Y47)+Data!$AK$44)</f>
        <v>178409.15750062931</v>
      </c>
      <c r="Z49" s="22">
        <f>((Data!$AJ$44*'Intermediate calculations'!Z47)+Data!$AK$44)</f>
        <v>177141.87580545145</v>
      </c>
      <c r="AA49" s="22">
        <f>((Data!$AJ$44*'Intermediate calculations'!AA47)+Data!$AK$44)</f>
        <v>177989.07575977824</v>
      </c>
      <c r="AB49" s="22">
        <f>((Data!$AJ$44*'Intermediate calculations'!AB47)+Data!$AK$44)</f>
        <v>180534.57834927892</v>
      </c>
      <c r="AC49" s="22">
        <f>((Data!$AJ$44*'Intermediate calculations'!AC47)+Data!$AK$44)</f>
        <v>184907.20497071801</v>
      </c>
      <c r="AD49" s="22">
        <f>((Data!$AJ$44*'Intermediate calculations'!AD47)+Data!$AK$44)</f>
        <v>187569.79977229121</v>
      </c>
      <c r="AE49" s="22">
        <f>((Data!$AJ$44*'Intermediate calculations'!AE47)+Data!$AK$44)</f>
        <v>190747.59088824471</v>
      </c>
      <c r="AF49" s="22">
        <f>((Data!$AJ$44*'Intermediate calculations'!AF47)+Data!$AK$44)</f>
        <v>194197.60750778153</v>
      </c>
      <c r="AG49" s="22">
        <f>((Data!$AJ$44*'Intermediate calculations'!AG47)+Data!$AK$44)</f>
        <v>230193.27128267189</v>
      </c>
      <c r="AH49" s="22">
        <f>((Data!$AJ$44*'Intermediate calculations'!AH47)+Data!$AK$44)</f>
        <v>227346.8978284146</v>
      </c>
      <c r="AI49" s="22">
        <f>((Data!$AJ$44*'Intermediate calculations'!AI47)+Data!$AK$44)</f>
        <v>224914.02362904605</v>
      </c>
      <c r="AJ49" s="22">
        <f>((Data!$AJ$44*'Intermediate calculations'!AJ47)+Data!$AK$44)</f>
        <v>222321.27125517349</v>
      </c>
      <c r="AK49" s="22">
        <f>((Data!$AJ$44*'Intermediate calculations'!AK47)+Data!$AK$44)</f>
        <v>219140.26826713359</v>
      </c>
      <c r="AL49" s="22">
        <f>((Data!$AJ$44*'Intermediate calculations'!AL47)+Data!$AK$44)</f>
        <v>215054.85028964124</v>
      </c>
      <c r="AM49" s="22">
        <f>((Data!$AJ$44*'Intermediate calculations'!AM47)+Data!$AK$44)</f>
        <v>209693.93284301131</v>
      </c>
      <c r="AN49" s="22">
        <f>((Data!$AJ$44*'Intermediate calculations'!AN47)+Data!$AK$44)</f>
        <v>203681.3381493729</v>
      </c>
      <c r="AO49" s="22">
        <f>((Data!$AJ$44*'Intermediate calculations'!AO47)+Data!$AK$44)</f>
        <v>196935.15177302118</v>
      </c>
      <c r="AP49" s="22">
        <f>((Data!$AJ$44*'Intermediate calculations'!AP47)+Data!$AK$44)</f>
        <v>188780.9320616046</v>
      </c>
      <c r="AQ49" s="22">
        <f>((Data!$AJ$44*'Intermediate calculations'!AQ47)+Data!$AK$44)</f>
        <v>180668.20333950545</v>
      </c>
      <c r="AR49" s="22">
        <f>((Data!$AJ$44*'Intermediate calculations'!AR47)+Data!$AK$44)</f>
        <v>169669.78873420192</v>
      </c>
      <c r="AS49" s="22">
        <f>((Data!$AJ$44*'Intermediate calculations'!AS47)+Data!$AK$44)</f>
        <v>158085.39411155507</v>
      </c>
      <c r="AT49" s="22">
        <f>((Data!$AJ$44*'Intermediate calculations'!AT47)+Data!$AK$44)</f>
        <v>145974.4506544137</v>
      </c>
      <c r="AU49" s="22">
        <f>((Data!$AJ$44*'Intermediate calculations'!AU47)+Data!$AK$44)</f>
        <v>133402.43414018577</v>
      </c>
      <c r="AV49" s="22">
        <f>((Data!$AJ$44*'Intermediate calculations'!AV47)+Data!$AK$44)</f>
        <v>121910.68602585069</v>
      </c>
      <c r="AW49" s="22">
        <f>((Data!$AJ$44*'Intermediate calculations'!AW47)+Data!$AK$44)</f>
        <v>108970.38151155232</v>
      </c>
      <c r="AX49" s="22">
        <f>((Data!$AJ$44*'Intermediate calculations'!AX47)+Data!$AK$44)</f>
        <v>94850.660306311314</v>
      </c>
      <c r="AY49" s="22">
        <f>((Data!$AJ$44*'Intermediate calculations'!AY47)+Data!$AK$44)</f>
        <v>79850.697564650254</v>
      </c>
      <c r="AZ49" s="22">
        <f>((Data!$AJ$44*'Intermediate calculations'!AZ47)+Data!$AK$44)</f>
        <v>65123.009511891636</v>
      </c>
      <c r="BA49" s="22">
        <f>((Data!$AJ$44*'Intermediate calculations'!BA47)+Data!$AK$44)</f>
        <v>50033.944124503047</v>
      </c>
      <c r="BB49" s="22">
        <f>((Data!$AJ$44*'Intermediate calculations'!BB47)+Data!$AK$44)</f>
        <v>33495.924742057323</v>
      </c>
      <c r="BC49" s="22">
        <f>((Data!$AJ$44*'Intermediate calculations'!BC47)+Data!$AK$44)</f>
        <v>15953.551482007902</v>
      </c>
      <c r="BD49" s="22">
        <f>((Data!$AJ$44*'Intermediate calculations'!BD47)+Data!$AK$44)</f>
        <v>-2825.192771781125</v>
      </c>
      <c r="BE49" s="22">
        <f>((Data!$AJ$44*'Intermediate calculations'!BE47)+Data!$AK$44)</f>
        <v>-22769.198612581877</v>
      </c>
      <c r="BF49" s="22">
        <f>((Data!$AJ$44*'Intermediate calculations'!BF47)+Data!$AK$44)</f>
        <v>-44361.036384038794</v>
      </c>
      <c r="BG49" s="22">
        <f>((Data!$AJ$44*'Intermediate calculations'!BG47)+Data!$AK$44)</f>
        <v>-68076.455515401962</v>
      </c>
      <c r="BH49" s="22">
        <f>((Data!$AJ$44*'Intermediate calculations'!BH47)+Data!$AK$44)</f>
        <v>-93018.859623124241</v>
      </c>
      <c r="BI49" s="22">
        <f>((Data!$AJ$44*'Intermediate calculations'!BI47)+Data!$AK$44)</f>
        <v>-118004.27014327854</v>
      </c>
      <c r="BJ49" s="22">
        <f>((Data!$AJ$44*'Intermediate calculations'!BJ47)+Data!$AK$44)</f>
        <v>-144335.20586213737</v>
      </c>
      <c r="BK49" s="22">
        <f>((Data!$AJ$44*'Intermediate calculations'!BK47)+Data!$AK$44)</f>
        <v>-172329.23269598794</v>
      </c>
    </row>
    <row r="50" spans="1:63" x14ac:dyDescent="0.25">
      <c r="A50" t="s">
        <v>858</v>
      </c>
      <c r="B50" t="s">
        <v>321</v>
      </c>
      <c r="C50" s="22">
        <f>C15*Constants!$H$29*Constants!$H$35</f>
        <v>1907100</v>
      </c>
      <c r="D50" s="22">
        <f>D15*Constants!$H$29*Constants!$H$35</f>
        <v>1946700</v>
      </c>
      <c r="E50" s="22">
        <f>E15*Constants!$H$29*Constants!$H$35</f>
        <v>1896300</v>
      </c>
      <c r="F50" s="22">
        <f>F15*Constants!$H$29*Constants!$H$35</f>
        <v>1801800</v>
      </c>
      <c r="G50" s="22">
        <f>G15*Constants!$H$29*Constants!$H$35</f>
        <v>1805400</v>
      </c>
      <c r="H50" s="22">
        <f>H15*Constants!$H$29*Constants!$H$35</f>
        <v>2067300</v>
      </c>
      <c r="I50" s="22">
        <f>I15*Constants!$H$29*Constants!$H$35</f>
        <v>2205000</v>
      </c>
      <c r="J50" s="22">
        <f>J15*Constants!$H$29*Constants!$H$35</f>
        <v>2193300</v>
      </c>
      <c r="K50" s="22">
        <f>K15*Constants!$H$29*Constants!$H$35</f>
        <v>2250900</v>
      </c>
      <c r="L50" s="22">
        <f>L15*Constants!$H$29*Constants!$H$35</f>
        <v>2288700</v>
      </c>
      <c r="M50" s="22">
        <f>M15*Constants!$H$29*Constants!$H$35</f>
        <v>2133000</v>
      </c>
      <c r="N50" s="22">
        <f>N15*Constants!$H$29*Constants!$H$35</f>
        <v>2122200</v>
      </c>
      <c r="O50" s="22">
        <f>O15*Constants!$H$29*Constants!$H$35</f>
        <v>2211300</v>
      </c>
      <c r="P50" s="22">
        <f>P15*Constants!$H$29*Constants!$H$35</f>
        <v>2118600</v>
      </c>
      <c r="Q50" s="22">
        <f>Q15*Constants!$H$29*Constants!$H$35</f>
        <v>2254500</v>
      </c>
      <c r="R50" s="22">
        <f>R15*Constants!$H$29*Constants!$H$35</f>
        <v>2391300</v>
      </c>
      <c r="S50" s="22">
        <f>S15*Constants!$H$29*Constants!$H$35</f>
        <v>2261700</v>
      </c>
      <c r="T50" s="22">
        <f>T15*Constants!$H$29*Constants!$H$35</f>
        <v>2303100</v>
      </c>
      <c r="U50" s="22">
        <f>U15*Constants!$H$29*Constants!$H$35</f>
        <v>2362500</v>
      </c>
      <c r="V50" s="22">
        <f>V15*Constants!$H$29*Constants!$H$35</f>
        <v>2328300</v>
      </c>
      <c r="W50" s="22">
        <f>W15*Constants!$H$29*Constants!$H$35</f>
        <v>2439900</v>
      </c>
      <c r="X50" s="22">
        <f>X15*Constants!$H$29*Constants!$H$35</f>
        <v>2448000</v>
      </c>
      <c r="Y50" s="22">
        <f>Y15*Constants!$H$29*Constants!$H$35</f>
        <v>2570268.8827936202</v>
      </c>
      <c r="Z50" s="22">
        <f>Z15*Constants!$H$29*Constants!$H$35</f>
        <v>2611176.5570550407</v>
      </c>
      <c r="AA50" s="22">
        <f>AA15*Constants!$H$29*Constants!$H$35</f>
        <v>2646591.1800511298</v>
      </c>
      <c r="AB50" s="22">
        <f>AB15*Constants!$H$29*Constants!$H$35</f>
        <v>2677916.7054446922</v>
      </c>
      <c r="AC50" s="22">
        <f>AC15*Constants!$H$29*Constants!$H$35</f>
        <v>2704790.532433406</v>
      </c>
      <c r="AD50" s="22">
        <f>AD15*Constants!$H$29*Constants!$H$35</f>
        <v>2738753.4015667518</v>
      </c>
      <c r="AE50" s="22">
        <f>AE15*Constants!$H$29*Constants!$H$35</f>
        <v>2771612.7740499303</v>
      </c>
      <c r="AF50" s="22">
        <f>AF15*Constants!$H$29*Constants!$H$35</f>
        <v>2804286.6558491895</v>
      </c>
      <c r="AG50" s="22">
        <f>AG15*Constants!$H$29*Constants!$H$35</f>
        <v>2732019.6693893485</v>
      </c>
      <c r="AH50" s="22">
        <f>AH15*Constants!$H$29*Constants!$H$35</f>
        <v>2773515.8923635534</v>
      </c>
      <c r="AI50" s="22">
        <f>AI15*Constants!$H$29*Constants!$H$35</f>
        <v>2814041.2094251937</v>
      </c>
      <c r="AJ50" s="22">
        <f>AJ15*Constants!$H$29*Constants!$H$35</f>
        <v>2855461.2070107912</v>
      </c>
      <c r="AK50" s="22">
        <f>AK15*Constants!$H$29*Constants!$H$35</f>
        <v>2899170.80250974</v>
      </c>
      <c r="AL50" s="22">
        <f>AL15*Constants!$H$29*Constants!$H$35</f>
        <v>2946200.7109089587</v>
      </c>
      <c r="AM50" s="22">
        <f>AM15*Constants!$H$29*Constants!$H$35</f>
        <v>2992812.7131361468</v>
      </c>
      <c r="AN50" s="22">
        <f>AN15*Constants!$H$29*Constants!$H$35</f>
        <v>3041827.8115590513</v>
      </c>
      <c r="AO50" s="22">
        <f>AO15*Constants!$H$29*Constants!$H$35</f>
        <v>3093514.7504773624</v>
      </c>
      <c r="AP50" s="22">
        <f>AP15*Constants!$H$29*Constants!$H$35</f>
        <v>3150065.776547363</v>
      </c>
      <c r="AQ50" s="22">
        <f>AQ15*Constants!$H$29*Constants!$H$35</f>
        <v>3206778.3009871952</v>
      </c>
      <c r="AR50" s="22">
        <f>AR15*Constants!$H$29*Constants!$H$35</f>
        <v>3269069.5111952373</v>
      </c>
      <c r="AS50" s="22">
        <f>AS15*Constants!$H$29*Constants!$H$35</f>
        <v>3333489.850771077</v>
      </c>
      <c r="AT50" s="22">
        <f>AT15*Constants!$H$29*Constants!$H$35</f>
        <v>3399848.3294422263</v>
      </c>
      <c r="AU50" s="22">
        <f>AU15*Constants!$H$29*Constants!$H$35</f>
        <v>3467934.3513711938</v>
      </c>
      <c r="AV50" s="22">
        <f>AV15*Constants!$H$29*Constants!$H$35</f>
        <v>3532746.3507812005</v>
      </c>
      <c r="AW50" s="22">
        <f>AW15*Constants!$H$29*Constants!$H$35</f>
        <v>3598552.0166974906</v>
      </c>
      <c r="AX50" s="22">
        <f>AX15*Constants!$H$29*Constants!$H$35</f>
        <v>3668360.5632806057</v>
      </c>
      <c r="AY50" s="22">
        <f>AY15*Constants!$H$29*Constants!$H$35</f>
        <v>3741202.0773587511</v>
      </c>
      <c r="AZ50" s="22">
        <f>AZ15*Constants!$H$29*Constants!$H$35</f>
        <v>3813336.5211375719</v>
      </c>
      <c r="BA50" s="22">
        <f>BA15*Constants!$H$29*Constants!$H$35</f>
        <v>3886822.1636470645</v>
      </c>
      <c r="BB50" s="22">
        <f>BB15*Constants!$H$29*Constants!$H$35</f>
        <v>3961447.7978132246</v>
      </c>
      <c r="BC50" s="22">
        <f>BC15*Constants!$H$29*Constants!$H$35</f>
        <v>4039463.8410831545</v>
      </c>
      <c r="BD50" s="22">
        <f>BD15*Constants!$H$29*Constants!$H$35</f>
        <v>4121624.2801187048</v>
      </c>
      <c r="BE50" s="22">
        <f>BE15*Constants!$H$29*Constants!$H$35</f>
        <v>4207699.090823126</v>
      </c>
      <c r="BF50" s="22">
        <f>BF15*Constants!$H$29*Constants!$H$35</f>
        <v>4299255.6211475274</v>
      </c>
      <c r="BG50" s="22">
        <f>BG15*Constants!$H$29*Constants!$H$35</f>
        <v>4393992.7526812451</v>
      </c>
      <c r="BH50" s="22">
        <f>BH15*Constants!$H$29*Constants!$H$35</f>
        <v>4492803.5682263756</v>
      </c>
      <c r="BI50" s="22">
        <f>BI15*Constants!$H$29*Constants!$H$35</f>
        <v>4591845.0739451153</v>
      </c>
      <c r="BJ50" s="22">
        <f>BJ15*Constants!$H$29*Constants!$H$35</f>
        <v>4695345.9990250794</v>
      </c>
      <c r="BK50" s="22">
        <f>BK15*Constants!$H$29*Constants!$H$35</f>
        <v>4804337.700040062</v>
      </c>
    </row>
    <row r="51" spans="1:63" x14ac:dyDescent="0.25">
      <c r="A51" t="s">
        <v>859</v>
      </c>
      <c r="B51" t="s">
        <v>321</v>
      </c>
      <c r="C51" s="22">
        <f>C8*Constants!$H$30*Constants!$H$36</f>
        <v>2349655</v>
      </c>
      <c r="D51" s="22">
        <f>D8*Constants!$H$30*Constants!$H$36</f>
        <v>2559865</v>
      </c>
      <c r="E51" s="22">
        <f>E8*Constants!$H$30*Constants!$H$36</f>
        <v>2708475</v>
      </c>
      <c r="F51" s="22">
        <f>F8*Constants!$H$30*Constants!$H$36</f>
        <v>2671900</v>
      </c>
      <c r="G51" s="22">
        <f>G8*Constants!$H$30*Constants!$H$36</f>
        <v>2353120</v>
      </c>
      <c r="H51" s="22">
        <f>H8*Constants!$H$30*Constants!$H$36</f>
        <v>1953874.9999999998</v>
      </c>
      <c r="I51" s="22">
        <f>I8*Constants!$H$30*Constants!$H$36</f>
        <v>1951949.9999999998</v>
      </c>
      <c r="J51" s="22">
        <f>J8*Constants!$H$30*Constants!$H$36</f>
        <v>1934239.9999999998</v>
      </c>
      <c r="K51" s="22">
        <f>K8*Constants!$H$30*Constants!$H$36</f>
        <v>1910754.9999999998</v>
      </c>
      <c r="L51" s="22">
        <f>L8*Constants!$H$30*Constants!$H$36</f>
        <v>1970044.9999999998</v>
      </c>
      <c r="M51" s="22">
        <f>M8*Constants!$H$30*Constants!$H$36</f>
        <v>2404710</v>
      </c>
      <c r="N51" s="22">
        <f>N8*Constants!$H$30*Constants!$H$36</f>
        <v>2018554.9999999998</v>
      </c>
      <c r="O51" s="22">
        <f>O8*Constants!$H$30*Constants!$H$36</f>
        <v>2207590</v>
      </c>
      <c r="P51" s="22">
        <f>P8*Constants!$H$30*Constants!$H$36</f>
        <v>2347345</v>
      </c>
      <c r="Q51" s="22">
        <f>Q8*Constants!$H$30*Constants!$H$36</f>
        <v>2432045</v>
      </c>
      <c r="R51" s="22">
        <f>R8*Constants!$H$30*Constants!$H$36</f>
        <v>2588355</v>
      </c>
      <c r="S51" s="22">
        <f>S8*Constants!$H$30*Constants!$H$36</f>
        <v>3111185</v>
      </c>
      <c r="T51" s="22">
        <f>T8*Constants!$H$30*Constants!$H$36</f>
        <v>3316390</v>
      </c>
      <c r="U51" s="22">
        <f>U8*Constants!$H$30*Constants!$H$36</f>
        <v>2965270</v>
      </c>
      <c r="V51" s="22">
        <f>V8*Constants!$H$30*Constants!$H$36</f>
        <v>3067295</v>
      </c>
      <c r="W51" s="22">
        <f>W8*Constants!$H$30*Constants!$H$36</f>
        <v>3410330</v>
      </c>
      <c r="X51" s="22">
        <f>X8*Constants!$H$30*Constants!$H$36</f>
        <v>3347575</v>
      </c>
      <c r="Y51" s="22">
        <f>Y8*Constants!$H$30*Constants!$H$36</f>
        <v>3541392.4934457913</v>
      </c>
      <c r="Z51" s="22">
        <f>Z8*Constants!$H$30*Constants!$H$36</f>
        <v>3654191.1636954304</v>
      </c>
      <c r="AA51" s="22">
        <f>AA8*Constants!$H$30*Constants!$H$36</f>
        <v>3741189.8654556125</v>
      </c>
      <c r="AB51" s="22">
        <f>AB8*Constants!$H$30*Constants!$H$36</f>
        <v>3808301.9090991635</v>
      </c>
      <c r="AC51" s="22">
        <f>AC8*Constants!$H$30*Constants!$H$36</f>
        <v>3853883.1597961942</v>
      </c>
      <c r="AD51" s="22">
        <f>AD8*Constants!$H$30*Constants!$H$36</f>
        <v>3927178.151743093</v>
      </c>
      <c r="AE51" s="22">
        <f>AE8*Constants!$H$30*Constants!$H$36</f>
        <v>3994794.7673239545</v>
      </c>
      <c r="AF51" s="22">
        <f>AF8*Constants!$H$30*Constants!$H$36</f>
        <v>4060439.7949395715</v>
      </c>
      <c r="AG51" s="22">
        <f>AG8*Constants!$H$30*Constants!$H$36</f>
        <v>3676207.2346381675</v>
      </c>
      <c r="AH51" s="22">
        <f>AH8*Constants!$H$30*Constants!$H$36</f>
        <v>3799181.1661825511</v>
      </c>
      <c r="AI51" s="22">
        <f>AI8*Constants!$H$30*Constants!$H$36</f>
        <v>3917377.0478481255</v>
      </c>
      <c r="AJ51" s="22">
        <f>AJ8*Constants!$H$30*Constants!$H$36</f>
        <v>4038764.0711249649</v>
      </c>
      <c r="AK51" s="22">
        <f>AK8*Constants!$H$30*Constants!$H$36</f>
        <v>4169298.9749574321</v>
      </c>
      <c r="AL51" s="22">
        <f>AL8*Constants!$H$30*Constants!$H$36</f>
        <v>4313381.2483380316</v>
      </c>
      <c r="AM51" s="22">
        <f>AM8*Constants!$H$30*Constants!$H$36</f>
        <v>4463370.9568467513</v>
      </c>
      <c r="AN51" s="22">
        <f>AN8*Constants!$H$30*Constants!$H$36</f>
        <v>4623149.7729887813</v>
      </c>
      <c r="AO51" s="22">
        <f>AO8*Constants!$H$30*Constants!$H$36</f>
        <v>4793861.9466967089</v>
      </c>
      <c r="AP51" s="22">
        <f>AP8*Constants!$H$30*Constants!$H$36</f>
        <v>4984875.712933124</v>
      </c>
      <c r="AQ51" s="22">
        <f>AQ8*Constants!$H$30*Constants!$H$36</f>
        <v>5176080.0397561239</v>
      </c>
      <c r="AR51" s="22">
        <f>AR8*Constants!$H$30*Constants!$H$36</f>
        <v>5397531.5789766973</v>
      </c>
      <c r="AS51" s="22">
        <f>AS8*Constants!$H$30*Constants!$H$36</f>
        <v>5627703.3205795139</v>
      </c>
      <c r="AT51" s="22">
        <f>AT8*Constants!$H$30*Constants!$H$36</f>
        <v>5865775.4073338211</v>
      </c>
      <c r="AU51" s="22">
        <f>AU8*Constants!$H$30*Constants!$H$36</f>
        <v>6110844.1295239097</v>
      </c>
      <c r="AV51" s="22">
        <f>AV8*Constants!$H$30*Constants!$H$36</f>
        <v>6341521.713803852</v>
      </c>
      <c r="AW51" s="22">
        <f>AW8*Constants!$H$30*Constants!$H$36</f>
        <v>6582707.622589089</v>
      </c>
      <c r="AX51" s="22">
        <f>AX8*Constants!$H$30*Constants!$H$36</f>
        <v>6840713.9634908568</v>
      </c>
      <c r="AY51" s="22">
        <f>AY8*Constants!$H$30*Constants!$H$36</f>
        <v>7111391.6703815544</v>
      </c>
      <c r="AZ51" s="22">
        <f>AZ8*Constants!$H$30*Constants!$H$36</f>
        <v>7378747.852743513</v>
      </c>
      <c r="BA51" s="22">
        <f>BA8*Constants!$H$30*Constants!$H$36</f>
        <v>7651580.5597319966</v>
      </c>
      <c r="BB51" s="22">
        <f>BB8*Constants!$H$30*Constants!$H$36</f>
        <v>7935302.408480675</v>
      </c>
      <c r="BC51" s="22">
        <f>BC8*Constants!$H$30*Constants!$H$36</f>
        <v>8233300.6055649212</v>
      </c>
      <c r="BD51" s="22">
        <f>BD8*Constants!$H$30*Constants!$H$36</f>
        <v>8548797.4958705008</v>
      </c>
      <c r="BE51" s="22">
        <f>BE8*Constants!$H$30*Constants!$H$36</f>
        <v>8880808.2278001755</v>
      </c>
      <c r="BF51" s="22">
        <f>BF8*Constants!$H$30*Constants!$H$36</f>
        <v>9236032.6967858057</v>
      </c>
      <c r="BG51" s="22">
        <f>BG8*Constants!$H$30*Constants!$H$36</f>
        <v>9611123.175858859</v>
      </c>
      <c r="BH51" s="22">
        <f>BH8*Constants!$H$30*Constants!$H$36</f>
        <v>10003477.941959718</v>
      </c>
      <c r="BI51" s="22">
        <f>BI8*Constants!$H$30*Constants!$H$36</f>
        <v>10396665.29878225</v>
      </c>
      <c r="BJ51" s="22">
        <f>BJ8*Constants!$H$30*Constants!$H$36</f>
        <v>10808764.608109353</v>
      </c>
      <c r="BK51" s="22">
        <f>BK8*Constants!$H$30*Constants!$H$36</f>
        <v>11244184.698587114</v>
      </c>
    </row>
    <row r="52" spans="1:63" x14ac:dyDescent="0.25">
      <c r="A52" t="s">
        <v>860</v>
      </c>
      <c r="B52" t="s">
        <v>321</v>
      </c>
      <c r="C52" s="22">
        <f>C18*Constants!$H$31*Constants!$H$37</f>
        <v>647570</v>
      </c>
      <c r="D52" s="22">
        <f>D18*Constants!$H$31*Constants!$H$37</f>
        <v>736120</v>
      </c>
      <c r="E52" s="22">
        <f>E18*Constants!$H$31*Constants!$H$37</f>
        <v>677985</v>
      </c>
      <c r="F52" s="22">
        <f>F18*Constants!$H$31*Constants!$H$37</f>
        <v>644490</v>
      </c>
      <c r="G52" s="22">
        <f>G18*Constants!$H$31*Constants!$H$37</f>
        <v>520904.99999999994</v>
      </c>
      <c r="H52" s="22">
        <f>H18*Constants!$H$31*Constants!$H$37</f>
        <v>364980</v>
      </c>
      <c r="I52" s="22">
        <f>I18*Constants!$H$31*Constants!$H$37</f>
        <v>409255</v>
      </c>
      <c r="J52" s="22">
        <f>J18*Constants!$H$31*Constants!$H$37</f>
        <v>395010</v>
      </c>
      <c r="K52" s="22">
        <f>K18*Constants!$H$31*Constants!$H$37</f>
        <v>373065</v>
      </c>
      <c r="L52" s="22">
        <f>L18*Constants!$H$31*Constants!$H$37</f>
        <v>403865</v>
      </c>
      <c r="M52" s="22">
        <f>M18*Constants!$H$31*Constants!$H$37</f>
        <v>416955</v>
      </c>
      <c r="N52" s="22">
        <f>N18*Constants!$H$31*Constants!$H$37</f>
        <v>405790</v>
      </c>
      <c r="O52" s="22">
        <f>O18*Constants!$H$31*Constants!$H$37</f>
        <v>404635</v>
      </c>
      <c r="P52" s="22">
        <f>P18*Constants!$H$31*Constants!$H$37</f>
        <v>440440</v>
      </c>
      <c r="Q52" s="22">
        <f>Q18*Constants!$H$31*Constants!$H$37</f>
        <v>463154.99999999994</v>
      </c>
      <c r="R52" s="22">
        <f>R18*Constants!$H$31*Constants!$H$37</f>
        <v>518209.99999999994</v>
      </c>
      <c r="S52" s="22">
        <f>S18*Constants!$H$31*Constants!$H$37</f>
        <v>520904.99999999994</v>
      </c>
      <c r="T52" s="22">
        <f>T18*Constants!$H$31*Constants!$H$37</f>
        <v>618695</v>
      </c>
      <c r="U52" s="22">
        <f>U18*Constants!$H$31*Constants!$H$37</f>
        <v>618310</v>
      </c>
      <c r="V52" s="22">
        <f>V18*Constants!$H$31*Constants!$H$37</f>
        <v>624085</v>
      </c>
      <c r="W52" s="22">
        <f>W18*Constants!$H$31*Constants!$H$37</f>
        <v>631015</v>
      </c>
      <c r="X52" s="22">
        <f>X18*Constants!$H$31*Constants!$H$37</f>
        <v>572880</v>
      </c>
      <c r="Y52" s="22">
        <f>Y18*Constants!$H$31*Constants!$H$37</f>
        <v>629289.59033676586</v>
      </c>
      <c r="Z52" s="22">
        <f>Z18*Constants!$H$31*Constants!$H$37</f>
        <v>635454.50597429939</v>
      </c>
      <c r="AA52" s="22">
        <f>AA18*Constants!$H$31*Constants!$H$37</f>
        <v>641827.32247327489</v>
      </c>
      <c r="AB52" s="22">
        <f>AB18*Constants!$H$31*Constants!$H$37</f>
        <v>648421.09301969141</v>
      </c>
      <c r="AC52" s="22">
        <f>AC18*Constants!$H$31*Constants!$H$37</f>
        <v>655243.81100183353</v>
      </c>
      <c r="AD52" s="22">
        <f>AD18*Constants!$H$31*Constants!$H$37</f>
        <v>662340.93406354217</v>
      </c>
      <c r="AE52" s="22">
        <f>AE18*Constants!$H$31*Constants!$H$37</f>
        <v>669527.98780261353</v>
      </c>
      <c r="AF52" s="22">
        <f>AF18*Constants!$H$31*Constants!$H$37</f>
        <v>676829.03904869652</v>
      </c>
      <c r="AG52" s="22">
        <f>AG18*Constants!$H$31*Constants!$H$37</f>
        <v>683920.23363582091</v>
      </c>
      <c r="AH52" s="22">
        <f>AH18*Constants!$H$31*Constants!$H$37</f>
        <v>689342.38703012699</v>
      </c>
      <c r="AI52" s="22">
        <f>AI18*Constants!$H$31*Constants!$H$37</f>
        <v>694822.46770856006</v>
      </c>
      <c r="AJ52" s="22">
        <f>AJ18*Constants!$H$31*Constants!$H$37</f>
        <v>700366.97792412469</v>
      </c>
      <c r="AK52" s="22">
        <f>AK18*Constants!$H$31*Constants!$H$37</f>
        <v>705980.96459842927</v>
      </c>
      <c r="AL52" s="22">
        <f>AL18*Constants!$H$31*Constants!$H$37</f>
        <v>711668.3504424385</v>
      </c>
      <c r="AM52" s="22">
        <f>AM18*Constants!$H$31*Constants!$H$37</f>
        <v>716606.41069498763</v>
      </c>
      <c r="AN52" s="22">
        <f>AN18*Constants!$H$31*Constants!$H$37</f>
        <v>721599.13803067326</v>
      </c>
      <c r="AO52" s="22">
        <f>AO18*Constants!$H$31*Constants!$H$37</f>
        <v>726647.83273983316</v>
      </c>
      <c r="AP52" s="22">
        <f>AP18*Constants!$H$31*Constants!$H$37</f>
        <v>731759.78027140629</v>
      </c>
      <c r="AQ52" s="22">
        <f>AQ18*Constants!$H$31*Constants!$H$37</f>
        <v>736920.83316748694</v>
      </c>
      <c r="AR52" s="22">
        <f>AR18*Constants!$H$31*Constants!$H$37</f>
        <v>741477.48881555069</v>
      </c>
      <c r="AS52" s="22">
        <f>AS18*Constants!$H$31*Constants!$H$37</f>
        <v>746077.99923210766</v>
      </c>
      <c r="AT52" s="22">
        <f>AT18*Constants!$H$31*Constants!$H$37</f>
        <v>750722.08835958666</v>
      </c>
      <c r="AU52" s="22">
        <f>AU18*Constants!$H$31*Constants!$H$37</f>
        <v>755409.42189444927</v>
      </c>
      <c r="AV52" s="22">
        <f>AV18*Constants!$H$31*Constants!$H$37</f>
        <v>760124.77211137849</v>
      </c>
      <c r="AW52" s="22">
        <f>AW18*Constants!$H$31*Constants!$H$37</f>
        <v>764234.63324820134</v>
      </c>
      <c r="AX52" s="22">
        <f>AX18*Constants!$H$31*Constants!$H$37</f>
        <v>768385.53120128368</v>
      </c>
      <c r="AY52" s="22">
        <f>AY18*Constants!$H$31*Constants!$H$37</f>
        <v>772574.65962095675</v>
      </c>
      <c r="AZ52" s="22">
        <f>AZ18*Constants!$H$31*Constants!$H$37</f>
        <v>776790.60077624372</v>
      </c>
      <c r="BA52" s="22">
        <f>BA18*Constants!$H$31*Constants!$H$37</f>
        <v>781039.96666394558</v>
      </c>
      <c r="BB52" s="22">
        <f>BB18*Constants!$H$31*Constants!$H$37</f>
        <v>784708.09804309451</v>
      </c>
      <c r="BC52" s="22">
        <f>BC18*Constants!$H$31*Constants!$H$37</f>
        <v>788408.11233510741</v>
      </c>
      <c r="BD52" s="22">
        <f>BD18*Constants!$H$31*Constants!$H$37</f>
        <v>792142.48639676324</v>
      </c>
      <c r="BE52" s="22">
        <f>BE18*Constants!$H$31*Constants!$H$37</f>
        <v>795910.63840682479</v>
      </c>
      <c r="BF52" s="22">
        <f>BF18*Constants!$H$31*Constants!$H$37</f>
        <v>799717.57578903832</v>
      </c>
      <c r="BG52" s="22">
        <f>BG18*Constants!$H$31*Constants!$H$37</f>
        <v>802925.11062861467</v>
      </c>
      <c r="BH52" s="22">
        <f>BH18*Constants!$H$31*Constants!$H$37</f>
        <v>806160.18170865241</v>
      </c>
      <c r="BI52" s="22">
        <f>BI18*Constants!$H$31*Constants!$H$37</f>
        <v>809410.91624444036</v>
      </c>
      <c r="BJ52" s="22">
        <f>BJ18*Constants!$H$31*Constants!$H$37</f>
        <v>812690.53856323811</v>
      </c>
      <c r="BK52" s="22">
        <f>BK18*Constants!$H$31*Constants!$H$37</f>
        <v>816002.33206204907</v>
      </c>
    </row>
    <row r="53" spans="1:63" x14ac:dyDescent="0.25">
      <c r="A53" t="s">
        <v>861</v>
      </c>
      <c r="B53" t="s">
        <v>321</v>
      </c>
      <c r="C53" s="22">
        <f>C32*Constants!$H$32*Constants!$H$38</f>
        <v>63100</v>
      </c>
      <c r="D53" s="22">
        <f>D32*Constants!$H$32*Constants!$H$38</f>
        <v>65400</v>
      </c>
      <c r="E53" s="22">
        <f>E32*Constants!$H$32*Constants!$H$38</f>
        <v>56350</v>
      </c>
      <c r="F53" s="22">
        <f>F32*Constants!$H$32*Constants!$H$38</f>
        <v>64800</v>
      </c>
      <c r="G53" s="22">
        <f>G32*Constants!$H$32*Constants!$H$38</f>
        <v>59800</v>
      </c>
      <c r="H53" s="22">
        <f>H32*Constants!$H$32*Constants!$H$38</f>
        <v>59500</v>
      </c>
      <c r="I53" s="22">
        <f>I32*Constants!$H$32*Constants!$H$38</f>
        <v>63250</v>
      </c>
      <c r="J53" s="22">
        <f>J32*Constants!$H$32*Constants!$H$38</f>
        <v>63950</v>
      </c>
      <c r="K53" s="22">
        <f>K32*Constants!$H$32*Constants!$H$38</f>
        <v>62500</v>
      </c>
      <c r="L53" s="22">
        <f>L32*Constants!$H$32*Constants!$H$38</f>
        <v>59600</v>
      </c>
      <c r="M53" s="22">
        <f>M32*Constants!$H$32*Constants!$H$38</f>
        <v>61500</v>
      </c>
      <c r="N53" s="22">
        <f>N32*Constants!$H$32*Constants!$H$38</f>
        <v>53450</v>
      </c>
      <c r="O53" s="22">
        <f>O32*Constants!$H$32*Constants!$H$38</f>
        <v>58300</v>
      </c>
      <c r="P53" s="22">
        <f>P32*Constants!$H$32*Constants!$H$38</f>
        <v>67500</v>
      </c>
      <c r="Q53" s="22">
        <f>Q32*Constants!$H$32*Constants!$H$38</f>
        <v>78400</v>
      </c>
      <c r="R53" s="22">
        <f>R32*Constants!$H$32*Constants!$H$38</f>
        <v>79850</v>
      </c>
      <c r="S53" s="22">
        <f>S32*Constants!$H$32*Constants!$H$38</f>
        <v>85700</v>
      </c>
      <c r="T53" s="22">
        <f>T32*Constants!$H$32*Constants!$H$38</f>
        <v>93550</v>
      </c>
      <c r="U53" s="22">
        <f>U32*Constants!$H$32*Constants!$H$38</f>
        <v>90850</v>
      </c>
      <c r="V53" s="22">
        <f>V32*Constants!$H$32*Constants!$H$38</f>
        <v>90350</v>
      </c>
      <c r="W53" s="22">
        <f>W32*Constants!$H$32*Constants!$H$38</f>
        <v>95950</v>
      </c>
      <c r="X53" s="22">
        <f>X32*Constants!$H$32*Constants!$H$38</f>
        <v>102550</v>
      </c>
      <c r="Y53" s="22">
        <f>Y32*Constants!$H$32*Constants!$H$38</f>
        <v>105151.89487167694</v>
      </c>
      <c r="Z53" s="22">
        <f>Z32*Constants!$H$32*Constants!$H$38</f>
        <v>108185.4928133997</v>
      </c>
      <c r="AA53" s="22">
        <f>AA32*Constants!$H$32*Constants!$H$38</f>
        <v>110438.95473855652</v>
      </c>
      <c r="AB53" s="22">
        <f>AB32*Constants!$H$32*Constants!$H$38</f>
        <v>112087.84969207448</v>
      </c>
      <c r="AC53" s="22">
        <f>AC32*Constants!$H$32*Constants!$H$38</f>
        <v>113082.74276974089</v>
      </c>
      <c r="AD53" s="22">
        <f>AD32*Constants!$H$32*Constants!$H$38</f>
        <v>114889.10041331704</v>
      </c>
      <c r="AE53" s="22">
        <f>AE32*Constants!$H$32*Constants!$H$38</f>
        <v>116521.40065670574</v>
      </c>
      <c r="AF53" s="22">
        <f>AF32*Constants!$H$32*Constants!$H$38</f>
        <v>118088.85285265982</v>
      </c>
      <c r="AG53" s="22">
        <f>AG32*Constants!$H$32*Constants!$H$38</f>
        <v>106257.4592856252</v>
      </c>
      <c r="AH53" s="22">
        <f>AH32*Constants!$H$32*Constants!$H$38</f>
        <v>109633.96894686461</v>
      </c>
      <c r="AI53" s="22">
        <f>AI32*Constants!$H$32*Constants!$H$38</f>
        <v>112864.96479621562</v>
      </c>
      <c r="AJ53" s="22">
        <f>AJ32*Constants!$H$32*Constants!$H$38</f>
        <v>116187.64727889709</v>
      </c>
      <c r="AK53" s="22">
        <f>AK32*Constants!$H$32*Constants!$H$38</f>
        <v>119779.30687741983</v>
      </c>
      <c r="AL53" s="22">
        <f>AL32*Constants!$H$32*Constants!$H$38</f>
        <v>123770.87522007598</v>
      </c>
      <c r="AM53" s="22">
        <f>AM32*Constants!$H$32*Constants!$H$38</f>
        <v>127978.48908846722</v>
      </c>
      <c r="AN53" s="22">
        <f>AN32*Constants!$H$32*Constants!$H$38</f>
        <v>132474.98355653108</v>
      </c>
      <c r="AO53" s="22">
        <f>AO32*Constants!$H$32*Constants!$H$38</f>
        <v>137294.39730730164</v>
      </c>
      <c r="AP53" s="22">
        <f>AP32*Constants!$H$32*Constants!$H$38</f>
        <v>142715.5919753334</v>
      </c>
      <c r="AQ53" s="22">
        <f>AQ32*Constants!$H$32*Constants!$H$38</f>
        <v>148139.84850970155</v>
      </c>
      <c r="AR53" s="22">
        <f>AR32*Constants!$H$32*Constants!$H$38</f>
        <v>154497.94734983298</v>
      </c>
      <c r="AS53" s="22">
        <f>AS32*Constants!$H$32*Constants!$H$38</f>
        <v>161113.64119582472</v>
      </c>
      <c r="AT53" s="22">
        <f>AT32*Constants!$H$32*Constants!$H$38</f>
        <v>167962.50630910374</v>
      </c>
      <c r="AU53" s="22">
        <f>AU32*Constants!$H$32*Constants!$H$38</f>
        <v>175017.6225662498</v>
      </c>
      <c r="AV53" s="22">
        <f>AV32*Constants!$H$32*Constants!$H$38</f>
        <v>181642.27117052767</v>
      </c>
      <c r="AW53" s="22">
        <f>AW32*Constants!$H$32*Constants!$H$38</f>
        <v>188612.43981653138</v>
      </c>
      <c r="AX53" s="22">
        <f>AX32*Constants!$H$32*Constants!$H$38</f>
        <v>196081.80689883878</v>
      </c>
      <c r="AY53" s="22">
        <f>AY32*Constants!$H$32*Constants!$H$38</f>
        <v>203926.84591432387</v>
      </c>
      <c r="AZ53" s="22">
        <f>AZ32*Constants!$H$32*Constants!$H$38</f>
        <v>211671.44659149647</v>
      </c>
      <c r="BA53" s="22">
        <f>BA32*Constants!$H$32*Constants!$H$38</f>
        <v>219577.51026898477</v>
      </c>
      <c r="BB53" s="22">
        <f>BB32*Constants!$H$32*Constants!$H$38</f>
        <v>227839.1521567009</v>
      </c>
      <c r="BC53" s="22">
        <f>BC32*Constants!$H$32*Constants!$H$38</f>
        <v>236524.6460579246</v>
      </c>
      <c r="BD53" s="22">
        <f>BD32*Constants!$H$32*Constants!$H$38</f>
        <v>245729.91216394905</v>
      </c>
      <c r="BE53" s="22">
        <f>BE32*Constants!$H$32*Constants!$H$38</f>
        <v>255425.62485704321</v>
      </c>
      <c r="BF53" s="22">
        <f>BF32*Constants!$H$32*Constants!$H$38</f>
        <v>265811.22887417767</v>
      </c>
      <c r="BG53" s="22">
        <f>BG32*Constants!$H$32*Constants!$H$38</f>
        <v>276820.96403811156</v>
      </c>
      <c r="BH53" s="22">
        <f>BH32*Constants!$H$32*Constants!$H$38</f>
        <v>288343.8480276136</v>
      </c>
      <c r="BI53" s="22">
        <f>BI32*Constants!$H$32*Constants!$H$38</f>
        <v>299890.71483012493</v>
      </c>
      <c r="BJ53" s="22">
        <f>BJ32*Constants!$H$32*Constants!$H$38</f>
        <v>311999.77231358789</v>
      </c>
      <c r="BK53" s="22">
        <f>BK32*Constants!$H$32*Constants!$H$38</f>
        <v>324802.26459398621</v>
      </c>
    </row>
    <row r="54" spans="1:63" x14ac:dyDescent="0.25">
      <c r="A54" t="s">
        <v>862</v>
      </c>
      <c r="B54" t="s">
        <v>321</v>
      </c>
      <c r="C54" s="22">
        <f>C37*Constants!$H$33*Constants!$H$39</f>
        <v>268800</v>
      </c>
      <c r="D54" s="22">
        <f>D37*Constants!$H$33*Constants!$H$39</f>
        <v>278400</v>
      </c>
      <c r="E54" s="22">
        <f>E37*Constants!$H$33*Constants!$H$39</f>
        <v>285600</v>
      </c>
      <c r="F54" s="22">
        <f>F37*Constants!$H$33*Constants!$H$39</f>
        <v>282000</v>
      </c>
      <c r="G54" s="22">
        <f>G37*Constants!$H$33*Constants!$H$39</f>
        <v>301200</v>
      </c>
      <c r="H54" s="22">
        <f>H37*Constants!$H$33*Constants!$H$39</f>
        <v>348000</v>
      </c>
      <c r="I54" s="22">
        <f>I37*Constants!$H$33*Constants!$H$39</f>
        <v>338400</v>
      </c>
      <c r="J54" s="22">
        <f>J37*Constants!$H$33*Constants!$H$39</f>
        <v>376800</v>
      </c>
      <c r="K54" s="22">
        <f>K37*Constants!$H$33*Constants!$H$39</f>
        <v>387600</v>
      </c>
      <c r="L54" s="22">
        <f>L37*Constants!$H$33*Constants!$H$39</f>
        <v>381600</v>
      </c>
      <c r="M54" s="22">
        <f>M37*Constants!$H$33*Constants!$H$39</f>
        <v>394800</v>
      </c>
      <c r="N54" s="22">
        <f>N37*Constants!$H$33*Constants!$H$39</f>
        <v>396000</v>
      </c>
      <c r="O54" s="22">
        <f>O37*Constants!$H$33*Constants!$H$39</f>
        <v>408000</v>
      </c>
      <c r="P54" s="22">
        <f>P37*Constants!$H$33*Constants!$H$39</f>
        <v>393600</v>
      </c>
      <c r="Q54" s="22">
        <f>Q37*Constants!$H$33*Constants!$H$39</f>
        <v>417600</v>
      </c>
      <c r="R54" s="22">
        <f>R37*Constants!$H$33*Constants!$H$39</f>
        <v>450000</v>
      </c>
      <c r="S54" s="22">
        <f>S37*Constants!$H$33*Constants!$H$39</f>
        <v>494400</v>
      </c>
      <c r="T54" s="22">
        <f>T37*Constants!$H$33*Constants!$H$39</f>
        <v>525600</v>
      </c>
      <c r="U54" s="22">
        <f>U37*Constants!$H$33*Constants!$H$39</f>
        <v>511200</v>
      </c>
      <c r="V54" s="22">
        <f>V37*Constants!$H$33*Constants!$H$39</f>
        <v>484800</v>
      </c>
      <c r="W54" s="22">
        <f>W37*Constants!$H$33*Constants!$H$39</f>
        <v>495600</v>
      </c>
      <c r="X54" s="22">
        <f>X37*Constants!$H$33*Constants!$H$39</f>
        <v>542400</v>
      </c>
      <c r="Y54" s="22">
        <f>Y37*Constants!$H$33*Constants!$H$39</f>
        <v>538829.03477595467</v>
      </c>
      <c r="Z54" s="22">
        <f>Z37*Constants!$H$33*Constants!$H$39</f>
        <v>551395.99695248378</v>
      </c>
      <c r="AA54" s="22">
        <f>AA37*Constants!$H$33*Constants!$H$39</f>
        <v>561907.11773126491</v>
      </c>
      <c r="AB54" s="22">
        <f>AB37*Constants!$H$33*Constants!$H$39</f>
        <v>570864.30308823916</v>
      </c>
      <c r="AC54" s="22">
        <f>AC37*Constants!$H$33*Constants!$H$39</f>
        <v>578133.88326872129</v>
      </c>
      <c r="AD54" s="22">
        <f>AD37*Constants!$H$33*Constants!$H$39</f>
        <v>587863.60604771948</v>
      </c>
      <c r="AE54" s="22">
        <f>AE37*Constants!$H$33*Constants!$H$39</f>
        <v>597163.20143182564</v>
      </c>
      <c r="AF54" s="22">
        <f>AF37*Constants!$H$33*Constants!$H$39</f>
        <v>606355.32774498418</v>
      </c>
      <c r="AG54" s="22">
        <f>AG37*Constants!$H$33*Constants!$H$39</f>
        <v>577759.28148954269</v>
      </c>
      <c r="AH54" s="22">
        <f>AH37*Constants!$H$33*Constants!$H$39</f>
        <v>590802.75991856749</v>
      </c>
      <c r="AI54" s="22">
        <f>AI37*Constants!$H$33*Constants!$H$39</f>
        <v>603475.332037883</v>
      </c>
      <c r="AJ54" s="22">
        <f>AJ37*Constants!$H$33*Constants!$H$39</f>
        <v>616447.79143278848</v>
      </c>
      <c r="AK54" s="22">
        <f>AK37*Constants!$H$33*Constants!$H$39</f>
        <v>630221.6312469712</v>
      </c>
      <c r="AL54" s="22">
        <f>AL37*Constants!$H$33*Constants!$H$39</f>
        <v>645167.33972911106</v>
      </c>
      <c r="AM54" s="22">
        <f>AM37*Constants!$H$33*Constants!$H$39</f>
        <v>660228.76844888402</v>
      </c>
      <c r="AN54" s="22">
        <f>AN37*Constants!$H$33*Constants!$H$39</f>
        <v>676137.79495157499</v>
      </c>
      <c r="AO54" s="22">
        <f>AO37*Constants!$H$33*Constants!$H$39</f>
        <v>692990.92009422905</v>
      </c>
      <c r="AP54" s="22">
        <f>AP37*Constants!$H$33*Constants!$H$39</f>
        <v>711576.51836973324</v>
      </c>
      <c r="AQ54" s="22">
        <f>AQ37*Constants!$H$33*Constants!$H$39</f>
        <v>730202.92091240117</v>
      </c>
      <c r="AR54" s="22">
        <f>AR37*Constants!$H$33*Constants!$H$39</f>
        <v>751057.0778022568</v>
      </c>
      <c r="AS54" s="22">
        <f>AS37*Constants!$H$33*Constants!$H$39</f>
        <v>772663.83032119076</v>
      </c>
      <c r="AT54" s="22">
        <f>AT37*Constants!$H$33*Constants!$H$39</f>
        <v>794954.36709830875</v>
      </c>
      <c r="AU54" s="22">
        <f>AU37*Constants!$H$33*Constants!$H$39</f>
        <v>817852.82376345096</v>
      </c>
      <c r="AV54" s="22">
        <f>AV37*Constants!$H$33*Constants!$H$39</f>
        <v>839560.04434375896</v>
      </c>
      <c r="AW54" s="22">
        <f>AW37*Constants!$H$33*Constants!$H$39</f>
        <v>861841.12635155697</v>
      </c>
      <c r="AX54" s="22">
        <f>AX37*Constants!$H$33*Constants!$H$39</f>
        <v>885551.85824446671</v>
      </c>
      <c r="AY54" s="22">
        <f>AY37*Constants!$H$33*Constants!$H$39</f>
        <v>910343.29211263277</v>
      </c>
      <c r="AZ54" s="22">
        <f>AZ37*Constants!$H$33*Constants!$H$39</f>
        <v>934870.07796529506</v>
      </c>
      <c r="BA54" s="22">
        <f>BA37*Constants!$H$33*Constants!$H$39</f>
        <v>959872.49050069938</v>
      </c>
      <c r="BB54" s="22">
        <f>BB37*Constants!$H$33*Constants!$H$39</f>
        <v>985492.93251995917</v>
      </c>
      <c r="BC54" s="22">
        <f>BC37*Constants!$H$33*Constants!$H$39</f>
        <v>1012325.2994758333</v>
      </c>
      <c r="BD54" s="22">
        <f>BD37*Constants!$H$33*Constants!$H$39</f>
        <v>1040640.7498831587</v>
      </c>
      <c r="BE54" s="22">
        <f>BE37*Constants!$H$33*Constants!$H$39</f>
        <v>1070356.4976600986</v>
      </c>
      <c r="BF54" s="22">
        <f>BF37*Constants!$H$33*Constants!$H$39</f>
        <v>1102036.2631809975</v>
      </c>
      <c r="BG54" s="22">
        <f>BG37*Constants!$H$33*Constants!$H$39</f>
        <v>1135076.7744610603</v>
      </c>
      <c r="BH54" s="22">
        <f>BH37*Constants!$H$33*Constants!$H$39</f>
        <v>1169577.2831166645</v>
      </c>
      <c r="BI54" s="22">
        <f>BI37*Constants!$H$33*Constants!$H$39</f>
        <v>1204155.4543175476</v>
      </c>
      <c r="BJ54" s="22">
        <f>BJ37*Constants!$H$33*Constants!$H$39</f>
        <v>1240332.3160541791</v>
      </c>
      <c r="BK54" s="22">
        <f>BK37*Constants!$H$33*Constants!$H$39</f>
        <v>1278478.8154358377</v>
      </c>
    </row>
    <row r="55" spans="1:63" x14ac:dyDescent="0.25">
      <c r="A55" t="s">
        <v>863</v>
      </c>
      <c r="B55" t="s">
        <v>321</v>
      </c>
      <c r="C55" s="22">
        <f>C42*Constants!$H$34*Constants!$H$40</f>
        <v>633360</v>
      </c>
      <c r="D55" s="22">
        <f>D42*Constants!$H$34*Constants!$H$40</f>
        <v>616720</v>
      </c>
      <c r="E55" s="22">
        <f>E42*Constants!$H$34*Constants!$H$40</f>
        <v>586560</v>
      </c>
      <c r="F55" s="22">
        <f>F42*Constants!$H$34*Constants!$H$40</f>
        <v>600080</v>
      </c>
      <c r="G55" s="22">
        <f>G42*Constants!$H$34*Constants!$H$40</f>
        <v>631280</v>
      </c>
      <c r="H55" s="22">
        <f>H42*Constants!$H$34*Constants!$H$40</f>
        <v>672880</v>
      </c>
      <c r="I55" s="22">
        <f>I42*Constants!$H$34*Constants!$H$40</f>
        <v>726960</v>
      </c>
      <c r="J55" s="22">
        <f>J42*Constants!$H$34*Constants!$H$40</f>
        <v>783120</v>
      </c>
      <c r="K55" s="22">
        <f>K42*Constants!$H$34*Constants!$H$40</f>
        <v>808080</v>
      </c>
      <c r="L55" s="22">
        <f>L42*Constants!$H$34*Constants!$H$40</f>
        <v>835120</v>
      </c>
      <c r="M55" s="22">
        <f>M42*Constants!$H$34*Constants!$H$40</f>
        <v>884000</v>
      </c>
      <c r="N55" s="22">
        <f>N42*Constants!$H$34*Constants!$H$40</f>
        <v>903760</v>
      </c>
      <c r="O55" s="22">
        <f>O42*Constants!$H$34*Constants!$H$40</f>
        <v>931840</v>
      </c>
      <c r="P55" s="22">
        <f>P42*Constants!$H$34*Constants!$H$40</f>
        <v>962000</v>
      </c>
      <c r="Q55" s="22">
        <f>Q42*Constants!$H$34*Constants!$H$40</f>
        <v>1084720</v>
      </c>
      <c r="R55" s="22">
        <f>R42*Constants!$H$34*Constants!$H$40</f>
        <v>1323920</v>
      </c>
      <c r="S55" s="22">
        <f>S42*Constants!$H$34*Constants!$H$40</f>
        <v>1484080</v>
      </c>
      <c r="T55" s="22">
        <f>T42*Constants!$H$34*Constants!$H$40</f>
        <v>1558960</v>
      </c>
      <c r="U55" s="22">
        <f>U42*Constants!$H$34*Constants!$H$40</f>
        <v>1647360</v>
      </c>
      <c r="V55" s="22">
        <f>V42*Constants!$H$34*Constants!$H$40</f>
        <v>1709760</v>
      </c>
      <c r="W55" s="22">
        <f>W42*Constants!$H$34*Constants!$H$40</f>
        <v>1748240</v>
      </c>
      <c r="X55" s="22">
        <f>X42*Constants!$H$34*Constants!$H$40</f>
        <v>1789840</v>
      </c>
      <c r="Y55" s="22">
        <f>Y42*Constants!$H$34*Constants!$H$40</f>
        <v>1521205.0387318556</v>
      </c>
      <c r="Z55" s="22">
        <f>Z42*Constants!$H$34*Constants!$H$40</f>
        <v>1574003.3970463818</v>
      </c>
      <c r="AA55" s="22">
        <f>AA42*Constants!$H$34*Constants!$H$40</f>
        <v>1609967.9721238008</v>
      </c>
      <c r="AB55" s="22">
        <f>AB42*Constants!$H$34*Constants!$H$40</f>
        <v>1632778.5485169189</v>
      </c>
      <c r="AC55" s="22">
        <f>AC42*Constants!$H$34*Constants!$H$40</f>
        <v>1641377.8252472808</v>
      </c>
      <c r="AD55" s="22">
        <f>AD42*Constants!$H$34*Constants!$H$40</f>
        <v>1666596.0715150947</v>
      </c>
      <c r="AE55" s="22">
        <f>AE42*Constants!$H$34*Constants!$H$40</f>
        <v>1687979.4450050069</v>
      </c>
      <c r="AF55" s="22">
        <f>AF42*Constants!$H$34*Constants!$H$40</f>
        <v>1707787.9313988695</v>
      </c>
      <c r="AG55" s="22">
        <f>AG42*Constants!$H$34*Constants!$H$40</f>
        <v>1445339.8728069151</v>
      </c>
      <c r="AH55" s="22">
        <f>AH42*Constants!$H$34*Constants!$H$40</f>
        <v>1506720.2118218504</v>
      </c>
      <c r="AI55" s="22">
        <f>AI42*Constants!$H$34*Constants!$H$40</f>
        <v>1564925.8860374494</v>
      </c>
      <c r="AJ55" s="22">
        <f>AJ42*Constants!$H$34*Constants!$H$40</f>
        <v>1624948.6370814866</v>
      </c>
      <c r="AK55" s="22">
        <f>AK42*Constants!$H$34*Constants!$H$40</f>
        <v>1690519.0977954345</v>
      </c>
      <c r="AL55" s="22">
        <f>AL42*Constants!$H$34*Constants!$H$40</f>
        <v>1764392.0404712975</v>
      </c>
      <c r="AM55" s="22">
        <f>AM42*Constants!$H$34*Constants!$H$40</f>
        <v>1844182.7428099234</v>
      </c>
      <c r="AN55" s="22">
        <f>AN42*Constants!$H$34*Constants!$H$40</f>
        <v>1929967.8898875765</v>
      </c>
      <c r="AO55" s="22">
        <f>AO42*Constants!$H$34*Constants!$H$40</f>
        <v>2022463.1387586202</v>
      </c>
      <c r="AP55" s="22">
        <f>AP42*Constants!$H$34*Constants!$H$40</f>
        <v>2127537.6173881073</v>
      </c>
      <c r="AQ55" s="22">
        <f>AQ42*Constants!$H$34*Constants!$H$40</f>
        <v>2232587.5289890324</v>
      </c>
      <c r="AR55" s="22">
        <f>AR42*Constants!$H$34*Constants!$H$40</f>
        <v>2358433.4003784354</v>
      </c>
      <c r="AS55" s="22">
        <f>AS42*Constants!$H$34*Constants!$H$40</f>
        <v>2489633.4034010288</v>
      </c>
      <c r="AT55" s="22">
        <f>AT42*Constants!$H$34*Constants!$H$40</f>
        <v>2625672.8407204808</v>
      </c>
      <c r="AU55" s="22">
        <f>AU42*Constants!$H$34*Constants!$H$40</f>
        <v>2765984.4615793759</v>
      </c>
      <c r="AV55" s="22">
        <f>AV42*Constants!$H$34*Constants!$H$40</f>
        <v>2897164.8573286771</v>
      </c>
      <c r="AW55" s="22">
        <f>AW42*Constants!$H$34*Constants!$H$40</f>
        <v>3036733.0241972283</v>
      </c>
      <c r="AX55" s="22">
        <f>AX42*Constants!$H$34*Constants!$H$40</f>
        <v>3186756.8632029193</v>
      </c>
      <c r="AY55" s="22">
        <f>AY42*Constants!$H$34*Constants!$H$40</f>
        <v>3344635.7801972586</v>
      </c>
      <c r="AZ55" s="22">
        <f>AZ42*Constants!$H$34*Constants!$H$40</f>
        <v>3500347.3530348963</v>
      </c>
      <c r="BA55" s="22">
        <f>BA42*Constants!$H$34*Constants!$H$40</f>
        <v>3659404.1689871419</v>
      </c>
      <c r="BB55" s="22">
        <f>BB42*Constants!$H$34*Constants!$H$40</f>
        <v>3827016.8887552684</v>
      </c>
      <c r="BC55" s="22">
        <f>BC42*Constants!$H$34*Constants!$H$40</f>
        <v>4003512.5298806648</v>
      </c>
      <c r="BD55" s="22">
        <f>BD42*Constants!$H$34*Constants!$H$40</f>
        <v>4190909.9524439708</v>
      </c>
      <c r="BE55" s="22">
        <f>BE42*Constants!$H$34*Constants!$H$40</f>
        <v>4388591.6131646642</v>
      </c>
      <c r="BF55" s="22">
        <f>BF42*Constants!$H$34*Constants!$H$40</f>
        <v>4600755.5422476679</v>
      </c>
      <c r="BG55" s="22">
        <f>BG42*Constants!$H$34*Constants!$H$40</f>
        <v>4827173.2624189584</v>
      </c>
      <c r="BH55" s="22">
        <f>BH42*Constants!$H$34*Constants!$H$40</f>
        <v>5064365.4379696921</v>
      </c>
      <c r="BI55" s="22">
        <f>BI42*Constants!$H$34*Constants!$H$40</f>
        <v>5302035.0728930766</v>
      </c>
      <c r="BJ55" s="22">
        <f>BJ42*Constants!$H$34*Constants!$H$40</f>
        <v>5551511.20669463</v>
      </c>
      <c r="BK55" s="22">
        <f>BK42*Constants!$H$34*Constants!$H$40</f>
        <v>5815556.364059072</v>
      </c>
    </row>
    <row r="56" spans="1:63" x14ac:dyDescent="0.25">
      <c r="A56" t="s">
        <v>873</v>
      </c>
      <c r="B56" t="s">
        <v>321</v>
      </c>
      <c r="C56" s="22">
        <f>SUM(C50:C55)</f>
        <v>5869585</v>
      </c>
      <c r="D56" s="22">
        <f t="shared" ref="D56:BK56" si="48">SUM(D50:D55)</f>
        <v>6203205</v>
      </c>
      <c r="E56" s="22">
        <f t="shared" si="48"/>
        <v>6211270</v>
      </c>
      <c r="F56" s="22">
        <f t="shared" si="48"/>
        <v>6065070</v>
      </c>
      <c r="G56" s="22">
        <f t="shared" si="48"/>
        <v>5671705</v>
      </c>
      <c r="H56" s="22">
        <f t="shared" si="48"/>
        <v>5466535</v>
      </c>
      <c r="I56" s="22">
        <f t="shared" si="48"/>
        <v>5694815</v>
      </c>
      <c r="J56" s="22">
        <f t="shared" si="48"/>
        <v>5746420</v>
      </c>
      <c r="K56" s="22">
        <f t="shared" si="48"/>
        <v>5792900</v>
      </c>
      <c r="L56" s="22">
        <f t="shared" si="48"/>
        <v>5938930</v>
      </c>
      <c r="M56" s="22">
        <f t="shared" si="48"/>
        <v>6294965</v>
      </c>
      <c r="N56" s="22">
        <f t="shared" si="48"/>
        <v>5899755</v>
      </c>
      <c r="O56" s="22">
        <f t="shared" si="48"/>
        <v>6221665</v>
      </c>
      <c r="P56" s="22">
        <f t="shared" si="48"/>
        <v>6329485</v>
      </c>
      <c r="Q56" s="22">
        <f t="shared" si="48"/>
        <v>6730420</v>
      </c>
      <c r="R56" s="22">
        <f t="shared" si="48"/>
        <v>7351635</v>
      </c>
      <c r="S56" s="22">
        <f t="shared" si="48"/>
        <v>7957970</v>
      </c>
      <c r="T56" s="22">
        <f t="shared" si="48"/>
        <v>8416295</v>
      </c>
      <c r="U56" s="22">
        <f t="shared" si="48"/>
        <v>8195490</v>
      </c>
      <c r="V56" s="22">
        <f t="shared" si="48"/>
        <v>8304590</v>
      </c>
      <c r="W56" s="22">
        <f t="shared" si="48"/>
        <v>8821035</v>
      </c>
      <c r="X56" s="22">
        <f t="shared" si="48"/>
        <v>8803245</v>
      </c>
      <c r="Y56" s="22">
        <f t="shared" si="48"/>
        <v>8906136.9349556658</v>
      </c>
      <c r="Z56" s="22">
        <f t="shared" si="48"/>
        <v>9134407.1135370359</v>
      </c>
      <c r="AA56" s="22">
        <f t="shared" si="48"/>
        <v>9311922.4125736393</v>
      </c>
      <c r="AB56" s="22">
        <f t="shared" si="48"/>
        <v>9450370.4088607803</v>
      </c>
      <c r="AC56" s="22">
        <f t="shared" si="48"/>
        <v>9546511.9545171764</v>
      </c>
      <c r="AD56" s="22">
        <f t="shared" si="48"/>
        <v>9697621.2653495185</v>
      </c>
      <c r="AE56" s="22">
        <f t="shared" si="48"/>
        <v>9837599.5762700364</v>
      </c>
      <c r="AF56" s="22">
        <f t="shared" si="48"/>
        <v>9973787.6018339712</v>
      </c>
      <c r="AG56" s="22">
        <f t="shared" si="48"/>
        <v>9221503.7512454204</v>
      </c>
      <c r="AH56" s="22">
        <f t="shared" si="48"/>
        <v>9469196.3862635158</v>
      </c>
      <c r="AI56" s="22">
        <f t="shared" si="48"/>
        <v>9707506.9078534264</v>
      </c>
      <c r="AJ56" s="22">
        <f t="shared" si="48"/>
        <v>9952176.3318530526</v>
      </c>
      <c r="AK56" s="22">
        <f t="shared" si="48"/>
        <v>10214970.777985428</v>
      </c>
      <c r="AL56" s="22">
        <f t="shared" si="48"/>
        <v>10504580.565109912</v>
      </c>
      <c r="AM56" s="22">
        <f t="shared" si="48"/>
        <v>10805180.081025161</v>
      </c>
      <c r="AN56" s="22">
        <f t="shared" si="48"/>
        <v>11125157.390974188</v>
      </c>
      <c r="AO56" s="22">
        <f t="shared" si="48"/>
        <v>11466772.986074055</v>
      </c>
      <c r="AP56" s="22">
        <f t="shared" si="48"/>
        <v>11848530.997485066</v>
      </c>
      <c r="AQ56" s="22">
        <f t="shared" si="48"/>
        <v>12230709.472321941</v>
      </c>
      <c r="AR56" s="22">
        <f t="shared" si="48"/>
        <v>12672067.004518013</v>
      </c>
      <c r="AS56" s="22">
        <f t="shared" si="48"/>
        <v>13130682.045500742</v>
      </c>
      <c r="AT56" s="22">
        <f t="shared" si="48"/>
        <v>13604935.539263526</v>
      </c>
      <c r="AU56" s="22">
        <f t="shared" si="48"/>
        <v>14093042.810698628</v>
      </c>
      <c r="AV56" s="22">
        <f t="shared" si="48"/>
        <v>14552760.009539394</v>
      </c>
      <c r="AW56" s="22">
        <f t="shared" si="48"/>
        <v>15032680.862900097</v>
      </c>
      <c r="AX56" s="22">
        <f t="shared" si="48"/>
        <v>15545850.586318973</v>
      </c>
      <c r="AY56" s="22">
        <f t="shared" si="48"/>
        <v>16084074.325585481</v>
      </c>
      <c r="AZ56" s="22">
        <f t="shared" si="48"/>
        <v>16615763.852249017</v>
      </c>
      <c r="BA56" s="22">
        <f t="shared" si="48"/>
        <v>17158296.859799832</v>
      </c>
      <c r="BB56" s="22">
        <f t="shared" si="48"/>
        <v>17721807.277768925</v>
      </c>
      <c r="BC56" s="22">
        <f t="shared" si="48"/>
        <v>18313535.034397606</v>
      </c>
      <c r="BD56" s="22">
        <f t="shared" si="48"/>
        <v>18939844.876877047</v>
      </c>
      <c r="BE56" s="22">
        <f t="shared" si="48"/>
        <v>19598791.692711931</v>
      </c>
      <c r="BF56" s="22">
        <f t="shared" si="48"/>
        <v>20303608.928025212</v>
      </c>
      <c r="BG56" s="22">
        <f t="shared" si="48"/>
        <v>21047112.040086847</v>
      </c>
      <c r="BH56" s="22">
        <f t="shared" si="48"/>
        <v>21824728.261008717</v>
      </c>
      <c r="BI56" s="22">
        <f t="shared" si="48"/>
        <v>22604002.531012554</v>
      </c>
      <c r="BJ56" s="22">
        <f t="shared" si="48"/>
        <v>23420644.440760065</v>
      </c>
      <c r="BK56" s="22">
        <f t="shared" si="48"/>
        <v>24283362.174778122</v>
      </c>
    </row>
    <row r="57" spans="1:63" x14ac:dyDescent="0.25">
      <c r="A57" t="s">
        <v>871</v>
      </c>
      <c r="B57" t="s">
        <v>321</v>
      </c>
      <c r="C57" s="22">
        <v>4072000</v>
      </c>
      <c r="D57" s="22">
        <v>4235000</v>
      </c>
      <c r="E57" s="22">
        <v>4455000</v>
      </c>
      <c r="F57" s="22">
        <v>4085000</v>
      </c>
      <c r="G57" s="22">
        <v>3855000</v>
      </c>
      <c r="H57" s="22">
        <v>3877000</v>
      </c>
      <c r="I57" s="22">
        <v>4035000</v>
      </c>
      <c r="J57" s="22">
        <v>3826000</v>
      </c>
      <c r="K57" s="22">
        <v>3001000</v>
      </c>
      <c r="L57" s="22">
        <v>2960000</v>
      </c>
      <c r="M57" s="22">
        <v>2936000</v>
      </c>
      <c r="N57" s="22">
        <v>3263000</v>
      </c>
      <c r="O57" s="22">
        <v>3274000</v>
      </c>
      <c r="P57" s="22">
        <v>3275000</v>
      </c>
      <c r="Q57" s="22">
        <v>3531000</v>
      </c>
      <c r="R57" s="22">
        <v>3543000</v>
      </c>
      <c r="S57" s="22">
        <v>3637000</v>
      </c>
      <c r="T57" s="22">
        <v>3844000</v>
      </c>
      <c r="U57" s="22">
        <v>4220000</v>
      </c>
      <c r="V57" s="22">
        <v>4089000</v>
      </c>
      <c r="W57" s="22">
        <v>4187000</v>
      </c>
      <c r="X57" s="22">
        <v>4344000</v>
      </c>
      <c r="Y57" s="22">
        <v>4429000</v>
      </c>
      <c r="Z57" s="22">
        <v>4436000</v>
      </c>
      <c r="AA57" s="22">
        <v>4767000</v>
      </c>
      <c r="AB57" s="22">
        <v>5087000</v>
      </c>
      <c r="AC57" s="22">
        <v>5551000</v>
      </c>
      <c r="AD57" s="22">
        <v>5004000</v>
      </c>
      <c r="AE57" s="22"/>
      <c r="AF57" s="22"/>
      <c r="AG57" s="22"/>
      <c r="AH57" s="22"/>
      <c r="AI57" s="22"/>
      <c r="AJ57" s="22"/>
      <c r="AK57" s="22"/>
      <c r="AL57" s="22"/>
      <c r="AM57" s="22"/>
      <c r="AN57" s="22"/>
      <c r="AO57" s="22"/>
      <c r="AP57" s="22"/>
      <c r="AQ57" s="22"/>
      <c r="AR57" s="22"/>
      <c r="AS57" s="22"/>
      <c r="AT57" s="22"/>
      <c r="AU57" s="22"/>
      <c r="AV57" s="22"/>
      <c r="AW57" s="22"/>
      <c r="AX57" s="22"/>
      <c r="AY57" s="22"/>
      <c r="AZ57" s="22"/>
      <c r="BA57" s="22"/>
      <c r="BB57" s="22"/>
      <c r="BC57" s="22"/>
      <c r="BD57" s="22"/>
      <c r="BE57" s="22"/>
      <c r="BF57" s="22"/>
      <c r="BG57" s="22"/>
      <c r="BH57" s="22"/>
      <c r="BI57" s="22"/>
      <c r="BJ57" s="22"/>
      <c r="BK57" s="22"/>
    </row>
    <row r="58" spans="1:63" x14ac:dyDescent="0.25">
      <c r="A58" t="s">
        <v>872</v>
      </c>
      <c r="B58" t="s">
        <v>321</v>
      </c>
      <c r="C58" s="22">
        <f>((Data!$AJ$37*'Intermediate calculations'!C56)+Data!$AK$37)</f>
        <v>5251932.2753573991</v>
      </c>
      <c r="D58" s="22">
        <f>((Data!$AJ$37*'Intermediate calculations'!D56)+Data!$AK$37)</f>
        <v>5456645.3617997784</v>
      </c>
      <c r="E58" s="22">
        <f>((Data!$AJ$37*'Intermediate calculations'!E56)+Data!$AK$37)</f>
        <v>5461594.1389778787</v>
      </c>
      <c r="F58" s="22">
        <f>((Data!$AJ$37*'Intermediate calculations'!F56)+Data!$AK$37)</f>
        <v>5371884.1298720818</v>
      </c>
      <c r="G58" s="22">
        <f>((Data!$AJ$37*'Intermediate calculations'!G56)+Data!$AK$37)</f>
        <v>5130510.8211723436</v>
      </c>
      <c r="H58" s="22">
        <f>((Data!$AJ$37*'Intermediate calculations'!H56)+Data!$AK$37)</f>
        <v>5004616.1387630664</v>
      </c>
      <c r="I58" s="22">
        <f>((Data!$AJ$37*'Intermediate calculations'!I56)+Data!$AK$37)</f>
        <v>5144691.384171214</v>
      </c>
      <c r="J58" s="22">
        <f>((Data!$AJ$37*'Intermediate calculations'!J56)+Data!$AK$37)</f>
        <v>5176356.8083839687</v>
      </c>
      <c r="K58" s="22">
        <f>((Data!$AJ$37*'Intermediate calculations'!K56)+Data!$AK$37)</f>
        <v>5204877.4733855929</v>
      </c>
      <c r="L58" s="22">
        <f>((Data!$AJ$37*'Intermediate calculations'!L56)+Data!$AK$37)</f>
        <v>5294483.1685273126</v>
      </c>
      <c r="M58" s="22">
        <f>((Data!$AJ$37*'Intermediate calculations'!M56)+Data!$AK$37)</f>
        <v>5512950.3579389574</v>
      </c>
      <c r="N58" s="22">
        <f>((Data!$AJ$37*'Intermediate calculations'!N56)+Data!$AK$37)</f>
        <v>5270444.9359232113</v>
      </c>
      <c r="O58" s="22">
        <f>((Data!$AJ$37*'Intermediate calculations'!O56)+Data!$AK$37)</f>
        <v>5467972.6310753804</v>
      </c>
      <c r="P58" s="22">
        <f>((Data!$AJ$37*'Intermediate calculations'!P56)+Data!$AK$37)</f>
        <v>5534132.2287620232</v>
      </c>
      <c r="Q58" s="22">
        <f>((Data!$AJ$37*'Intermediate calculations'!Q56)+Data!$AK$37)</f>
        <v>5780150.5769209331</v>
      </c>
      <c r="R58" s="22">
        <f>((Data!$AJ$37*'Intermediate calculations'!R56)+Data!$AK$37)</f>
        <v>6161335.2780608628</v>
      </c>
      <c r="S58" s="22">
        <f>((Data!$AJ$37*'Intermediate calculations'!S56)+Data!$AK$37)</f>
        <v>6533389.4392863307</v>
      </c>
      <c r="T58" s="22">
        <f>((Data!$AJ$37*'Intermediate calculations'!T56)+Data!$AK$37)</f>
        <v>6814622.9544943627</v>
      </c>
      <c r="U58" s="22">
        <f>((Data!$AJ$37*'Intermediate calculations'!U56)+Data!$AK$37)</f>
        <v>6679134.4554478135</v>
      </c>
      <c r="V58" s="22">
        <f>((Data!$AJ$37*'Intermediate calculations'!V56)+Data!$AK$37)</f>
        <v>6746079.475922795</v>
      </c>
      <c r="W58" s="22">
        <f>((Data!$AJ$37*'Intermediate calculations'!W56)+Data!$AK$37)</f>
        <v>7062976.0946139265</v>
      </c>
      <c r="X58" s="22">
        <f>((Data!$AJ$37*'Intermediate calculations'!X56)+Data!$AK$37)</f>
        <v>7052059.9450790975</v>
      </c>
      <c r="Y58" s="22">
        <f>((Data!$AJ$37*'Intermediate calculations'!Y56)+Data!$AK$37)</f>
        <v>7115195.625118671</v>
      </c>
      <c r="Z58" s="22">
        <f>((Data!$AJ$37*'Intermediate calculations'!Z56)+Data!$AK$37)</f>
        <v>7255264.8439908773</v>
      </c>
      <c r="AA58" s="22">
        <f>((Data!$AJ$37*'Intermediate calculations'!AA56)+Data!$AK$37)</f>
        <v>7364190.2823834363</v>
      </c>
      <c r="AB58" s="22">
        <f>((Data!$AJ$37*'Intermediate calculations'!AB56)+Data!$AK$37)</f>
        <v>7449143.5724490918</v>
      </c>
      <c r="AC58" s="22">
        <f>((Data!$AJ$37*'Intermediate calculations'!AC56)+Data!$AK$37)</f>
        <v>7508137.1356247459</v>
      </c>
      <c r="AD58" s="22">
        <f>((Data!$AJ$37*'Intermediate calculations'!AD56)+Data!$AK$37)</f>
        <v>7600859.5545764565</v>
      </c>
      <c r="AE58" s="22">
        <f>((Data!$AJ$37*'Intermediate calculations'!AE56)+Data!$AK$37)</f>
        <v>7686751.8633814752</v>
      </c>
      <c r="AF58" s="22">
        <f>((Data!$AJ$37*'Intermediate calculations'!AF56)+Data!$AK$37)</f>
        <v>7770318.4093010444</v>
      </c>
      <c r="AG58" s="22">
        <f>((Data!$AJ$37*'Intermediate calculations'!AG56)+Data!$AK$37)</f>
        <v>7308708.3471502718</v>
      </c>
      <c r="AH58" s="22">
        <f>((Data!$AJ$37*'Intermediate calculations'!AH56)+Data!$AK$37)</f>
        <v>7460695.4096872918</v>
      </c>
      <c r="AI58" s="22">
        <f>((Data!$AJ$37*'Intermediate calculations'!AI56)+Data!$AK$37)</f>
        <v>7606925.4990295488</v>
      </c>
      <c r="AJ58" s="22">
        <f>((Data!$AJ$37*'Intermediate calculations'!AJ56)+Data!$AK$37)</f>
        <v>7757057.4843572956</v>
      </c>
      <c r="AK58" s="22">
        <f>((Data!$AJ$37*'Intermediate calculations'!AK56)+Data!$AK$37)</f>
        <v>7918311.1926711686</v>
      </c>
      <c r="AL58" s="22">
        <f>((Data!$AJ$37*'Intermediate calculations'!AL56)+Data!$AK$37)</f>
        <v>8096019.1040259264</v>
      </c>
      <c r="AM58" s="22">
        <f>((Data!$AJ$37*'Intermediate calculations'!AM56)+Data!$AK$37)</f>
        <v>8280470.4399353322</v>
      </c>
      <c r="AN58" s="22">
        <f>((Data!$AJ$37*'Intermediate calculations'!AN56)+Data!$AK$37)</f>
        <v>8476812.2141430993</v>
      </c>
      <c r="AO58" s="22">
        <f>((Data!$AJ$37*'Intermediate calculations'!AO56)+Data!$AK$37)</f>
        <v>8686431.4901149962</v>
      </c>
      <c r="AP58" s="22">
        <f>((Data!$AJ$37*'Intermediate calculations'!AP56)+Data!$AK$37)</f>
        <v>8920682.6165164504</v>
      </c>
      <c r="AQ58" s="22">
        <f>((Data!$AJ$37*'Intermediate calculations'!AQ56)+Data!$AK$37)</f>
        <v>9155191.7441337947</v>
      </c>
      <c r="AR58" s="22">
        <f>((Data!$AJ$37*'Intermediate calculations'!AR56)+Data!$AK$37)</f>
        <v>9426013.8250655439</v>
      </c>
      <c r="AS58" s="22">
        <f>((Data!$AJ$37*'Intermediate calculations'!AS56)+Data!$AK$37)</f>
        <v>9707425.3127715364</v>
      </c>
      <c r="AT58" s="22">
        <f>((Data!$AJ$37*'Intermediate calculations'!AT56)+Data!$AK$37)</f>
        <v>9998432.7357805334</v>
      </c>
      <c r="AU58" s="22">
        <f>((Data!$AJ$37*'Intermediate calculations'!AU56)+Data!$AK$37)</f>
        <v>10297940.996827377</v>
      </c>
      <c r="AV58" s="22">
        <f>((Data!$AJ$37*'Intermediate calculations'!AV56)+Data!$AK$37)</f>
        <v>10580028.781328721</v>
      </c>
      <c r="AW58" s="22">
        <f>((Data!$AJ$37*'Intermediate calculations'!AW56)+Data!$AK$37)</f>
        <v>10874513.761664225</v>
      </c>
      <c r="AX58" s="22">
        <f>((Data!$AJ$37*'Intermediate calculations'!AX56)+Data!$AK$37)</f>
        <v>11189400.632804627</v>
      </c>
      <c r="AY58" s="22">
        <f>((Data!$AJ$37*'Intermediate calculations'!AY56)+Data!$AK$37)</f>
        <v>11519660.937527981</v>
      </c>
      <c r="AZ58" s="22">
        <f>((Data!$AJ$37*'Intermediate calculations'!AZ56)+Data!$AK$37)</f>
        <v>11845911.773905838</v>
      </c>
      <c r="BA58" s="22">
        <f>((Data!$AJ$37*'Intermediate calculations'!BA56)+Data!$AK$37)</f>
        <v>12178816.295435106</v>
      </c>
      <c r="BB58" s="22">
        <f>((Data!$AJ$37*'Intermediate calculations'!BB56)+Data!$AK$37)</f>
        <v>12524592.798357259</v>
      </c>
      <c r="BC58" s="22">
        <f>((Data!$AJ$37*'Intermediate calculations'!BC56)+Data!$AK$37)</f>
        <v>12887683.786286889</v>
      </c>
      <c r="BD58" s="22">
        <f>((Data!$AJ$37*'Intermediate calculations'!BD56)+Data!$AK$37)</f>
        <v>13271994.741634911</v>
      </c>
      <c r="BE58" s="22">
        <f>((Data!$AJ$37*'Intermediate calculations'!BE56)+Data!$AK$37)</f>
        <v>13676332.120901555</v>
      </c>
      <c r="BF58" s="22">
        <f>((Data!$AJ$37*'Intermediate calculations'!BF56)+Data!$AK$37)</f>
        <v>14108816.119519046</v>
      </c>
      <c r="BG58" s="22">
        <f>((Data!$AJ$37*'Intermediate calculations'!BG56)+Data!$AK$37)</f>
        <v>14565038.219062394</v>
      </c>
      <c r="BH58" s="22">
        <f>((Data!$AJ$37*'Intermediate calculations'!BH56)+Data!$AK$37)</f>
        <v>15042192.516324475</v>
      </c>
      <c r="BI58" s="22">
        <f>((Data!$AJ$37*'Intermediate calculations'!BI56)+Data!$AK$37)</f>
        <v>15520364.211659342</v>
      </c>
      <c r="BJ58" s="22">
        <f>((Data!$AJ$37*'Intermediate calculations'!BJ56)+Data!$AK$37)</f>
        <v>16021465.122463888</v>
      </c>
      <c r="BK58" s="22">
        <f>((Data!$AJ$37*'Intermediate calculations'!BK56)+Data!$AK$37)</f>
        <v>16550838.691372866</v>
      </c>
    </row>
    <row r="59" spans="1:63" x14ac:dyDescent="0.25">
      <c r="A59" t="s">
        <v>345</v>
      </c>
      <c r="B59" t="s">
        <v>321</v>
      </c>
      <c r="C59" s="22">
        <f>C58+C56</f>
        <v>11121517.275357399</v>
      </c>
      <c r="D59" s="22">
        <f t="shared" ref="D59:BK59" si="49">D58+D56</f>
        <v>11659850.361799778</v>
      </c>
      <c r="E59" s="22">
        <f t="shared" si="49"/>
        <v>11672864.138977878</v>
      </c>
      <c r="F59" s="22">
        <f t="shared" si="49"/>
        <v>11436954.129872082</v>
      </c>
      <c r="G59" s="22">
        <f t="shared" si="49"/>
        <v>10802215.821172344</v>
      </c>
      <c r="H59" s="22">
        <f t="shared" si="49"/>
        <v>10471151.138763066</v>
      </c>
      <c r="I59" s="22">
        <f t="shared" si="49"/>
        <v>10839506.384171214</v>
      </c>
      <c r="J59" s="22">
        <f t="shared" si="49"/>
        <v>10922776.808383968</v>
      </c>
      <c r="K59" s="22">
        <f t="shared" si="49"/>
        <v>10997777.473385593</v>
      </c>
      <c r="L59" s="22">
        <f t="shared" si="49"/>
        <v>11233413.168527313</v>
      </c>
      <c r="M59" s="22">
        <f t="shared" si="49"/>
        <v>11807915.357938956</v>
      </c>
      <c r="N59" s="22">
        <f t="shared" si="49"/>
        <v>11170199.935923211</v>
      </c>
      <c r="O59" s="22">
        <f t="shared" si="49"/>
        <v>11689637.63107538</v>
      </c>
      <c r="P59" s="22">
        <f t="shared" si="49"/>
        <v>11863617.228762023</v>
      </c>
      <c r="Q59" s="22">
        <f t="shared" si="49"/>
        <v>12510570.576920934</v>
      </c>
      <c r="R59" s="22">
        <f t="shared" si="49"/>
        <v>13512970.278060863</v>
      </c>
      <c r="S59" s="22">
        <f t="shared" si="49"/>
        <v>14491359.439286331</v>
      </c>
      <c r="T59" s="22">
        <f t="shared" si="49"/>
        <v>15230917.954494363</v>
      </c>
      <c r="U59" s="22">
        <f t="shared" si="49"/>
        <v>14874624.455447813</v>
      </c>
      <c r="V59" s="22">
        <f t="shared" si="49"/>
        <v>15050669.475922795</v>
      </c>
      <c r="W59" s="22">
        <f t="shared" si="49"/>
        <v>15884011.094613926</v>
      </c>
      <c r="X59" s="22">
        <f t="shared" si="49"/>
        <v>15855304.945079098</v>
      </c>
      <c r="Y59" s="22">
        <f t="shared" si="49"/>
        <v>16021332.560074337</v>
      </c>
      <c r="Z59" s="22">
        <f t="shared" si="49"/>
        <v>16389671.957527913</v>
      </c>
      <c r="AA59" s="22">
        <f t="shared" si="49"/>
        <v>16676112.694957076</v>
      </c>
      <c r="AB59" s="22">
        <f t="shared" si="49"/>
        <v>16899513.981309872</v>
      </c>
      <c r="AC59" s="22">
        <f t="shared" si="49"/>
        <v>17054649.090141922</v>
      </c>
      <c r="AD59" s="22">
        <f t="shared" si="49"/>
        <v>17298480.819925975</v>
      </c>
      <c r="AE59" s="22">
        <f t="shared" si="49"/>
        <v>17524351.439651512</v>
      </c>
      <c r="AF59" s="22">
        <f t="shared" si="49"/>
        <v>17744106.011135016</v>
      </c>
      <c r="AG59" s="22">
        <f t="shared" si="49"/>
        <v>16530212.098395692</v>
      </c>
      <c r="AH59" s="22">
        <f t="shared" si="49"/>
        <v>16929891.795950808</v>
      </c>
      <c r="AI59" s="22">
        <f t="shared" si="49"/>
        <v>17314432.406882975</v>
      </c>
      <c r="AJ59" s="22">
        <f t="shared" si="49"/>
        <v>17709233.816210348</v>
      </c>
      <c r="AK59" s="22">
        <f t="shared" si="49"/>
        <v>18133281.970656596</v>
      </c>
      <c r="AL59" s="22">
        <f t="shared" si="49"/>
        <v>18600599.669135839</v>
      </c>
      <c r="AM59" s="22">
        <f t="shared" si="49"/>
        <v>19085650.520960495</v>
      </c>
      <c r="AN59" s="22">
        <f t="shared" si="49"/>
        <v>19601969.605117287</v>
      </c>
      <c r="AO59" s="22">
        <f t="shared" si="49"/>
        <v>20153204.476189051</v>
      </c>
      <c r="AP59" s="22">
        <f t="shared" si="49"/>
        <v>20769213.614001516</v>
      </c>
      <c r="AQ59" s="22">
        <f t="shared" si="49"/>
        <v>21385901.216455735</v>
      </c>
      <c r="AR59" s="22">
        <f t="shared" si="49"/>
        <v>22098080.829583555</v>
      </c>
      <c r="AS59" s="22">
        <f t="shared" si="49"/>
        <v>22838107.358272277</v>
      </c>
      <c r="AT59" s="22">
        <f t="shared" si="49"/>
        <v>23603368.275044061</v>
      </c>
      <c r="AU59" s="22">
        <f t="shared" si="49"/>
        <v>24390983.807526007</v>
      </c>
      <c r="AV59" s="22">
        <f t="shared" si="49"/>
        <v>25132788.790868115</v>
      </c>
      <c r="AW59" s="22">
        <f t="shared" si="49"/>
        <v>25907194.62456432</v>
      </c>
      <c r="AX59" s="22">
        <f t="shared" si="49"/>
        <v>26735251.219123602</v>
      </c>
      <c r="AY59" s="22">
        <f t="shared" si="49"/>
        <v>27603735.263113461</v>
      </c>
      <c r="AZ59" s="22">
        <f t="shared" si="49"/>
        <v>28461675.626154855</v>
      </c>
      <c r="BA59" s="22">
        <f t="shared" si="49"/>
        <v>29337113.15523494</v>
      </c>
      <c r="BB59" s="22">
        <f t="shared" si="49"/>
        <v>30246400.076126184</v>
      </c>
      <c r="BC59" s="22">
        <f t="shared" si="49"/>
        <v>31201218.820684493</v>
      </c>
      <c r="BD59" s="22">
        <f t="shared" si="49"/>
        <v>32211839.61851196</v>
      </c>
      <c r="BE59" s="22">
        <f t="shared" si="49"/>
        <v>33275123.813613486</v>
      </c>
      <c r="BF59" s="22">
        <f t="shared" si="49"/>
        <v>34412425.047544256</v>
      </c>
      <c r="BG59" s="22">
        <f t="shared" si="49"/>
        <v>35612150.259149238</v>
      </c>
      <c r="BH59" s="22">
        <f t="shared" si="49"/>
        <v>36866920.777333193</v>
      </c>
      <c r="BI59" s="22">
        <f t="shared" si="49"/>
        <v>38124366.742671892</v>
      </c>
      <c r="BJ59" s="22">
        <f t="shared" si="49"/>
        <v>39442109.563223951</v>
      </c>
      <c r="BK59" s="22">
        <f t="shared" si="49"/>
        <v>40834200.86615099</v>
      </c>
    </row>
    <row r="60" spans="1:63" x14ac:dyDescent="0.25">
      <c r="A60" t="s">
        <v>874</v>
      </c>
      <c r="B60" t="s">
        <v>321</v>
      </c>
      <c r="C60" s="22">
        <f>((Data!$AJ$41*'Intermediate calculations'!C59)+Data!$AK$41)</f>
        <v>13829288.143620679</v>
      </c>
      <c r="D60" s="22">
        <f>((Data!$AJ$41*'Intermediate calculations'!D59)+Data!$AK$41)</f>
        <v>14338345.265431453</v>
      </c>
      <c r="E60" s="22">
        <f>((Data!$AJ$41*'Intermediate calculations'!E59)+Data!$AK$41)</f>
        <v>14350651.319287347</v>
      </c>
      <c r="F60" s="22">
        <f>((Data!$AJ$41*'Intermediate calculations'!F59)+Data!$AK$41)</f>
        <v>14127570.714980846</v>
      </c>
      <c r="G60" s="22">
        <f>((Data!$AJ$41*'Intermediate calculations'!G59)+Data!$AK$41)</f>
        <v>13527351.139652345</v>
      </c>
      <c r="H60" s="22">
        <f>((Data!$AJ$41*'Intermediate calculations'!H59)+Data!$AK$41)</f>
        <v>13214290.622651216</v>
      </c>
      <c r="I60" s="22">
        <f>((Data!$AJ$41*'Intermediate calculations'!I59)+Data!$AK$41)</f>
        <v>13562613.744067688</v>
      </c>
      <c r="J60" s="22">
        <f>((Data!$AJ$41*'Intermediate calculations'!J59)+Data!$AK$41)</f>
        <v>13641355.704295026</v>
      </c>
      <c r="K60" s="22">
        <f>((Data!$AJ$41*'Intermediate calculations'!K59)+Data!$AK$41)</f>
        <v>13712277.636498626</v>
      </c>
      <c r="L60" s="22">
        <f>((Data!$AJ$41*'Intermediate calculations'!L59)+Data!$AK$41)</f>
        <v>13935098.844753608</v>
      </c>
      <c r="M60" s="22">
        <f>((Data!$AJ$41*'Intermediate calculations'!M59)+Data!$AK$41)</f>
        <v>14478358.098886751</v>
      </c>
      <c r="N60" s="22">
        <f>((Data!$AJ$41*'Intermediate calculations'!N59)+Data!$AK$41)</f>
        <v>13875323.313469701</v>
      </c>
      <c r="O60" s="22">
        <f>((Data!$AJ$41*'Intermediate calculations'!O59)+Data!$AK$41)</f>
        <v>14366512.624908183</v>
      </c>
      <c r="P60" s="22">
        <f>((Data!$AJ$41*'Intermediate calculations'!P59)+Data!$AK$41)</f>
        <v>14531030.755936412</v>
      </c>
      <c r="Q60" s="22">
        <f>((Data!$AJ$41*'Intermediate calculations'!Q59)+Data!$AK$41)</f>
        <v>15142801.084853152</v>
      </c>
      <c r="R60" s="22">
        <f>((Data!$AJ$41*'Intermediate calculations'!R59)+Data!$AK$41)</f>
        <v>16090687.662173694</v>
      </c>
      <c r="S60" s="22">
        <f>((Data!$AJ$41*'Intermediate calculations'!S59)+Data!$AK$41)</f>
        <v>17015869.455690674</v>
      </c>
      <c r="T60" s="22">
        <f>((Data!$AJ$41*'Intermediate calculations'!T59)+Data!$AK$41)</f>
        <v>17715208.839882039</v>
      </c>
      <c r="U60" s="22">
        <f>((Data!$AJ$41*'Intermediate calculations'!U59)+Data!$AK$41)</f>
        <v>17378291.51543678</v>
      </c>
      <c r="V60" s="22">
        <f>((Data!$AJ$41*'Intermediate calculations'!V59)+Data!$AK$41)</f>
        <v>17544762.746147033</v>
      </c>
      <c r="W60" s="22">
        <f>((Data!$AJ$41*'Intermediate calculations'!W59)+Data!$AK$41)</f>
        <v>18332785.062775426</v>
      </c>
      <c r="X60" s="22">
        <f>((Data!$AJ$41*'Intermediate calculations'!X59)+Data!$AK$41)</f>
        <v>18305640.028913509</v>
      </c>
      <c r="Y60" s="22">
        <f>((Data!$AJ$41*'Intermediate calculations'!Y59)+Data!$AK$41)</f>
        <v>18462638.626917444</v>
      </c>
      <c r="Z60" s="22">
        <f>((Data!$AJ$41*'Intermediate calculations'!Z59)+Data!$AK$41)</f>
        <v>18810946.762232661</v>
      </c>
      <c r="AA60" s="22">
        <f>((Data!$AJ$41*'Intermediate calculations'!AA59)+Data!$AK$41)</f>
        <v>19081810.101375856</v>
      </c>
      <c r="AB60" s="22">
        <f>((Data!$AJ$41*'Intermediate calculations'!AB59)+Data!$AK$41)</f>
        <v>19293062.240067784</v>
      </c>
      <c r="AC60" s="22">
        <f>((Data!$AJ$41*'Intermediate calculations'!AC59)+Data!$AK$41)</f>
        <v>19439760.694951437</v>
      </c>
      <c r="AD60" s="22">
        <f>((Data!$AJ$41*'Intermediate calculations'!AD59)+Data!$AK$41)</f>
        <v>19670332.215996701</v>
      </c>
      <c r="AE60" s="22">
        <f>((Data!$AJ$41*'Intermediate calculations'!AE59)+Data!$AK$41)</f>
        <v>19883919.399238512</v>
      </c>
      <c r="AF60" s="22">
        <f>((Data!$AJ$41*'Intermediate calculations'!AF59)+Data!$AK$41)</f>
        <v>20091723.140976623</v>
      </c>
      <c r="AG60" s="22">
        <f>((Data!$AJ$41*'Intermediate calculations'!AG59)+Data!$AK$41)</f>
        <v>18943843.961774733</v>
      </c>
      <c r="AH60" s="22">
        <f>((Data!$AJ$41*'Intermediate calculations'!AH59)+Data!$AK$41)</f>
        <v>19321788.029504601</v>
      </c>
      <c r="AI60" s="22">
        <f>((Data!$AJ$41*'Intermediate calculations'!AI59)+Data!$AK$41)</f>
        <v>19685416.31383343</v>
      </c>
      <c r="AJ60" s="22">
        <f>((Data!$AJ$41*'Intermediate calculations'!AJ59)+Data!$AK$41)</f>
        <v>20058747.387439176</v>
      </c>
      <c r="AK60" s="22">
        <f>((Data!$AJ$41*'Intermediate calculations'!AK59)+Data!$AK$41)</f>
        <v>20459734.691485703</v>
      </c>
      <c r="AL60" s="22">
        <f>((Data!$AJ$41*'Intermediate calculations'!AL59)+Data!$AK$41)</f>
        <v>20901638.428317495</v>
      </c>
      <c r="AM60" s="22">
        <f>((Data!$AJ$41*'Intermediate calculations'!AM59)+Data!$AK$41)</f>
        <v>21360310.943123348</v>
      </c>
      <c r="AN60" s="22">
        <f>((Data!$AJ$41*'Intermediate calculations'!AN59)+Data!$AK$41)</f>
        <v>21848551.241808698</v>
      </c>
      <c r="AO60" s="22">
        <f>((Data!$AJ$41*'Intermediate calculations'!AO59)+Data!$AK$41)</f>
        <v>22369808.515375063</v>
      </c>
      <c r="AP60" s="22">
        <f>((Data!$AJ$41*'Intermediate calculations'!AP59)+Data!$AK$41)</f>
        <v>22952317.461232908</v>
      </c>
      <c r="AQ60" s="22">
        <f>((Data!$AJ$41*'Intermediate calculations'!AQ59)+Data!$AK$41)</f>
        <v>23535467.975046501</v>
      </c>
      <c r="AR60" s="22">
        <f>((Data!$AJ$41*'Intermediate calculations'!AR59)+Data!$AK$41)</f>
        <v>24208917.39363423</v>
      </c>
      <c r="AS60" s="22">
        <f>((Data!$AJ$41*'Intermediate calculations'!AS59)+Data!$AK$41)</f>
        <v>24908699.339506172</v>
      </c>
      <c r="AT60" s="22">
        <f>((Data!$AJ$41*'Intermediate calculations'!AT59)+Data!$AK$41)</f>
        <v>25632343.361278214</v>
      </c>
      <c r="AU60" s="22">
        <f>((Data!$AJ$41*'Intermediate calculations'!AU59)+Data!$AK$41)</f>
        <v>26377126.296149209</v>
      </c>
      <c r="AV60" s="22">
        <f>((Data!$AJ$41*'Intermediate calculations'!AV59)+Data!$AK$41)</f>
        <v>27078589.979647771</v>
      </c>
      <c r="AW60" s="22">
        <f>((Data!$AJ$41*'Intermediate calculations'!AW59)+Data!$AK$41)</f>
        <v>27810881.593785927</v>
      </c>
      <c r="AX60" s="22">
        <f>((Data!$AJ$41*'Intermediate calculations'!AX59)+Data!$AK$41)</f>
        <v>28593906.299750932</v>
      </c>
      <c r="AY60" s="22">
        <f>((Data!$AJ$41*'Intermediate calculations'!AY59)+Data!$AK$41)</f>
        <v>29415159.904454604</v>
      </c>
      <c r="AZ60" s="22">
        <f>((Data!$AJ$41*'Intermediate calculations'!AZ59)+Data!$AK$41)</f>
        <v>30226443.221222997</v>
      </c>
      <c r="BA60" s="22">
        <f>((Data!$AJ$41*'Intermediate calculations'!BA59)+Data!$AK$41)</f>
        <v>31054272.162267186</v>
      </c>
      <c r="BB60" s="22">
        <f>((Data!$AJ$41*'Intermediate calculations'!BB59)+Data!$AK$41)</f>
        <v>31914109.676450185</v>
      </c>
      <c r="BC60" s="22">
        <f>((Data!$AJ$41*'Intermediate calculations'!BC59)+Data!$AK$41)</f>
        <v>32817002.87435481</v>
      </c>
      <c r="BD60" s="22">
        <f>((Data!$AJ$41*'Intermediate calculations'!BD59)+Data!$AK$41)</f>
        <v>33772663.463571116</v>
      </c>
      <c r="BE60" s="22">
        <f>((Data!$AJ$41*'Intermediate calculations'!BE59)+Data!$AK$41)</f>
        <v>34778123.476445884</v>
      </c>
      <c r="BF60" s="22">
        <f>((Data!$AJ$41*'Intermediate calculations'!BF59)+Data!$AK$41)</f>
        <v>35853575.287521973</v>
      </c>
      <c r="BG60" s="22">
        <f>((Data!$AJ$41*'Intermediate calculations'!BG59)+Data!$AK$41)</f>
        <v>36988056.296704426</v>
      </c>
      <c r="BH60" s="22">
        <f>((Data!$AJ$41*'Intermediate calculations'!BH59)+Data!$AK$41)</f>
        <v>38174589.104377396</v>
      </c>
      <c r="BI60" s="22">
        <f>((Data!$AJ$41*'Intermediate calculations'!BI59)+Data!$AK$41)</f>
        <v>39363651.861374415</v>
      </c>
      <c r="BJ60" s="22">
        <f>((Data!$AJ$41*'Intermediate calculations'!BJ59)+Data!$AK$41)</f>
        <v>40609732.372513197</v>
      </c>
      <c r="BK60" s="22">
        <f>((Data!$AJ$41*'Intermediate calculations'!BK59)+Data!$AK$41)</f>
        <v>41926118.10063006</v>
      </c>
    </row>
    <row r="61" spans="1:63" x14ac:dyDescent="0.25">
      <c r="A61" t="s">
        <v>367</v>
      </c>
      <c r="B61" t="s">
        <v>361</v>
      </c>
      <c r="C61" s="22">
        <f>((Data!$AJ$42*LN('Intermediate calculations'!C60))+Data!$AK$42)</f>
        <v>3291216.8411945887</v>
      </c>
      <c r="D61" s="22">
        <f>((Data!$AJ$42*LN('Intermediate calculations'!D60))+Data!$AK$42)</f>
        <v>3319070.3486274015</v>
      </c>
      <c r="E61" s="22">
        <f>((Data!$AJ$42*LN('Intermediate calculations'!E60))+Data!$AK$42)</f>
        <v>3319731.3767311443</v>
      </c>
      <c r="F61" s="22">
        <f>((Data!$AJ$42*LN('Intermediate calculations'!F60))+Data!$AK$42)</f>
        <v>3307659.5145521946</v>
      </c>
      <c r="G61" s="22">
        <f>((Data!$AJ$42*LN('Intermediate calculations'!G60))+Data!$AK$42)</f>
        <v>3274207.49275437</v>
      </c>
      <c r="H61" s="22">
        <f>((Data!$AJ$42*LN('Intermediate calculations'!H60))+Data!$AK$42)</f>
        <v>3256165.8317827508</v>
      </c>
      <c r="I61" s="22">
        <f>((Data!$AJ$42*LN('Intermediate calculations'!I60))+Data!$AK$42)</f>
        <v>3276213.4544376917</v>
      </c>
      <c r="J61" s="22">
        <f>((Data!$AJ$42*LN('Intermediate calculations'!J60))+Data!$AK$42)</f>
        <v>3280674.0371948611</v>
      </c>
      <c r="K61" s="22">
        <f>((Data!$AJ$42*LN('Intermediate calculations'!K60))+Data!$AK$42)</f>
        <v>3284669.6459477041</v>
      </c>
      <c r="L61" s="22">
        <f>((Data!$AJ$42*LN('Intermediate calculations'!L60))+Data!$AK$42)</f>
        <v>3297089.8418645374</v>
      </c>
      <c r="M61" s="22">
        <f>((Data!$AJ$42*LN('Intermediate calculations'!M60))+Data!$AK$42)</f>
        <v>3326557.9619940948</v>
      </c>
      <c r="N61" s="22">
        <f>((Data!$AJ$42*LN('Intermediate calculations'!N60))+Data!$AK$42)</f>
        <v>3293777.5166018195</v>
      </c>
      <c r="O61" s="22">
        <f>((Data!$AJ$42*LN('Intermediate calculations'!O60))+Data!$AK$42)</f>
        <v>3320582.5419616979</v>
      </c>
      <c r="P61" s="22">
        <f>((Data!$AJ$42*LN('Intermediate calculations'!P60))+Data!$AK$42)</f>
        <v>3329356.0641698465</v>
      </c>
      <c r="Q61" s="22">
        <f>((Data!$AJ$42*LN('Intermediate calculations'!Q60))+Data!$AK$42)</f>
        <v>3361131.5914097354</v>
      </c>
      <c r="R61" s="22">
        <f>((Data!$AJ$42*LN('Intermediate calculations'!R60))+Data!$AK$42)</f>
        <v>3407914.3370274547</v>
      </c>
      <c r="S61" s="22">
        <f>((Data!$AJ$42*LN('Intermediate calculations'!S60))+Data!$AK$42)</f>
        <v>3450991.0539786909</v>
      </c>
      <c r="T61" s="22">
        <f>((Data!$AJ$42*LN('Intermediate calculations'!T60))+Data!$AK$42)</f>
        <v>3482025.5623515509</v>
      </c>
      <c r="U61" s="22">
        <f>((Data!$AJ$42*LN('Intermediate calculations'!U60))+Data!$AK$42)</f>
        <v>3467230.1714797169</v>
      </c>
      <c r="V61" s="22">
        <f>((Data!$AJ$42*LN('Intermediate calculations'!V60))+Data!$AK$42)</f>
        <v>3474576.1001284774</v>
      </c>
      <c r="W61" s="22">
        <f>((Data!$AJ$42*LN('Intermediate calculations'!W60))+Data!$AK$42)</f>
        <v>3508429.4822034501</v>
      </c>
      <c r="X61" s="22">
        <f>((Data!$AJ$42*LN('Intermediate calculations'!X60))+Data!$AK$42)</f>
        <v>3507287.7345839478</v>
      </c>
      <c r="Y61" s="22">
        <f>((Data!$AJ$42*LN('Intermediate calculations'!Y60))+Data!$AK$42)</f>
        <v>3513867.9719493613</v>
      </c>
      <c r="Z61" s="22">
        <f>((Data!$AJ$42*LN('Intermediate calculations'!Z60))+Data!$AK$42)</f>
        <v>3528268.9349512886</v>
      </c>
      <c r="AA61" s="22">
        <f>((Data!$AJ$42*LN('Intermediate calculations'!AA60))+Data!$AK$42)</f>
        <v>3539284.7812236249</v>
      </c>
      <c r="AB61" s="22">
        <f>((Data!$AJ$42*LN('Intermediate calculations'!AB60))+Data!$AK$42)</f>
        <v>3547768.2800186686</v>
      </c>
      <c r="AC61" s="22">
        <f>((Data!$AJ$42*LN('Intermediate calculations'!AC60))+Data!$AK$42)</f>
        <v>3553604.9469426479</v>
      </c>
      <c r="AD61" s="22">
        <f>((Data!$AJ$42*LN('Intermediate calculations'!AD60))+Data!$AK$42)</f>
        <v>3562690.2264572568</v>
      </c>
      <c r="AE61" s="22">
        <f>((Data!$AJ$42*LN('Intermediate calculations'!AE60))+Data!$AK$42)</f>
        <v>3571011.7468618248</v>
      </c>
      <c r="AF61" s="22">
        <f>((Data!$AJ$42*LN('Intermediate calculations'!AF60))+Data!$AK$42)</f>
        <v>3579022.5907201339</v>
      </c>
      <c r="AG61" s="22">
        <f>((Data!$AJ$42*LN('Intermediate calculations'!AG60))+Data!$AK$42)</f>
        <v>3533693.4635176659</v>
      </c>
      <c r="AH61" s="22">
        <f>((Data!$AJ$42*LN('Intermediate calculations'!AH60))+Data!$AK$42)</f>
        <v>3548914.6746469885</v>
      </c>
      <c r="AI61" s="22">
        <f>((Data!$AJ$42*LN('Intermediate calculations'!AI60))+Data!$AK$42)</f>
        <v>3563280.8729503583</v>
      </c>
      <c r="AJ61" s="22">
        <f>((Data!$AJ$42*LN('Intermediate calculations'!AJ60))+Data!$AK$42)</f>
        <v>3577756.9202960413</v>
      </c>
      <c r="AK61" s="22">
        <f>((Data!$AJ$42*LN('Intermediate calculations'!AK60))+Data!$AK$42)</f>
        <v>3593008.2629493512</v>
      </c>
      <c r="AL61" s="22">
        <f>((Data!$AJ$42*LN('Intermediate calculations'!AL60))+Data!$AK$42)</f>
        <v>3609473.4131203648</v>
      </c>
      <c r="AM61" s="22">
        <f>((Data!$AJ$42*LN('Intermediate calculations'!AM60))+Data!$AK$42)</f>
        <v>3626199.2049999293</v>
      </c>
      <c r="AN61" s="22">
        <f>((Data!$AJ$42*LN('Intermediate calculations'!AN60))+Data!$AK$42)</f>
        <v>3643613.0919897798</v>
      </c>
      <c r="AO61" s="22">
        <f>((Data!$AJ$42*LN('Intermediate calculations'!AO60))+Data!$AK$42)</f>
        <v>3661780.2110454477</v>
      </c>
      <c r="AP61" s="22">
        <f>((Data!$AJ$42*LN('Intermediate calculations'!AP60))+Data!$AK$42)</f>
        <v>3681587.8488482442</v>
      </c>
      <c r="AQ61" s="22">
        <f>((Data!$AJ$42*LN('Intermediate calculations'!AQ60))+Data!$AK$42)</f>
        <v>3700920.0377710853</v>
      </c>
      <c r="AR61" s="22">
        <f>((Data!$AJ$42*LN('Intermediate calculations'!AR60))+Data!$AK$42)</f>
        <v>3722658.455254253</v>
      </c>
      <c r="AS61" s="22">
        <f>((Data!$AJ$42*LN('Intermediate calculations'!AS60))+Data!$AK$42)</f>
        <v>3744615.368161073</v>
      </c>
      <c r="AT61" s="22">
        <f>((Data!$AJ$42*LN('Intermediate calculations'!AT60))+Data!$AK$42)</f>
        <v>3766681.5354240742</v>
      </c>
      <c r="AU61" s="22">
        <f>((Data!$AJ$42*LN('Intermediate calculations'!AU60))+Data!$AK$42)</f>
        <v>3788751.0827675015</v>
      </c>
      <c r="AV61" s="22">
        <f>((Data!$AJ$42*LN('Intermediate calculations'!AV60))+Data!$AK$42)</f>
        <v>3808974.4008505009</v>
      </c>
      <c r="AW61" s="22">
        <f>((Data!$AJ$42*LN('Intermediate calculations'!AW60))+Data!$AK$42)</f>
        <v>3829535.0690253414</v>
      </c>
      <c r="AX61" s="22">
        <f>((Data!$AJ$42*LN('Intermediate calculations'!AX60))+Data!$AK$42)</f>
        <v>3850929.6527274009</v>
      </c>
      <c r="AY61" s="22">
        <f>((Data!$AJ$42*LN('Intermediate calculations'!AY60))+Data!$AK$42)</f>
        <v>3872748.2525441684</v>
      </c>
      <c r="AZ61" s="22">
        <f>((Data!$AJ$42*LN('Intermediate calculations'!AZ60))+Data!$AK$42)</f>
        <v>3893711.8817623798</v>
      </c>
      <c r="BA61" s="22">
        <f>((Data!$AJ$42*LN('Intermediate calculations'!BA60))+Data!$AK$42)</f>
        <v>3914530.871132113</v>
      </c>
      <c r="BB61" s="22">
        <f>((Data!$AJ$42*LN('Intermediate calculations'!BB60))+Data!$AK$42)</f>
        <v>3935575.3073844798</v>
      </c>
      <c r="BC61" s="22">
        <f>((Data!$AJ$42*LN('Intermediate calculations'!BC60))+Data!$AK$42)</f>
        <v>3957071.815643752</v>
      </c>
      <c r="BD61" s="22">
        <f>((Data!$AJ$42*LN('Intermediate calculations'!BD60))+Data!$AK$42)</f>
        <v>3979189.6754788365</v>
      </c>
      <c r="BE61" s="22">
        <f>((Data!$AJ$42*LN('Intermediate calculations'!BE60))+Data!$AK$42)</f>
        <v>4001794.438054543</v>
      </c>
      <c r="BF61" s="22">
        <f>((Data!$AJ$42*LN('Intermediate calculations'!BF60))+Data!$AK$42)</f>
        <v>4025260.5594815463</v>
      </c>
      <c r="BG61" s="22">
        <f>((Data!$AJ$42*LN('Intermediate calculations'!BG60))+Data!$AK$42)</f>
        <v>4049263.7586767729</v>
      </c>
      <c r="BH61" s="22">
        <f>((Data!$AJ$42*LN('Intermediate calculations'!BH60))+Data!$AK$42)</f>
        <v>4073593.0925697926</v>
      </c>
      <c r="BI61" s="22">
        <f>((Data!$AJ$42*LN('Intermediate calculations'!BI60))+Data!$AK$42)</f>
        <v>4097227.2064878009</v>
      </c>
      <c r="BJ61" s="22">
        <f>((Data!$AJ$42*LN('Intermediate calculations'!BJ60))+Data!$AK$42)</f>
        <v>4121240.5272861309</v>
      </c>
      <c r="BK61" s="22">
        <f>((Data!$AJ$42*LN('Intermediate calculations'!BK60))+Data!$AK$42)</f>
        <v>4145821.2024925426</v>
      </c>
    </row>
    <row r="62" spans="1:63" s="52" customFormat="1" x14ac:dyDescent="0.25">
      <c r="A62" s="42" t="s">
        <v>875</v>
      </c>
    </row>
    <row r="63" spans="1:63" x14ac:dyDescent="0.25">
      <c r="A63" t="s">
        <v>848</v>
      </c>
      <c r="B63" t="s">
        <v>327</v>
      </c>
      <c r="Y63" s="22">
        <f>'Levers &amp; variables'!G6</f>
        <v>0.7</v>
      </c>
      <c r="Z63" s="22">
        <f t="shared" ref="Z63:AF63" si="50">Y63+(($AG63-$Y63)/8)</f>
        <v>0.70499999999999996</v>
      </c>
      <c r="AA63" s="22">
        <f t="shared" si="50"/>
        <v>0.71</v>
      </c>
      <c r="AB63" s="22">
        <f t="shared" si="50"/>
        <v>0.71499999999999997</v>
      </c>
      <c r="AC63" s="22">
        <f t="shared" si="50"/>
        <v>0.72</v>
      </c>
      <c r="AD63" s="22">
        <f t="shared" si="50"/>
        <v>0.72499999999999998</v>
      </c>
      <c r="AE63" s="22">
        <f t="shared" si="50"/>
        <v>0.73</v>
      </c>
      <c r="AF63" s="22">
        <f t="shared" si="50"/>
        <v>0.73499999999999999</v>
      </c>
      <c r="AG63" s="22">
        <f>'Levers &amp; variables'!H6</f>
        <v>0.74</v>
      </c>
      <c r="AH63" s="22">
        <f t="shared" ref="AH63:AP63" si="51">AG63+(($AQ63-$AG63)/10)</f>
        <v>0.74199999999999999</v>
      </c>
      <c r="AI63" s="22">
        <f t="shared" si="51"/>
        <v>0.74399999999999999</v>
      </c>
      <c r="AJ63" s="22">
        <f t="shared" si="51"/>
        <v>0.746</v>
      </c>
      <c r="AK63" s="22">
        <f t="shared" si="51"/>
        <v>0.748</v>
      </c>
      <c r="AL63" s="22">
        <f t="shared" si="51"/>
        <v>0.75</v>
      </c>
      <c r="AM63" s="22">
        <f t="shared" si="51"/>
        <v>0.752</v>
      </c>
      <c r="AN63" s="22">
        <f t="shared" si="51"/>
        <v>0.754</v>
      </c>
      <c r="AO63" s="22">
        <f t="shared" si="51"/>
        <v>0.75600000000000001</v>
      </c>
      <c r="AP63" s="22">
        <f t="shared" si="51"/>
        <v>0.75800000000000001</v>
      </c>
      <c r="AQ63" s="22">
        <f>'Levers &amp; variables'!I6</f>
        <v>0.76</v>
      </c>
      <c r="AR63" s="22">
        <f t="shared" ref="AR63:AZ63" si="52">AQ63+(($BA63-$AQ63)/10)</f>
        <v>0.76400000000000001</v>
      </c>
      <c r="AS63" s="22">
        <f t="shared" si="52"/>
        <v>0.76800000000000002</v>
      </c>
      <c r="AT63" s="22">
        <f t="shared" si="52"/>
        <v>0.77200000000000002</v>
      </c>
      <c r="AU63" s="22">
        <f t="shared" si="52"/>
        <v>0.77600000000000002</v>
      </c>
      <c r="AV63" s="22">
        <f t="shared" si="52"/>
        <v>0.78</v>
      </c>
      <c r="AW63" s="22">
        <f t="shared" si="52"/>
        <v>0.78400000000000003</v>
      </c>
      <c r="AX63" s="22">
        <f t="shared" si="52"/>
        <v>0.78800000000000003</v>
      </c>
      <c r="AY63" s="22">
        <f t="shared" si="52"/>
        <v>0.79200000000000004</v>
      </c>
      <c r="AZ63" s="22">
        <f t="shared" si="52"/>
        <v>0.79600000000000004</v>
      </c>
      <c r="BA63" s="22">
        <f>'Levers &amp; variables'!J6</f>
        <v>0.8</v>
      </c>
      <c r="BB63" s="22">
        <f t="shared" ref="BB63:BJ63" si="53">BA63+(($BK63-$BA63)/10)</f>
        <v>0.80300000000000005</v>
      </c>
      <c r="BC63" s="22">
        <f t="shared" si="53"/>
        <v>0.80600000000000005</v>
      </c>
      <c r="BD63" s="22">
        <f t="shared" si="53"/>
        <v>0.80900000000000005</v>
      </c>
      <c r="BE63" s="22">
        <f t="shared" si="53"/>
        <v>0.81200000000000006</v>
      </c>
      <c r="BF63" s="22">
        <f t="shared" si="53"/>
        <v>0.81500000000000006</v>
      </c>
      <c r="BG63" s="22">
        <f t="shared" si="53"/>
        <v>0.81800000000000006</v>
      </c>
      <c r="BH63" s="22">
        <f t="shared" si="53"/>
        <v>0.82100000000000006</v>
      </c>
      <c r="BI63" s="22">
        <f t="shared" si="53"/>
        <v>0.82400000000000007</v>
      </c>
      <c r="BJ63" s="22">
        <f t="shared" si="53"/>
        <v>0.82700000000000007</v>
      </c>
      <c r="BK63" s="22">
        <f>'Levers &amp; variables'!K6</f>
        <v>0.83</v>
      </c>
    </row>
    <row r="64" spans="1:63" x14ac:dyDescent="0.25">
      <c r="A64" t="s">
        <v>849</v>
      </c>
      <c r="B64" t="s">
        <v>815</v>
      </c>
      <c r="Y64" s="22">
        <f>'Levers &amp; variables'!G7</f>
        <v>0.57999999999999996</v>
      </c>
      <c r="Z64" s="22">
        <f t="shared" ref="Z64:AF64" si="54">Y64+(($AG64-$Y64)/8)</f>
        <v>0.57999999999999996</v>
      </c>
      <c r="AA64" s="22">
        <f t="shared" si="54"/>
        <v>0.57999999999999996</v>
      </c>
      <c r="AB64" s="22">
        <f t="shared" si="54"/>
        <v>0.57999999999999996</v>
      </c>
      <c r="AC64" s="22">
        <f t="shared" si="54"/>
        <v>0.57999999999999996</v>
      </c>
      <c r="AD64" s="22">
        <f t="shared" si="54"/>
        <v>0.57999999999999996</v>
      </c>
      <c r="AE64" s="22">
        <f t="shared" si="54"/>
        <v>0.57999999999999996</v>
      </c>
      <c r="AF64" s="22">
        <f t="shared" si="54"/>
        <v>0.57999999999999996</v>
      </c>
      <c r="AG64" s="22">
        <f>'Levers &amp; variables'!H7</f>
        <v>0.57999999999999996</v>
      </c>
      <c r="AH64" s="22">
        <f t="shared" ref="AH64:AP64" si="55">AG64+(($AQ64-$AG64)/10)</f>
        <v>0.57999999999999996</v>
      </c>
      <c r="AI64" s="22">
        <f t="shared" si="55"/>
        <v>0.57999999999999996</v>
      </c>
      <c r="AJ64" s="22">
        <f t="shared" si="55"/>
        <v>0.57999999999999996</v>
      </c>
      <c r="AK64" s="22">
        <f t="shared" si="55"/>
        <v>0.57999999999999996</v>
      </c>
      <c r="AL64" s="22">
        <f t="shared" si="55"/>
        <v>0.57999999999999996</v>
      </c>
      <c r="AM64" s="22">
        <f t="shared" si="55"/>
        <v>0.57999999999999996</v>
      </c>
      <c r="AN64" s="22">
        <f t="shared" si="55"/>
        <v>0.57999999999999996</v>
      </c>
      <c r="AO64" s="22">
        <f t="shared" si="55"/>
        <v>0.57999999999999996</v>
      </c>
      <c r="AP64" s="22">
        <f t="shared" si="55"/>
        <v>0.57999999999999996</v>
      </c>
      <c r="AQ64" s="22">
        <f>'Levers &amp; variables'!I7</f>
        <v>0.57999999999999996</v>
      </c>
      <c r="AR64" s="22">
        <f t="shared" ref="AR64:AZ64" si="56">AQ64+(($BA64-$AQ64)/10)</f>
        <v>0.57999999999999996</v>
      </c>
      <c r="AS64" s="22">
        <f t="shared" si="56"/>
        <v>0.57999999999999996</v>
      </c>
      <c r="AT64" s="22">
        <f t="shared" si="56"/>
        <v>0.57999999999999996</v>
      </c>
      <c r="AU64" s="22">
        <f t="shared" si="56"/>
        <v>0.57999999999999996</v>
      </c>
      <c r="AV64" s="22">
        <f t="shared" si="56"/>
        <v>0.57999999999999996</v>
      </c>
      <c r="AW64" s="22">
        <f t="shared" si="56"/>
        <v>0.57999999999999996</v>
      </c>
      <c r="AX64" s="22">
        <f t="shared" si="56"/>
        <v>0.57999999999999996</v>
      </c>
      <c r="AY64" s="22">
        <f t="shared" si="56"/>
        <v>0.57999999999999996</v>
      </c>
      <c r="AZ64" s="22">
        <f t="shared" si="56"/>
        <v>0.57999999999999996</v>
      </c>
      <c r="BA64" s="22">
        <f>'Levers &amp; variables'!J7</f>
        <v>0.57999999999999996</v>
      </c>
      <c r="BB64" s="22">
        <f t="shared" ref="BB64:BJ64" si="57">BA64+(($BK64-$BA64)/10)</f>
        <v>0.57999999999999996</v>
      </c>
      <c r="BC64" s="22">
        <f t="shared" si="57"/>
        <v>0.57999999999999996</v>
      </c>
      <c r="BD64" s="22">
        <f t="shared" si="57"/>
        <v>0.57999999999999996</v>
      </c>
      <c r="BE64" s="22">
        <f t="shared" si="57"/>
        <v>0.57999999999999996</v>
      </c>
      <c r="BF64" s="22">
        <f t="shared" si="57"/>
        <v>0.57999999999999996</v>
      </c>
      <c r="BG64" s="22">
        <f t="shared" si="57"/>
        <v>0.57999999999999996</v>
      </c>
      <c r="BH64" s="22">
        <f t="shared" si="57"/>
        <v>0.57999999999999996</v>
      </c>
      <c r="BI64" s="22">
        <f t="shared" si="57"/>
        <v>0.57999999999999996</v>
      </c>
      <c r="BJ64" s="22">
        <f t="shared" si="57"/>
        <v>0.57999999999999996</v>
      </c>
      <c r="BK64" s="22">
        <f>'Levers &amp; variables'!K7</f>
        <v>0.57999999999999996</v>
      </c>
    </row>
    <row r="65" spans="1:63" x14ac:dyDescent="0.25">
      <c r="A65" t="s">
        <v>850</v>
      </c>
      <c r="B65" t="s">
        <v>851</v>
      </c>
      <c r="Y65" s="22">
        <f>'Levers &amp; variables'!G8</f>
        <v>120</v>
      </c>
      <c r="Z65" s="22">
        <f t="shared" ref="Z65:AF65" si="58">Y65+(($AG65-$Y65)/8)</f>
        <v>120</v>
      </c>
      <c r="AA65" s="22">
        <f t="shared" si="58"/>
        <v>120</v>
      </c>
      <c r="AB65" s="22">
        <f t="shared" si="58"/>
        <v>120</v>
      </c>
      <c r="AC65" s="22">
        <f t="shared" si="58"/>
        <v>120</v>
      </c>
      <c r="AD65" s="22">
        <f t="shared" si="58"/>
        <v>120</v>
      </c>
      <c r="AE65" s="22">
        <f t="shared" si="58"/>
        <v>120</v>
      </c>
      <c r="AF65" s="22">
        <f t="shared" si="58"/>
        <v>120</v>
      </c>
      <c r="AG65" s="22">
        <f>'Levers &amp; variables'!H8</f>
        <v>120</v>
      </c>
      <c r="AH65" s="22">
        <f t="shared" ref="AH65:AP65" si="59">AG65+(($AQ65-$AG65)/10)</f>
        <v>120</v>
      </c>
      <c r="AI65" s="22">
        <f t="shared" si="59"/>
        <v>120</v>
      </c>
      <c r="AJ65" s="22">
        <f t="shared" si="59"/>
        <v>120</v>
      </c>
      <c r="AK65" s="22">
        <f t="shared" si="59"/>
        <v>120</v>
      </c>
      <c r="AL65" s="22">
        <f t="shared" si="59"/>
        <v>120</v>
      </c>
      <c r="AM65" s="22">
        <f t="shared" si="59"/>
        <v>120</v>
      </c>
      <c r="AN65" s="22">
        <f t="shared" si="59"/>
        <v>120</v>
      </c>
      <c r="AO65" s="22">
        <f t="shared" si="59"/>
        <v>120</v>
      </c>
      <c r="AP65" s="22">
        <f t="shared" si="59"/>
        <v>120</v>
      </c>
      <c r="AQ65" s="22">
        <f>'Levers &amp; variables'!I8</f>
        <v>120</v>
      </c>
      <c r="AR65" s="22">
        <f t="shared" ref="AR65:AZ65" si="60">AQ65+(($BA65-$AQ65)/10)</f>
        <v>120</v>
      </c>
      <c r="AS65" s="22">
        <f t="shared" si="60"/>
        <v>120</v>
      </c>
      <c r="AT65" s="22">
        <f t="shared" si="60"/>
        <v>120</v>
      </c>
      <c r="AU65" s="22">
        <f t="shared" si="60"/>
        <v>120</v>
      </c>
      <c r="AV65" s="22">
        <f t="shared" si="60"/>
        <v>120</v>
      </c>
      <c r="AW65" s="22">
        <f t="shared" si="60"/>
        <v>120</v>
      </c>
      <c r="AX65" s="22">
        <f t="shared" si="60"/>
        <v>120</v>
      </c>
      <c r="AY65" s="22">
        <f t="shared" si="60"/>
        <v>120</v>
      </c>
      <c r="AZ65" s="22">
        <f t="shared" si="60"/>
        <v>120</v>
      </c>
      <c r="BA65" s="22">
        <f>'Levers &amp; variables'!J8</f>
        <v>120</v>
      </c>
      <c r="BB65" s="22">
        <f t="shared" ref="BB65:BJ65" si="61">BA65+(($BK65-$BA65)/10)</f>
        <v>120</v>
      </c>
      <c r="BC65" s="22">
        <f t="shared" si="61"/>
        <v>120</v>
      </c>
      <c r="BD65" s="22">
        <f t="shared" si="61"/>
        <v>120</v>
      </c>
      <c r="BE65" s="22">
        <f t="shared" si="61"/>
        <v>120</v>
      </c>
      <c r="BF65" s="22">
        <f t="shared" si="61"/>
        <v>120</v>
      </c>
      <c r="BG65" s="22">
        <f t="shared" si="61"/>
        <v>120</v>
      </c>
      <c r="BH65" s="22">
        <f t="shared" si="61"/>
        <v>120</v>
      </c>
      <c r="BI65" s="22">
        <f t="shared" si="61"/>
        <v>120</v>
      </c>
      <c r="BJ65" s="22">
        <f t="shared" si="61"/>
        <v>120</v>
      </c>
      <c r="BK65" s="22">
        <f>'Levers &amp; variables'!K8</f>
        <v>120</v>
      </c>
    </row>
  </sheetData>
  <pageMargins left="0.7" right="0.7" top="0.75" bottom="0.75" header="0.3" footer="0.3"/>
  <pageSetup paperSize="9" orientation="portrait" r:id="rId1"/>
  <extLst>
    <ext xmlns:x14="http://schemas.microsoft.com/office/spreadsheetml/2009/9/main" uri="{05C60535-1F16-4fd2-B633-F4F36F0B64E0}">
      <x14:sparklineGroups xmlns:xm="http://schemas.microsoft.com/office/excel/2006/main">
        <x14:sparklineGroup displayEmptyCellsAs="gap" xr2:uid="{00000000-0003-0000-0900-000001000000}">
          <x14:colorSeries rgb="FF376092"/>
          <x14:colorNegative rgb="FFD00000"/>
          <x14:colorAxis rgb="FF000000"/>
          <x14:colorMarkers rgb="FFD00000"/>
          <x14:colorFirst rgb="FFD00000"/>
          <x14:colorLast rgb="FFD00000"/>
          <x14:colorHigh rgb="FFD00000"/>
          <x14:colorLow rgb="FFD00000"/>
          <x14:sparklines>
            <x14:sparkline>
              <xm:f>'Intermediate calculations'!C5:BK5</xm:f>
              <xm:sqref>BM5</xm:sqref>
            </x14:sparkline>
            <x14:sparkline>
              <xm:f>'Intermediate calculations'!C6:BK6</xm:f>
              <xm:sqref>BM6</xm:sqref>
            </x14:sparkline>
            <x14:sparkline>
              <xm:f>'Intermediate calculations'!C7:BK7</xm:f>
              <xm:sqref>BM7</xm:sqref>
            </x14:sparkline>
            <x14:sparkline>
              <xm:f>'Intermediate calculations'!C8:BK8</xm:f>
              <xm:sqref>BM8</xm:sqref>
            </x14:sparkline>
            <x14:sparkline>
              <xm:f>'Intermediate calculations'!C9:BK9</xm:f>
              <xm:sqref>BM9</xm:sqref>
            </x14:sparkline>
            <x14:sparkline>
              <xm:f>'Intermediate calculations'!C10:BK10</xm:f>
              <xm:sqref>BM10</xm:sqref>
            </x14:sparkline>
            <x14:sparkline>
              <xm:f>'Intermediate calculations'!C11:BK11</xm:f>
              <xm:sqref>BM11</xm:sqref>
            </x14:sparkline>
          </x14:sparklines>
        </x14:sparklineGroup>
      </x14:sparklineGroup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0" tint="-0.499984740745262"/>
  </sheetPr>
  <dimension ref="A1:AK70"/>
  <sheetViews>
    <sheetView workbookViewId="0">
      <pane xSplit="2" ySplit="3" topLeftCell="R29" activePane="bottomRight" state="frozen"/>
      <selection pane="topRight" activeCell="C1" sqref="C1"/>
      <selection pane="bottomLeft" activeCell="A4" sqref="A4"/>
      <selection pane="bottomRight" activeCell="C54" sqref="C54:AD54"/>
    </sheetView>
  </sheetViews>
  <sheetFormatPr defaultRowHeight="15" outlineLevelCol="1" x14ac:dyDescent="0.25"/>
  <cols>
    <col min="1" max="1" width="29.5703125" customWidth="1"/>
    <col min="2" max="2" width="12.85546875" customWidth="1"/>
    <col min="3" max="22" width="12.7109375" customWidth="1" outlineLevel="1"/>
    <col min="23" max="29" width="12.7109375" customWidth="1"/>
    <col min="30" max="34" width="13.85546875" customWidth="1"/>
    <col min="36" max="36" width="12.7109375" bestFit="1" customWidth="1"/>
    <col min="37" max="37" width="11.7109375" bestFit="1" customWidth="1"/>
  </cols>
  <sheetData>
    <row r="1" spans="1:37" ht="18.75" x14ac:dyDescent="0.3">
      <c r="A1" s="1" t="s">
        <v>806</v>
      </c>
    </row>
    <row r="2" spans="1:37" x14ac:dyDescent="0.25">
      <c r="K2">
        <v>1</v>
      </c>
      <c r="L2">
        <v>2</v>
      </c>
      <c r="M2">
        <v>3</v>
      </c>
      <c r="N2">
        <v>4</v>
      </c>
      <c r="O2">
        <v>5</v>
      </c>
      <c r="P2">
        <v>6</v>
      </c>
      <c r="Q2">
        <v>7</v>
      </c>
      <c r="R2">
        <v>8</v>
      </c>
      <c r="S2">
        <v>9</v>
      </c>
      <c r="T2">
        <v>10</v>
      </c>
      <c r="U2">
        <v>11</v>
      </c>
      <c r="V2">
        <v>12</v>
      </c>
      <c r="W2">
        <v>13</v>
      </c>
      <c r="X2">
        <v>14</v>
      </c>
      <c r="Y2">
        <v>15</v>
      </c>
      <c r="Z2">
        <v>16</v>
      </c>
      <c r="AA2">
        <v>17</v>
      </c>
      <c r="AB2">
        <v>18</v>
      </c>
      <c r="AC2">
        <v>19</v>
      </c>
      <c r="AD2">
        <v>20</v>
      </c>
    </row>
    <row r="3" spans="1:37" s="19" customFormat="1" ht="29.25" customHeight="1" x14ac:dyDescent="0.25">
      <c r="A3" s="17" t="s">
        <v>325</v>
      </c>
      <c r="B3" s="17" t="s">
        <v>0</v>
      </c>
      <c r="C3" s="17">
        <v>1990</v>
      </c>
      <c r="D3" s="17">
        <v>1991</v>
      </c>
      <c r="E3" s="17">
        <v>1992</v>
      </c>
      <c r="F3" s="17">
        <v>1993</v>
      </c>
      <c r="G3" s="17">
        <v>1994</v>
      </c>
      <c r="H3" s="17">
        <v>1995</v>
      </c>
      <c r="I3" s="17">
        <v>1996</v>
      </c>
      <c r="J3" s="17">
        <v>1997</v>
      </c>
      <c r="K3" s="17">
        <v>1998</v>
      </c>
      <c r="L3" s="17">
        <v>1999</v>
      </c>
      <c r="M3" s="17">
        <v>2000</v>
      </c>
      <c r="N3" s="17">
        <v>2001</v>
      </c>
      <c r="O3" s="17">
        <v>2002</v>
      </c>
      <c r="P3" s="17">
        <v>2003</v>
      </c>
      <c r="Q3" s="17">
        <v>2004</v>
      </c>
      <c r="R3" s="17">
        <v>2005</v>
      </c>
      <c r="S3" s="17">
        <v>2006</v>
      </c>
      <c r="T3" s="17">
        <v>2007</v>
      </c>
      <c r="U3" s="17">
        <v>2008</v>
      </c>
      <c r="V3" s="17">
        <v>2009</v>
      </c>
      <c r="W3" s="17">
        <v>2010</v>
      </c>
      <c r="X3" s="17">
        <v>2011</v>
      </c>
      <c r="Y3" s="17">
        <v>2012</v>
      </c>
      <c r="Z3" s="17">
        <v>2013</v>
      </c>
      <c r="AA3" s="17">
        <v>2014</v>
      </c>
      <c r="AB3" s="17">
        <v>2015</v>
      </c>
      <c r="AC3" s="17">
        <v>2016</v>
      </c>
      <c r="AD3" s="17">
        <v>2017</v>
      </c>
      <c r="AE3" s="17">
        <v>2020</v>
      </c>
      <c r="AF3" s="17">
        <v>2030</v>
      </c>
      <c r="AG3" s="17">
        <v>2040</v>
      </c>
      <c r="AH3" s="17">
        <v>2050</v>
      </c>
      <c r="AJ3" s="19" t="s">
        <v>447</v>
      </c>
      <c r="AK3" s="19" t="s">
        <v>448</v>
      </c>
    </row>
    <row r="4" spans="1:37" x14ac:dyDescent="0.25">
      <c r="A4" s="23" t="str">
        <f>'Intermediate calculations'!A4</f>
        <v>Wealth (GDP)</v>
      </c>
      <c r="B4" t="str">
        <f>'Intermediate calculations'!B4</f>
        <v>GDP/capita</v>
      </c>
      <c r="C4">
        <f>'Intermediate calculations'!C4</f>
        <v>38.96668606596554</v>
      </c>
      <c r="D4">
        <f>'Intermediate calculations'!D4</f>
        <v>39.15839909936151</v>
      </c>
      <c r="E4">
        <f>'Intermediate calculations'!E4</f>
        <v>39.338545462945582</v>
      </c>
      <c r="F4">
        <f>'Intermediate calculations'!F4</f>
        <v>39.536098196595873</v>
      </c>
      <c r="G4">
        <f>'Intermediate calculations'!G4</f>
        <v>39.788245719105959</v>
      </c>
      <c r="H4">
        <f>'Intermediate calculations'!H4</f>
        <v>40.119742210628822</v>
      </c>
      <c r="I4">
        <f>'Intermediate calculations'!I4</f>
        <v>41.007834549485686</v>
      </c>
      <c r="J4">
        <f>'Intermediate calculations'!J4</f>
        <v>41.343449254622662</v>
      </c>
      <c r="K4">
        <f>'Intermediate calculations'!K4</f>
        <v>40.970651743422628</v>
      </c>
      <c r="L4">
        <f>'Intermediate calculations'!L4</f>
        <v>41.454052960083345</v>
      </c>
      <c r="M4">
        <f>'Intermediate calculations'!M4</f>
        <v>42.67250737621562</v>
      </c>
      <c r="N4">
        <f>'Intermediate calculations'!N4</f>
        <v>43.328446600150649</v>
      </c>
      <c r="O4">
        <f>'Intermediate calculations'!O4</f>
        <v>44.410238344525148</v>
      </c>
      <c r="P4">
        <f>'Intermediate calculations'!P4</f>
        <v>45.178012991044703</v>
      </c>
      <c r="Q4">
        <f>'Intermediate calculations'!Q4</f>
        <v>46.638548392745832</v>
      </c>
      <c r="R4">
        <f>'Intermediate calculations'!R4</f>
        <v>48.511998091639704</v>
      </c>
      <c r="S4">
        <f>'Intermediate calculations'!S4</f>
        <v>50.550052099115234</v>
      </c>
      <c r="T4">
        <f>'Intermediate calculations'!T4</f>
        <v>52.688735600202499</v>
      </c>
      <c r="U4">
        <f>'Intermediate calculations'!U4</f>
        <v>53.946299970070584</v>
      </c>
      <c r="V4">
        <f>'Intermediate calculations'!V4</f>
        <v>52.486723389004794</v>
      </c>
      <c r="W4">
        <f>'Intermediate calculations'!W4</f>
        <v>53.321508829093538</v>
      </c>
      <c r="X4">
        <f>'Intermediate calculations'!X4</f>
        <v>54.316382696129395</v>
      </c>
      <c r="Y4">
        <f>'Intermediate calculations'!Y4</f>
        <v>55.299399175950342</v>
      </c>
      <c r="Z4">
        <f>'Intermediate calculations'!Z4</f>
        <v>55.926160382808312</v>
      </c>
      <c r="AA4">
        <f>'Intermediate calculations'!AA4</f>
        <v>56.204513680048407</v>
      </c>
      <c r="AB4">
        <f>'Intermediate calculations'!AB4</f>
        <v>56.216855593021982</v>
      </c>
      <c r="AC4">
        <f>'Intermediate calculations'!AC4</f>
        <v>55.955409974487146</v>
      </c>
      <c r="AD4">
        <f>'Intermediate calculations'!AD4</f>
        <v>55.984220692619765</v>
      </c>
      <c r="AE4">
        <f>'Intermediate calculations'!AG4</f>
        <v>50.967178304763486</v>
      </c>
      <c r="AF4">
        <f>'Intermediate calculations'!AQ4</f>
        <v>60.871777721410133</v>
      </c>
      <c r="AG4">
        <f>'Intermediate calculations'!BA4</f>
        <v>78.702506806672687</v>
      </c>
      <c r="AH4">
        <f>'Intermediate calculations'!BK4</f>
        <v>104.87299731132799</v>
      </c>
    </row>
    <row r="5" spans="1:37" x14ac:dyDescent="0.25">
      <c r="A5" s="23" t="str">
        <f>'Intermediate calculations'!A6</f>
        <v>Beef consumption</v>
      </c>
      <c r="B5" t="str">
        <f>'Intermediate calculations'!B6</f>
        <v>t/capita</v>
      </c>
      <c r="C5">
        <f>C13/Drivers!D4</f>
        <v>1.8151922844328049E-2</v>
      </c>
      <c r="D5">
        <f>D13/Drivers!E4</f>
        <v>1.8929477093079208E-2</v>
      </c>
      <c r="E5">
        <f>E13/Drivers!F4</f>
        <v>1.9160849435363898E-2</v>
      </c>
      <c r="F5">
        <f>F13/Drivers!G4</f>
        <v>1.8115873466426971E-2</v>
      </c>
      <c r="G5">
        <f>G13/Drivers!H4</f>
        <v>1.6344518185421236E-2</v>
      </c>
      <c r="H5">
        <f>H13/Drivers!I4</f>
        <v>1.4166508067741876E-2</v>
      </c>
      <c r="I5">
        <f>I13/Drivers!J4</f>
        <v>1.3991142399503649E-2</v>
      </c>
      <c r="J5">
        <f>J13/Drivers!K4</f>
        <v>1.3329468330311484E-2</v>
      </c>
      <c r="K5">
        <f>K13/Drivers!L4</f>
        <v>1.2819849522437712E-2</v>
      </c>
      <c r="L5">
        <f>L13/Drivers!M4</f>
        <v>1.2607541028129859E-2</v>
      </c>
      <c r="M5">
        <f>M13/Drivers!N4</f>
        <v>1.4921819008431562E-2</v>
      </c>
      <c r="N5">
        <f>N13/Drivers!O4</f>
        <v>1.21567810458843E-2</v>
      </c>
      <c r="O5">
        <f>O13/Drivers!P4</f>
        <v>1.3044162311588505E-2</v>
      </c>
      <c r="P5">
        <f>P13/Drivers!Q4</f>
        <v>1.3763079313265579E-2</v>
      </c>
      <c r="Q5">
        <f>Q13/Drivers!R4</f>
        <v>1.4273144855926876E-2</v>
      </c>
      <c r="R5">
        <f>R13/Drivers!S4</f>
        <v>1.5100061087370227E-2</v>
      </c>
      <c r="S5">
        <f>S13/Drivers!T4</f>
        <v>1.701400710616301E-2</v>
      </c>
      <c r="T5">
        <f>T13/Drivers!U4</f>
        <v>1.7610021254379524E-2</v>
      </c>
      <c r="U5">
        <f>U13/Drivers!V4</f>
        <v>1.5407958031534726E-2</v>
      </c>
      <c r="V5">
        <f>V13/Drivers!W4</f>
        <v>1.553182299165852E-2</v>
      </c>
      <c r="W5">
        <f>W13/Drivers!X4</f>
        <v>1.7181807184041598E-2</v>
      </c>
      <c r="X5">
        <f>X13/Drivers!Y4</f>
        <v>1.6902490054067201E-2</v>
      </c>
      <c r="Y5">
        <f>Y13/Drivers!Z4</f>
        <v>1.6531158030732743E-2</v>
      </c>
      <c r="Z5">
        <f>Z13/Drivers!AA4</f>
        <v>1.7136060892304256E-2</v>
      </c>
      <c r="AA5">
        <f>AA13/Drivers!AB4</f>
        <v>1.8196196501834357E-2</v>
      </c>
      <c r="AB5">
        <f>AB13/Drivers!AC4</f>
        <v>1.8684763785133233E-2</v>
      </c>
      <c r="AC5">
        <f>AC13/Drivers!AD4</f>
        <v>1.9273663203246076E-2</v>
      </c>
      <c r="AD5">
        <f>AD13/Drivers!AE4</f>
        <v>1.8134548357121919E-2</v>
      </c>
      <c r="AJ5" s="23">
        <f>SLOPE(M5:AD5,$M$4:$AD$4)</f>
        <v>3.5877418147159916E-4</v>
      </c>
      <c r="AK5" s="23">
        <f>INTERCEPT(M5:AD5,$M$4:$AD$4)</f>
        <v>-2.2507338801332905E-3</v>
      </c>
    </row>
    <row r="6" spans="1:37" x14ac:dyDescent="0.25">
      <c r="A6" s="23" t="str">
        <f>'Intermediate calculations'!A14</f>
        <v>Milk consumption</v>
      </c>
      <c r="B6" t="str">
        <f>'Intermediate calculations'!B14</f>
        <v>t/capita</v>
      </c>
      <c r="C6">
        <f>C16/Drivers!D4</f>
        <v>3.1711517903189872E-2</v>
      </c>
      <c r="D6">
        <f>D16/Drivers!E4</f>
        <v>3.0568189199328188E-2</v>
      </c>
      <c r="E6">
        <f>E16/Drivers!F4</f>
        <v>3.035740517829584E-2</v>
      </c>
      <c r="F6">
        <f>F16/Drivers!G4</f>
        <v>2.7552275522755229E-2</v>
      </c>
      <c r="G6">
        <f>G16/Drivers!H4</f>
        <v>2.6821773432486134E-2</v>
      </c>
      <c r="H6">
        <f>H16/Drivers!I4</f>
        <v>3.3714841176550943E-2</v>
      </c>
      <c r="I6">
        <f>I16/Drivers!J4</f>
        <v>3.5202755918886504E-2</v>
      </c>
      <c r="J6">
        <f>J16/Drivers!K4</f>
        <v>3.654554057053986E-2</v>
      </c>
      <c r="K6">
        <f>K16/Drivers!L4</f>
        <v>3.6811282200142577E-2</v>
      </c>
      <c r="L6">
        <f>L16/Drivers!M4</f>
        <v>3.6221307497632478E-2</v>
      </c>
      <c r="M6">
        <f>M16/Drivers!N4</f>
        <v>2.855382355711792E-2</v>
      </c>
      <c r="N6">
        <f>N16/Drivers!O4</f>
        <v>3.4561245753190924E-2</v>
      </c>
      <c r="O6">
        <f>O16/Drivers!P4</f>
        <v>3.4907218411908775E-2</v>
      </c>
      <c r="P6">
        <f>P16/Drivers!Q4</f>
        <v>3.2706042287200317E-2</v>
      </c>
      <c r="Q6">
        <f>Q16/Drivers!R4</f>
        <v>3.4382420052943855E-2</v>
      </c>
      <c r="R6">
        <f>R16/Drivers!S4</f>
        <v>3.8324498057156799E-2</v>
      </c>
      <c r="S6">
        <f>S16/Drivers!T4</f>
        <v>3.4997297041404404E-2</v>
      </c>
      <c r="T6">
        <f>T16/Drivers!U4</f>
        <v>3.6624772527894527E-2</v>
      </c>
      <c r="U6">
        <f>U16/Drivers!V4</f>
        <v>3.6541167743626687E-2</v>
      </c>
      <c r="V6">
        <f>V16/Drivers!W4</f>
        <v>3.5422065700364075E-2</v>
      </c>
      <c r="W6">
        <f>W16/Drivers!X4</f>
        <v>3.6472290704306486E-2</v>
      </c>
      <c r="X6">
        <f>X16/Drivers!Y4</f>
        <v>3.5612527394917472E-2</v>
      </c>
      <c r="Y6">
        <f>Y16/Drivers!Z4</f>
        <v>3.6616992817206866E-2</v>
      </c>
      <c r="Z6">
        <f>Z16/Drivers!AA4</f>
        <v>3.6362344596746726E-2</v>
      </c>
      <c r="AA6">
        <f>AA16/Drivers!AB4</f>
        <v>3.6652073687690814E-2</v>
      </c>
      <c r="AB6">
        <f>AB16/Drivers!AC4</f>
        <v>3.8739378287651602E-2</v>
      </c>
      <c r="AC6">
        <f>AC16/Drivers!AD4</f>
        <v>3.8223701464646598E-2</v>
      </c>
      <c r="AD6">
        <f>AD16/Drivers!AE4</f>
        <v>3.9046778755285928E-2</v>
      </c>
      <c r="AJ6" s="23">
        <f>SLOPE(M6:AD6,$M$4:$AD$4)</f>
        <v>3.7484445007885823E-4</v>
      </c>
      <c r="AK6" s="23">
        <f>INTERCEPT(M6:AD6,$M$4:$AD$4)</f>
        <v>1.6584822508100318E-2</v>
      </c>
    </row>
    <row r="7" spans="1:37" x14ac:dyDescent="0.25">
      <c r="A7" s="23" t="str">
        <f>'Intermediate calculations'!A20</f>
        <v>Lamb consumption</v>
      </c>
      <c r="B7" t="str">
        <f>'Intermediate calculations'!B20</f>
        <v>t/capita</v>
      </c>
      <c r="C7">
        <f>C22/Drivers!D4</f>
        <v>4.6999349927469751E-3</v>
      </c>
      <c r="D7">
        <f>D22/Drivers!E4</f>
        <v>5.1337590256356549E-3</v>
      </c>
      <c r="E7">
        <f>E22/Drivers!F4</f>
        <v>4.8370155133322145E-3</v>
      </c>
      <c r="F7">
        <f>F22/Drivers!G4</f>
        <v>4.4825432869713315E-3</v>
      </c>
      <c r="G7">
        <f>G22/Drivers!H4</f>
        <v>3.615022845716697E-3</v>
      </c>
      <c r="H7">
        <f>H22/Drivers!I4</f>
        <v>2.6769149486779026E-3</v>
      </c>
      <c r="I7">
        <f>I22/Drivers!J4</f>
        <v>3.1822155014234865E-3</v>
      </c>
      <c r="J7">
        <f>J22/Drivers!K4</f>
        <v>3.1050915056369576E-3</v>
      </c>
      <c r="K7">
        <f>K22/Drivers!L4</f>
        <v>3.1202598034076076E-3</v>
      </c>
      <c r="L7">
        <f>L22/Drivers!M4</f>
        <v>3.2648794977318042E-3</v>
      </c>
      <c r="M7">
        <f>M22/Drivers!N4</f>
        <v>3.4073339917613768E-3</v>
      </c>
      <c r="N7">
        <f>N22/Drivers!O4</f>
        <v>3.2796976446170891E-3</v>
      </c>
      <c r="O7">
        <f>O22/Drivers!P4</f>
        <v>2.9737223183428679E-3</v>
      </c>
      <c r="P7">
        <f>P22/Drivers!Q4</f>
        <v>2.9375505520257668E-3</v>
      </c>
      <c r="Q7">
        <f>Q22/Drivers!R4</f>
        <v>3.0411313973028199E-3</v>
      </c>
      <c r="R7">
        <f>R22/Drivers!S4</f>
        <v>3.2982042142704099E-3</v>
      </c>
      <c r="S7">
        <f>S22/Drivers!T4</f>
        <v>3.4118755583558893E-3</v>
      </c>
      <c r="T7">
        <f>T22/Drivers!U4</f>
        <v>3.8847910471221979E-3</v>
      </c>
      <c r="U7">
        <f>U22/Drivers!V4</f>
        <v>3.5689411002378874E-3</v>
      </c>
      <c r="V7">
        <f>V22/Drivers!W4</f>
        <v>3.3520209823834457E-3</v>
      </c>
      <c r="W7">
        <f>W22/Drivers!X4</f>
        <v>3.1934731625248227E-3</v>
      </c>
      <c r="X7">
        <f>X22/Drivers!Y4</f>
        <v>2.8016982945137554E-3</v>
      </c>
      <c r="Y7">
        <f>Y22/Drivers!Z4</f>
        <v>2.8204257828618939E-3</v>
      </c>
      <c r="Z7">
        <f>Z22/Drivers!AA4</f>
        <v>3.0268686020098749E-3</v>
      </c>
      <c r="AA7">
        <f>AA22/Drivers!AB4</f>
        <v>3.2779121771704055E-3</v>
      </c>
      <c r="AB7">
        <f>AB22/Drivers!AC4</f>
        <v>3.313577561973481E-3</v>
      </c>
      <c r="AC7">
        <f>AC22/Drivers!AD4</f>
        <v>3.2279790032750002E-3</v>
      </c>
      <c r="AD7">
        <f>AD22/Drivers!AE4</f>
        <v>3.0933116436675087E-3</v>
      </c>
      <c r="AJ7" s="23">
        <f>SLOPE(M7:AD7,$M$4:$AD$4)</f>
        <v>4.6972495428615809E-7</v>
      </c>
      <c r="AK7" s="23">
        <f>INTERCEPT(M7:AD7,$M$4:$AD$4)</f>
        <v>3.1931477861122321E-3</v>
      </c>
    </row>
    <row r="8" spans="1:37" x14ac:dyDescent="0.25">
      <c r="A8" s="23" t="str">
        <f>'Intermediate calculations'!A23</f>
        <v>Chevon consumption</v>
      </c>
      <c r="B8" t="str">
        <f>'Intermediate calculations'!B23</f>
        <v>t/capita</v>
      </c>
      <c r="C8">
        <f>C20/Drivers!D4</f>
        <v>2.9999585060087078E-4</v>
      </c>
      <c r="D8">
        <f>D20/Drivers!E4</f>
        <v>3.2768674631716946E-4</v>
      </c>
      <c r="E8">
        <f>E20/Drivers!F4</f>
        <v>3.0874567106375841E-4</v>
      </c>
      <c r="F8">
        <f>F20/Drivers!G4</f>
        <v>2.8611978427476583E-4</v>
      </c>
      <c r="G8">
        <f>G20/Drivers!H4</f>
        <v>2.3074613908829981E-4</v>
      </c>
      <c r="H8">
        <f>H20/Drivers!I4</f>
        <v>1.7086691161773848E-4</v>
      </c>
      <c r="I8">
        <f>I20/Drivers!J4</f>
        <v>2.0312013838873316E-4</v>
      </c>
      <c r="J8">
        <f>J20/Drivers!K4</f>
        <v>1.9819733014703986E-4</v>
      </c>
      <c r="K8">
        <f>K20/Drivers!L4</f>
        <v>1.9916551936644304E-4</v>
      </c>
      <c r="L8">
        <f>L20/Drivers!M4</f>
        <v>2.0839656368500879E-4</v>
      </c>
      <c r="M8">
        <f>M20/Drivers!N4</f>
        <v>2.1748940372944957E-4</v>
      </c>
      <c r="N8">
        <f>N20/Drivers!O4</f>
        <v>2.093424028478993E-4</v>
      </c>
      <c r="O8">
        <f>O20/Drivers!P4</f>
        <v>1.8981206287294901E-4</v>
      </c>
      <c r="P8">
        <f>P20/Drivers!Q4</f>
        <v>1.8750322672504894E-4</v>
      </c>
      <c r="Q8">
        <f>Q20/Drivers!R4</f>
        <v>1.941147700406055E-4</v>
      </c>
      <c r="R8">
        <f>R20/Drivers!S4</f>
        <v>2.1052367325130275E-4</v>
      </c>
      <c r="S8">
        <f>S20/Drivers!T4</f>
        <v>2.1777929095888654E-4</v>
      </c>
      <c r="T8">
        <f>T20/Drivers!U4</f>
        <v>2.4796538598652329E-4</v>
      </c>
      <c r="U8">
        <f>U20/Drivers!V4</f>
        <v>2.2780475107901408E-4</v>
      </c>
      <c r="V8">
        <f>V20/Drivers!W4</f>
        <v>2.1395878610958166E-4</v>
      </c>
      <c r="W8">
        <f>W20/Drivers!X4</f>
        <v>2.0383871250158445E-4</v>
      </c>
      <c r="X8">
        <f>X20/Drivers!Y4</f>
        <v>1.788318060327929E-4</v>
      </c>
      <c r="Y8">
        <f>Y20/Drivers!Z4</f>
        <v>1.800271776294826E-4</v>
      </c>
      <c r="Z8">
        <f>Z20/Drivers!AA4</f>
        <v>1.9320437885169415E-4</v>
      </c>
      <c r="AA8">
        <f>AA20/Drivers!AB4</f>
        <v>2.0922843684066417E-4</v>
      </c>
      <c r="AB8">
        <f>AB20/Drivers!AC4</f>
        <v>2.1150495076426473E-4</v>
      </c>
      <c r="AC8">
        <f>AC20/Drivers!AD4</f>
        <v>2.0604121297500001E-4</v>
      </c>
      <c r="AD8">
        <f>AD20/Drivers!AE4</f>
        <v>1.9744542406388354E-4</v>
      </c>
      <c r="AJ8" s="23">
        <f>SLOPE(M8:AD8,$M$4:$AD$4)</f>
        <v>2.9982443890606627E-8</v>
      </c>
      <c r="AK8" s="23">
        <f>INTERCEPT(M8:AD8,$M$4:$AD$4)</f>
        <v>2.0381794379439779E-4</v>
      </c>
    </row>
    <row r="9" spans="1:37" x14ac:dyDescent="0.25">
      <c r="A9" s="23" t="str">
        <f>'Intermediate calculations'!A31</f>
        <v>Pork consumption</v>
      </c>
      <c r="B9" t="str">
        <f>'Intermediate calculations'!B31</f>
        <v>t/capita</v>
      </c>
      <c r="C9">
        <f>C25/Drivers!D4</f>
        <v>3.3966921490134823E-3</v>
      </c>
      <c r="D9">
        <f>D25/Drivers!E4</f>
        <v>3.446543448319744E-3</v>
      </c>
      <c r="E9">
        <f>E25/Drivers!F4</f>
        <v>2.8961067972479849E-3</v>
      </c>
      <c r="F9">
        <f>F25/Drivers!G4</f>
        <v>3.2548017787870187E-3</v>
      </c>
      <c r="G9">
        <f>G25/Drivers!H4</f>
        <v>3.0075885650398052E-3</v>
      </c>
      <c r="H9">
        <f>H25/Drivers!I4</f>
        <v>2.9925843277683012E-3</v>
      </c>
      <c r="I9">
        <f>I25/Drivers!J4</f>
        <v>3.1012515301776277E-3</v>
      </c>
      <c r="J9">
        <f>J25/Drivers!K4</f>
        <v>3.0939254588681106E-3</v>
      </c>
      <c r="K9">
        <f>K25/Drivers!L4</f>
        <v>2.9760364962801832E-3</v>
      </c>
      <c r="L9">
        <f>L25/Drivers!M4</f>
        <v>2.8417713229773925E-3</v>
      </c>
      <c r="M9">
        <f>M25/Drivers!N4</f>
        <v>2.9132016245969217E-3</v>
      </c>
      <c r="N9">
        <f>N25/Drivers!O4</f>
        <v>2.5235195311853692E-3</v>
      </c>
      <c r="O9">
        <f>O25/Drivers!P4</f>
        <v>2.665169375955791E-3</v>
      </c>
      <c r="P9">
        <f>P25/Drivers!Q4</f>
        <v>3.125053778750816E-3</v>
      </c>
      <c r="Q9">
        <f>Q25/Drivers!R4</f>
        <v>3.6792995628611501E-3</v>
      </c>
      <c r="R9">
        <f>R25/Drivers!S4</f>
        <v>3.801121878148522E-3</v>
      </c>
      <c r="S9">
        <f>S25/Drivers!T4</f>
        <v>3.9802465108963164E-3</v>
      </c>
      <c r="T9">
        <f>T25/Drivers!U4</f>
        <v>4.1938316513320025E-3</v>
      </c>
      <c r="U9">
        <f>U25/Drivers!V4</f>
        <v>3.9775432728081823E-3</v>
      </c>
      <c r="V9">
        <f>V25/Drivers!W4</f>
        <v>3.9423887440561802E-3</v>
      </c>
      <c r="W9">
        <f>W25/Drivers!X4</f>
        <v>4.1978278915556179E-3</v>
      </c>
      <c r="X9">
        <f>X25/Drivers!Y4</f>
        <v>4.4419513111371139E-3</v>
      </c>
      <c r="Y9">
        <f>Y25/Drivers!Z4</f>
        <v>4.5293461887672372E-3</v>
      </c>
      <c r="Z9">
        <f>Z25/Drivers!AA4</f>
        <v>4.6135548556203764E-3</v>
      </c>
      <c r="AA9">
        <f>AA25/Drivers!AB4</f>
        <v>4.3774743878011299E-3</v>
      </c>
      <c r="AB9">
        <f>AB25/Drivers!AC4</f>
        <v>4.6392277628776553E-3</v>
      </c>
      <c r="AC9">
        <f>AC25/Drivers!AD4</f>
        <v>4.7285199836321996E-3</v>
      </c>
      <c r="AD9">
        <f>AD25/Drivers!AE4</f>
        <v>4.4938295441063099E-3</v>
      </c>
      <c r="AJ9" s="23">
        <f>SLOPE(R9:AD9,$R$4:$AD$4)</f>
        <v>1.1080599373271322E-4</v>
      </c>
      <c r="AK9" s="23">
        <f>INTERCEPT(R9:AD9,$R$4:$AD$4)</f>
        <v>-1.6771827152458401E-3</v>
      </c>
    </row>
    <row r="10" spans="1:37" x14ac:dyDescent="0.25">
      <c r="A10" s="23" t="str">
        <f>'Intermediate calculations'!A36</f>
        <v>Egg consumption</v>
      </c>
      <c r="B10" t="str">
        <f>'Intermediate calculations'!B36</f>
        <v>t/capita</v>
      </c>
      <c r="C10">
        <f>C28/Drivers!D4</f>
        <v>5.6792692731505428E-3</v>
      </c>
      <c r="D10">
        <f>D28/Drivers!E4</f>
        <v>5.6735407533878863E-3</v>
      </c>
      <c r="E10">
        <f>E28/Drivers!F4</f>
        <v>5.7663554980919695E-3</v>
      </c>
      <c r="F10">
        <f>F28/Drivers!G4</f>
        <v>5.5003626959346519E-3</v>
      </c>
      <c r="G10">
        <f>G28/Drivers!H4</f>
        <v>5.7440011119202841E-3</v>
      </c>
      <c r="H10">
        <f>H28/Drivers!I4</f>
        <v>6.5643785254272408E-3</v>
      </c>
      <c r="I10">
        <f>I28/Drivers!J4</f>
        <v>6.2261767361581379E-3</v>
      </c>
      <c r="J10">
        <f>J28/Drivers!K4</f>
        <v>6.8159410484838825E-3</v>
      </c>
      <c r="K10">
        <f>K28/Drivers!L4</f>
        <v>6.9135617067431947E-3</v>
      </c>
      <c r="L10">
        <f>L28/Drivers!M4</f>
        <v>6.7435684569066689E-3</v>
      </c>
      <c r="M10">
        <f>M28/Drivers!N4</f>
        <v>6.8938359055347002E-3</v>
      </c>
      <c r="N10">
        <f>N28/Drivers!O4</f>
        <v>6.7586436139573363E-3</v>
      </c>
      <c r="O10">
        <f>O28/Drivers!P4</f>
        <v>6.7820976802777447E-3</v>
      </c>
      <c r="P10">
        <f>P28/Drivers!Q4</f>
        <v>6.5283657706780738E-3</v>
      </c>
      <c r="Q10">
        <f>Q28/Drivers!R4</f>
        <v>6.9568365297776923E-3</v>
      </c>
      <c r="R10">
        <f>R28/Drivers!S4</f>
        <v>7.456046760983639E-3</v>
      </c>
      <c r="S10">
        <f>S28/Drivers!T4</f>
        <v>8.0842312552920001E-3</v>
      </c>
      <c r="T10">
        <f>T28/Drivers!U4</f>
        <v>8.4690969269617146E-3</v>
      </c>
      <c r="U10">
        <f>U28/Drivers!V4</f>
        <v>8.1157953647197252E-3</v>
      </c>
      <c r="V10">
        <f>V28/Drivers!W4</f>
        <v>7.5083685125492076E-3</v>
      </c>
      <c r="W10">
        <f>W28/Drivers!X4</f>
        <v>7.5365654239091563E-3</v>
      </c>
      <c r="X10">
        <f>X28/Drivers!Y4</f>
        <v>8.191650469889223E-3</v>
      </c>
      <c r="Y10">
        <f>Y28/Drivers!Z4</f>
        <v>8.5426909129913721E-3</v>
      </c>
      <c r="Z10">
        <f>Z28/Drivers!AA4</f>
        <v>8.1537520509535628E-3</v>
      </c>
      <c r="AA10">
        <f>AA28/Drivers!AB4</f>
        <v>7.7533232800884424E-3</v>
      </c>
      <c r="AB10">
        <f>AB28/Drivers!AC4</f>
        <v>7.9999281895291839E-3</v>
      </c>
      <c r="AC10">
        <f>AC28/Drivers!AD4</f>
        <v>7.9288110752159698E-3</v>
      </c>
      <c r="AD10">
        <f>AD28/Drivers!AE4</f>
        <v>7.2892038274480304E-3</v>
      </c>
      <c r="AJ10" s="23">
        <f>SLOPE(M10:AD10,$M$4:$AD$4)</f>
        <v>1.0172199835319869E-4</v>
      </c>
      <c r="AK10" s="23">
        <f>INTERCEPT(M10:AD10,$M$4:$AD$4)</f>
        <v>2.3886190260008324E-3</v>
      </c>
    </row>
    <row r="11" spans="1:37" x14ac:dyDescent="0.25">
      <c r="A11" s="23" t="str">
        <f>'Intermediate calculations'!A41</f>
        <v>Chicken consumption</v>
      </c>
      <c r="B11" t="str">
        <f>'Intermediate calculations'!B41</f>
        <v>t/capita</v>
      </c>
      <c r="C11">
        <f>C31/Drivers!D4</f>
        <v>1.3043297852211772E-2</v>
      </c>
      <c r="D11">
        <f>D31/Drivers!E4</f>
        <v>1.2274997050554164E-2</v>
      </c>
      <c r="E11">
        <f>E31/Drivers!F4</f>
        <v>1.1868866249435938E-2</v>
      </c>
      <c r="F11">
        <f>F31/Drivers!G4</f>
        <v>1.1379190714984073E-2</v>
      </c>
      <c r="G11">
        <f>G31/Drivers!H4</f>
        <v>1.200570189487201E-2</v>
      </c>
      <c r="H11">
        <f>H31/Drivers!I4</f>
        <v>1.2983954583381823E-2</v>
      </c>
      <c r="I11">
        <f>I31/Drivers!J4</f>
        <v>1.436992121234977E-2</v>
      </c>
      <c r="J11">
        <f>J31/Drivers!K4</f>
        <v>1.6120980022523313E-2</v>
      </c>
      <c r="K11">
        <f>K31/Drivers!L4</f>
        <v>1.657423402543733E-2</v>
      </c>
      <c r="L11">
        <f>L31/Drivers!M4</f>
        <v>1.6870198012595948E-2</v>
      </c>
      <c r="M11">
        <f>M31/Drivers!N4</f>
        <v>1.7701591550985878E-2</v>
      </c>
      <c r="N11">
        <f>N31/Drivers!O4</f>
        <v>1.8059622384048336E-2</v>
      </c>
      <c r="O11">
        <f>O31/Drivers!P4</f>
        <v>1.8244492801258342E-2</v>
      </c>
      <c r="P11">
        <f>P31/Drivers!Q4</f>
        <v>1.896436745187139E-2</v>
      </c>
      <c r="Q11">
        <f>Q31/Drivers!R4</f>
        <v>2.1610598581862619E-2</v>
      </c>
      <c r="R11">
        <f>R31/Drivers!S4</f>
        <v>2.6586967861994881E-2</v>
      </c>
      <c r="S11">
        <f>S31/Drivers!T4</f>
        <v>3.0336490246261564E-2</v>
      </c>
      <c r="T11">
        <f>T31/Drivers!U4</f>
        <v>3.1779471882180853E-2</v>
      </c>
      <c r="U11">
        <f>U31/Drivers!V4</f>
        <v>3.2443092856490982E-2</v>
      </c>
      <c r="V11">
        <f>V31/Drivers!W4</f>
        <v>3.2529659888141951E-2</v>
      </c>
      <c r="W11">
        <f>W31/Drivers!X4</f>
        <v>3.2645433649679041E-2</v>
      </c>
      <c r="X11">
        <f>X31/Drivers!Y4</f>
        <v>3.3766521655224126E-2</v>
      </c>
      <c r="Y11">
        <f>Y31/Drivers!Z4</f>
        <v>3.4610320455094795E-2</v>
      </c>
      <c r="Z11">
        <f>Z31/Drivers!AA4</f>
        <v>3.4196798440026953E-2</v>
      </c>
      <c r="AA11">
        <f>AA31/Drivers!AB4</f>
        <v>3.2997995491094112E-2</v>
      </c>
      <c r="AB11">
        <f>AB31/Drivers!AC4</f>
        <v>3.3278240094342867E-2</v>
      </c>
      <c r="AC11">
        <f>AC31/Drivers!AD4</f>
        <v>3.4825639575268325E-2</v>
      </c>
      <c r="AD11">
        <f>AD31/Drivers!AE4</f>
        <v>3.36329526115988E-2</v>
      </c>
      <c r="AJ11" s="23">
        <f>SLOPE(M11:AD11,$M$4:$AD$4)</f>
        <v>1.3192775066361115E-3</v>
      </c>
      <c r="AK11" s="23">
        <f>INTERCEPT(M11:AD11,$M$4:$AD$4)</f>
        <v>-3.890677555288953E-2</v>
      </c>
    </row>
    <row r="12" spans="1:37" x14ac:dyDescent="0.25">
      <c r="A12" s="23" t="str">
        <f>'Intermediate calculations'!A48</f>
        <v>Sorghum consumption (human)</v>
      </c>
      <c r="B12" t="str">
        <f>'Intermediate calculations'!B48</f>
        <v>t/capita</v>
      </c>
      <c r="C12">
        <f>C43/Drivers!D4</f>
        <v>5.2716662152689246E-3</v>
      </c>
      <c r="D12">
        <f>D43/Drivers!E4</f>
        <v>5.169815172479616E-3</v>
      </c>
      <c r="E12">
        <f>E43/Drivers!F4</f>
        <v>5.1457611843959729E-3</v>
      </c>
      <c r="F12">
        <f>F43/Drivers!G4</f>
        <v>5.0462043081969284E-3</v>
      </c>
      <c r="G12">
        <f>G43/Drivers!H4</f>
        <v>4.5360352128469197E-3</v>
      </c>
      <c r="H12">
        <f>H43/Drivers!I4</f>
        <v>4.4164752579161221E-3</v>
      </c>
      <c r="I12">
        <f>I43/Drivers!J4</f>
        <v>4.2849353203217606E-3</v>
      </c>
      <c r="J12">
        <f>J43/Drivers!K4</f>
        <v>4.164004940882645E-3</v>
      </c>
      <c r="K12">
        <f>K43/Drivers!L4</f>
        <v>4.0519881526276339E-3</v>
      </c>
      <c r="L12">
        <f>L43/Drivers!M4</f>
        <v>3.9581814855756533E-3</v>
      </c>
      <c r="M12">
        <f>M43/Drivers!N4</f>
        <v>3.8694433792356062E-3</v>
      </c>
      <c r="N12">
        <f>N43/Drivers!O4</f>
        <v>4.0815185460911186E-3</v>
      </c>
      <c r="O12">
        <f>O43/Drivers!P4</f>
        <v>4.1169283043219537E-3</v>
      </c>
      <c r="P12">
        <f>P43/Drivers!Q4</f>
        <v>3.7243791609769998E-3</v>
      </c>
      <c r="Q12">
        <f>Q43/Drivers!R4</f>
        <v>3.5735725639283586E-3</v>
      </c>
      <c r="R12">
        <f>R43/Drivers!S4</f>
        <v>3.7384660230142057E-3</v>
      </c>
      <c r="S12">
        <f>S43/Drivers!T4</f>
        <v>3.9390004330631945E-3</v>
      </c>
      <c r="T12">
        <f>T43/Drivers!U4</f>
        <v>3.7052299055457499E-3</v>
      </c>
      <c r="U12">
        <f>U43/Drivers!V4</f>
        <v>3.7163914417652206E-3</v>
      </c>
      <c r="V12">
        <f>V43/Drivers!W4</f>
        <v>3.5065467723514772E-3</v>
      </c>
      <c r="W12">
        <f>W43/Drivers!X4</f>
        <v>3.5925596839359707E-3</v>
      </c>
      <c r="X12">
        <f>X43/Drivers!Y4</f>
        <v>3.499719214835302E-3</v>
      </c>
      <c r="Y12">
        <f>Y43/Drivers!Z4</f>
        <v>3.4973432596810314E-3</v>
      </c>
      <c r="Z12">
        <f>Z43/Drivers!AA4</f>
        <v>2.9941029471168973E-3</v>
      </c>
      <c r="AA12">
        <f>AA43/Drivers!AB4</f>
        <v>3.0605223474033326E-3</v>
      </c>
      <c r="AB12">
        <f>AB43/Drivers!AC4</f>
        <v>2.794495463465674E-3</v>
      </c>
      <c r="AC12">
        <f>AC43/Drivers!AD4</f>
        <v>2.6788953519437174E-3</v>
      </c>
      <c r="AD12">
        <f>AD43/Drivers!AE4</f>
        <v>2.8484510102406136E-3</v>
      </c>
      <c r="AJ12" s="23">
        <f>SLOPE(R12:AB12,$R$4:$AB$4)</f>
        <v>-1.1477899149411267E-4</v>
      </c>
      <c r="AK12" s="23">
        <f>INTERCEPT(R12:AB12,$R$4:$AB$4)</f>
        <v>9.6093629367652728E-3</v>
      </c>
    </row>
    <row r="13" spans="1:37" x14ac:dyDescent="0.25">
      <c r="A13" s="23" t="str">
        <f>'Intermediate calculations'!A5</f>
        <v>Beef consumption</v>
      </c>
      <c r="B13" t="str">
        <f>'Intermediate calculations'!B5</f>
        <v>t</v>
      </c>
      <c r="C13">
        <v>668000</v>
      </c>
      <c r="D13">
        <v>714000</v>
      </c>
      <c r="E13">
        <v>741000</v>
      </c>
      <c r="F13">
        <v>718000</v>
      </c>
      <c r="G13">
        <v>663000</v>
      </c>
      <c r="H13">
        <v>587000</v>
      </c>
      <c r="I13">
        <v>591000</v>
      </c>
      <c r="J13">
        <v>573000</v>
      </c>
      <c r="K13">
        <v>560000</v>
      </c>
      <c r="L13">
        <v>559000</v>
      </c>
      <c r="M13">
        <v>671000</v>
      </c>
      <c r="N13">
        <v>554000</v>
      </c>
      <c r="O13">
        <v>602000</v>
      </c>
      <c r="P13">
        <v>643000</v>
      </c>
      <c r="Q13">
        <v>675000</v>
      </c>
      <c r="R13">
        <v>723000</v>
      </c>
      <c r="S13">
        <v>825000</v>
      </c>
      <c r="T13">
        <v>865000</v>
      </c>
      <c r="U13">
        <v>767000</v>
      </c>
      <c r="V13">
        <v>784000</v>
      </c>
      <c r="W13">
        <v>880000</v>
      </c>
      <c r="X13">
        <v>879000</v>
      </c>
      <c r="Y13">
        <v>865000</v>
      </c>
      <c r="Z13">
        <v>910000</v>
      </c>
      <c r="AA13">
        <v>981000</v>
      </c>
      <c r="AB13">
        <v>1023000</v>
      </c>
      <c r="AC13">
        <v>1072000</v>
      </c>
      <c r="AD13">
        <v>1025000</v>
      </c>
      <c r="AF13" s="87"/>
      <c r="AG13" s="87"/>
      <c r="AH13" s="87"/>
      <c r="AJ13" s="23"/>
      <c r="AK13" s="23"/>
    </row>
    <row r="14" spans="1:37" x14ac:dyDescent="0.25">
      <c r="A14" s="23" t="str">
        <f>'Intermediate calculations'!A8</f>
        <v>Beef production</v>
      </c>
      <c r="C14">
        <v>610300</v>
      </c>
      <c r="D14">
        <v>664900</v>
      </c>
      <c r="E14">
        <v>703500</v>
      </c>
      <c r="F14">
        <v>694000</v>
      </c>
      <c r="G14">
        <v>611200</v>
      </c>
      <c r="H14">
        <v>507500</v>
      </c>
      <c r="I14">
        <v>507000</v>
      </c>
      <c r="J14">
        <v>502400</v>
      </c>
      <c r="K14">
        <v>496300</v>
      </c>
      <c r="L14">
        <v>511700</v>
      </c>
      <c r="M14">
        <v>624600</v>
      </c>
      <c r="N14">
        <v>524300</v>
      </c>
      <c r="O14">
        <v>573400</v>
      </c>
      <c r="P14">
        <v>609700</v>
      </c>
      <c r="Q14">
        <v>631700</v>
      </c>
      <c r="R14">
        <v>672300</v>
      </c>
      <c r="S14">
        <v>808100</v>
      </c>
      <c r="T14">
        <v>861400</v>
      </c>
      <c r="U14">
        <v>770200</v>
      </c>
      <c r="V14">
        <v>796700</v>
      </c>
      <c r="W14">
        <v>885800</v>
      </c>
      <c r="X14">
        <v>869500</v>
      </c>
      <c r="Y14">
        <v>852100</v>
      </c>
      <c r="Z14">
        <v>904500</v>
      </c>
      <c r="AA14">
        <v>982600</v>
      </c>
      <c r="AB14">
        <v>1037900</v>
      </c>
      <c r="AC14">
        <v>1090900</v>
      </c>
      <c r="AD14">
        <v>1046300</v>
      </c>
      <c r="AJ14" s="23">
        <f>SLOPE(W14:AD14,W13:AD13)</f>
        <v>1.1425667845690142</v>
      </c>
      <c r="AK14" s="23">
        <f>INTERCEPT(W14:AD14,W13:AD13)</f>
        <v>-131737.17502305284</v>
      </c>
    </row>
    <row r="15" spans="1:37" x14ac:dyDescent="0.25">
      <c r="A15" s="23" t="s">
        <v>847</v>
      </c>
      <c r="B15" t="s">
        <v>815</v>
      </c>
      <c r="C15">
        <f>SUM(C54:C55)/'Intermediate calculations'!C10</f>
        <v>53.402776152243625</v>
      </c>
      <c r="D15">
        <f>SUM(D54:D55)/'Intermediate calculations'!D10</f>
        <v>48.956276991169453</v>
      </c>
      <c r="E15">
        <f>SUM(E54:E55)/'Intermediate calculations'!E10</f>
        <v>47.194598436389484</v>
      </c>
      <c r="F15">
        <f>SUM(F54:F55)/'Intermediate calculations'!F10</f>
        <v>45.863112391930834</v>
      </c>
      <c r="G15">
        <f>SUM(G54:G55)/'Intermediate calculations'!G10</f>
        <v>49.897391548242332</v>
      </c>
      <c r="H15">
        <f>SUM(H54:H55)/'Intermediate calculations'!H10</f>
        <v>60.053089373680507</v>
      </c>
      <c r="I15">
        <f>SUM(I54:I55)/'Intermediate calculations'!I10</f>
        <v>62.291011552550017</v>
      </c>
      <c r="J15">
        <f>SUM(J54:J55)/'Intermediate calculations'!J10</f>
        <v>65.440741583257505</v>
      </c>
      <c r="K15">
        <f>SUM(K54:K55)/'Intermediate calculations'!K10</f>
        <v>68.203390806251974</v>
      </c>
      <c r="L15">
        <f>SUM(L54:L55)/'Intermediate calculations'!L10</f>
        <v>66.6343560680086</v>
      </c>
      <c r="M15">
        <f>SUM(M54:M55)/'Intermediate calculations'!M10</f>
        <v>51.89867801106994</v>
      </c>
      <c r="N15">
        <f>SUM(N54:N55)/'Intermediate calculations'!N10</f>
        <v>61.355058445273968</v>
      </c>
      <c r="O15">
        <f>SUM(O54:O55)/'Intermediate calculations'!O10</f>
        <v>57.102047934625539</v>
      </c>
      <c r="P15">
        <f>SUM(P54:P55)/'Intermediate calculations'!P10</f>
        <v>55.049415403359966</v>
      </c>
      <c r="Q15">
        <f>SUM(Q54:Q55)/'Intermediate calculations'!Q10</f>
        <v>52.98274497388001</v>
      </c>
      <c r="R15">
        <f>SUM(R54:R55)/'Intermediate calculations'!R10</f>
        <v>49.327893584921696</v>
      </c>
      <c r="S15">
        <f>SUM(S54:S55)/'Intermediate calculations'!S10</f>
        <v>41.133098803189135</v>
      </c>
      <c r="T15">
        <f>SUM(T54:T55)/'Intermediate calculations'!T10</f>
        <v>39.914690371156588</v>
      </c>
      <c r="U15">
        <f>SUM(U54:U55)/'Intermediate calculations'!U10</f>
        <v>43.655274140297507</v>
      </c>
      <c r="V15">
        <f>SUM(V54:V55)/'Intermediate calculations'!V10</f>
        <v>41.61781844154757</v>
      </c>
      <c r="W15">
        <f>SUM(W54:W55)/'Intermediate calculations'!W10</f>
        <v>37.11227193067338</v>
      </c>
      <c r="X15">
        <f>SUM(X54:X55)/'Intermediate calculations'!X10</f>
        <v>37.868331005777812</v>
      </c>
      <c r="Y15">
        <f>SUM(Y54:Y55)/'Intermediate calculations'!Y10</f>
        <v>42.599213414021513</v>
      </c>
      <c r="Z15">
        <f>SUM(Z54:Z55)/'Intermediate calculations'!Z10</f>
        <v>41.344489714726684</v>
      </c>
      <c r="AA15">
        <f>SUM(AA54:AA55)/'Intermediate calculations'!AA10</f>
        <v>41.489257261793739</v>
      </c>
      <c r="AB15">
        <f>SUM(AB54:AB55)/'Intermediate calculations'!AB10</f>
        <v>40.698547038941996</v>
      </c>
      <c r="AC15">
        <f>SUM(AC54:AC55)/'Intermediate calculations'!AC10</f>
        <v>39.571387786459212</v>
      </c>
      <c r="AD15">
        <f>SUM(AD54:AD55)/'Intermediate calculations'!AD10</f>
        <v>37.504270065931841</v>
      </c>
      <c r="AJ15" s="23">
        <f>SLOPE(K15:AD15,LN(K2:AD2))</f>
        <v>-11.211458033960589</v>
      </c>
      <c r="AK15" s="23">
        <f>INTERCEPT(K15:AD15,LN(K2:AD2))</f>
        <v>71.085311124674874</v>
      </c>
    </row>
    <row r="16" spans="1:37" x14ac:dyDescent="0.25">
      <c r="A16" s="23" t="str">
        <f>'Intermediate calculations'!A12</f>
        <v>Milk consumption</v>
      </c>
      <c r="B16" t="str">
        <f>'Intermediate calculations'!B12</f>
        <v>t</v>
      </c>
      <c r="C16">
        <v>1167000</v>
      </c>
      <c r="D16">
        <v>1153000</v>
      </c>
      <c r="E16">
        <v>1174000</v>
      </c>
      <c r="F16">
        <v>1092000</v>
      </c>
      <c r="G16">
        <v>1088000</v>
      </c>
      <c r="H16">
        <v>1397000</v>
      </c>
      <c r="I16">
        <v>1487000</v>
      </c>
      <c r="J16">
        <v>1571000</v>
      </c>
      <c r="K16">
        <v>1608000</v>
      </c>
      <c r="L16">
        <v>1606000</v>
      </c>
      <c r="M16">
        <v>1284000</v>
      </c>
      <c r="N16">
        <v>1575000</v>
      </c>
      <c r="O16">
        <v>1611000</v>
      </c>
      <c r="P16">
        <v>1528000</v>
      </c>
      <c r="Q16">
        <v>1626000</v>
      </c>
      <c r="R16">
        <v>1835000</v>
      </c>
      <c r="S16">
        <v>1697000</v>
      </c>
      <c r="T16">
        <v>1799000</v>
      </c>
      <c r="U16">
        <v>1819000</v>
      </c>
      <c r="V16">
        <v>1788000</v>
      </c>
      <c r="W16">
        <v>1868000</v>
      </c>
      <c r="X16">
        <v>1852000</v>
      </c>
      <c r="Y16">
        <v>1916000</v>
      </c>
      <c r="Z16">
        <v>1931000</v>
      </c>
      <c r="AA16">
        <v>1976000</v>
      </c>
      <c r="AB16">
        <v>2121000</v>
      </c>
      <c r="AC16">
        <v>2126000</v>
      </c>
      <c r="AD16">
        <v>2207000</v>
      </c>
      <c r="AJ16" s="23"/>
      <c r="AK16" s="23"/>
    </row>
    <row r="17" spans="1:37" x14ac:dyDescent="0.25">
      <c r="A17" s="23" t="str">
        <f>'Intermediate calculations'!A15</f>
        <v>Milk production</v>
      </c>
      <c r="B17" t="str">
        <f>'Intermediate calculations'!B15</f>
        <v>t</v>
      </c>
      <c r="C17">
        <v>2119000</v>
      </c>
      <c r="D17">
        <v>2163000</v>
      </c>
      <c r="E17">
        <v>2107000</v>
      </c>
      <c r="F17">
        <v>2002000</v>
      </c>
      <c r="G17">
        <v>2006000</v>
      </c>
      <c r="H17">
        <v>2297000</v>
      </c>
      <c r="I17">
        <v>2450000</v>
      </c>
      <c r="J17">
        <v>2437000</v>
      </c>
      <c r="K17">
        <v>2501000</v>
      </c>
      <c r="L17">
        <v>2543000</v>
      </c>
      <c r="M17">
        <v>2370000</v>
      </c>
      <c r="N17">
        <v>2358000</v>
      </c>
      <c r="O17">
        <v>2457000</v>
      </c>
      <c r="P17">
        <v>2354000</v>
      </c>
      <c r="Q17">
        <v>2505000</v>
      </c>
      <c r="R17">
        <v>2657000</v>
      </c>
      <c r="S17">
        <v>2513000</v>
      </c>
      <c r="T17">
        <v>2559000</v>
      </c>
      <c r="U17">
        <v>2625000</v>
      </c>
      <c r="V17">
        <v>2587000</v>
      </c>
      <c r="W17">
        <v>2711000</v>
      </c>
      <c r="X17">
        <v>2720000</v>
      </c>
      <c r="Y17">
        <v>2843000</v>
      </c>
      <c r="Z17">
        <v>2906000</v>
      </c>
      <c r="AA17">
        <v>2983000</v>
      </c>
      <c r="AB17">
        <v>3173000</v>
      </c>
      <c r="AC17">
        <v>3158000</v>
      </c>
      <c r="AD17">
        <v>3097986.6</v>
      </c>
      <c r="AJ17" s="23">
        <f>SLOPE(M17:AD17,M16:AD16)</f>
        <v>1.0941524521183956</v>
      </c>
      <c r="AK17" s="23">
        <f>INTERCEPT(M17:AD17,M16:AD16)</f>
        <v>719582.0506376198</v>
      </c>
    </row>
    <row r="18" spans="1:37" x14ac:dyDescent="0.25">
      <c r="A18" s="23" t="s">
        <v>840</v>
      </c>
      <c r="B18" t="s">
        <v>815</v>
      </c>
      <c r="C18">
        <f t="shared" ref="C18:AD18" si="0">SUM(C51:C53)/C17</f>
        <v>0.69526800377536568</v>
      </c>
      <c r="D18">
        <f t="shared" si="0"/>
        <v>0.78019747572815545</v>
      </c>
      <c r="E18">
        <f t="shared" si="0"/>
        <v>0.69287114855244414</v>
      </c>
      <c r="F18">
        <f t="shared" si="0"/>
        <v>0.76935057442557442</v>
      </c>
      <c r="G18">
        <f t="shared" si="0"/>
        <v>0.70104982552342976</v>
      </c>
      <c r="H18">
        <f t="shared" si="0"/>
        <v>0.65888248585111009</v>
      </c>
      <c r="I18">
        <f t="shared" si="0"/>
        <v>0.62320263673469389</v>
      </c>
      <c r="J18">
        <f t="shared" si="0"/>
        <v>0.60454366023799755</v>
      </c>
      <c r="K18">
        <f t="shared" si="0"/>
        <v>0.57300788884446219</v>
      </c>
      <c r="L18">
        <f t="shared" si="0"/>
        <v>0.56881090051120731</v>
      </c>
      <c r="M18">
        <f t="shared" si="0"/>
        <v>0.77421705907173</v>
      </c>
      <c r="N18">
        <f t="shared" si="0"/>
        <v>0.77247711620016968</v>
      </c>
      <c r="O18">
        <f t="shared" si="0"/>
        <v>0.65958493691493691</v>
      </c>
      <c r="P18">
        <f t="shared" si="0"/>
        <v>0.60879045454545455</v>
      </c>
      <c r="Q18">
        <f t="shared" si="0"/>
        <v>0.5453595928143713</v>
      </c>
      <c r="R18">
        <f t="shared" si="0"/>
        <v>0.55448735415882566</v>
      </c>
      <c r="S18">
        <f t="shared" si="0"/>
        <v>0.57560132113012341</v>
      </c>
      <c r="T18">
        <f t="shared" si="0"/>
        <v>0.56525444314185236</v>
      </c>
      <c r="U18">
        <f t="shared" si="0"/>
        <v>0.66329169523809528</v>
      </c>
      <c r="V18">
        <f t="shared" si="0"/>
        <v>0.69374343254735216</v>
      </c>
      <c r="W18">
        <f t="shared" si="0"/>
        <v>0.66201189966801921</v>
      </c>
      <c r="X18">
        <f t="shared" si="0"/>
        <v>0.63027717647058834</v>
      </c>
      <c r="Y18">
        <f t="shared" si="0"/>
        <v>0.58416474147027786</v>
      </c>
      <c r="Z18">
        <f t="shared" si="0"/>
        <v>0.62680696490020649</v>
      </c>
      <c r="AA18">
        <f t="shared" si="0"/>
        <v>0.56572817298022127</v>
      </c>
      <c r="AB18">
        <f t="shared" si="0"/>
        <v>0.53185223447841168</v>
      </c>
      <c r="AC18">
        <f t="shared" si="0"/>
        <v>0.55134284357188101</v>
      </c>
      <c r="AD18">
        <f t="shared" si="0"/>
        <v>0.60957913439651412</v>
      </c>
      <c r="AJ18" s="23">
        <f>SLOPE(M18:AD18,LN(M2:AD2))</f>
        <v>-7.7168579193124878E-2</v>
      </c>
      <c r="AK18" s="23">
        <f>INTERCEPT(M18:AD18,LN(M2:AD2))</f>
        <v>0.79933670900805098</v>
      </c>
    </row>
    <row r="19" spans="1:37" x14ac:dyDescent="0.25">
      <c r="A19" s="23" t="str">
        <f>'Intermediate calculations'!A17</f>
        <v>Lamb and chevon consumption</v>
      </c>
      <c r="B19" t="str">
        <f>'Intermediate calculations'!B17</f>
        <v>t</v>
      </c>
      <c r="C19">
        <v>184000</v>
      </c>
      <c r="D19">
        <v>206000</v>
      </c>
      <c r="E19">
        <v>199000</v>
      </c>
      <c r="F19">
        <v>189000</v>
      </c>
      <c r="G19">
        <v>156000</v>
      </c>
      <c r="H19">
        <v>118000</v>
      </c>
      <c r="I19">
        <v>143000</v>
      </c>
      <c r="J19">
        <v>142000</v>
      </c>
      <c r="K19">
        <v>145000</v>
      </c>
      <c r="L19">
        <v>154000</v>
      </c>
      <c r="M19">
        <v>163000</v>
      </c>
      <c r="N19">
        <v>159000</v>
      </c>
      <c r="O19">
        <v>146000</v>
      </c>
      <c r="P19">
        <v>146000</v>
      </c>
      <c r="Q19">
        <v>153000</v>
      </c>
      <c r="R19">
        <v>168000</v>
      </c>
      <c r="S19">
        <v>176000</v>
      </c>
      <c r="T19">
        <v>203000</v>
      </c>
      <c r="U19">
        <v>189000</v>
      </c>
      <c r="V19">
        <v>180000</v>
      </c>
      <c r="W19">
        <v>174000</v>
      </c>
      <c r="X19">
        <v>155000</v>
      </c>
      <c r="Y19">
        <v>157000</v>
      </c>
      <c r="Z19">
        <v>171000</v>
      </c>
      <c r="AA19">
        <v>188000</v>
      </c>
      <c r="AB19">
        <v>193000</v>
      </c>
      <c r="AC19">
        <v>191000</v>
      </c>
      <c r="AD19">
        <v>186000</v>
      </c>
      <c r="AJ19" s="23"/>
      <c r="AK19" s="23"/>
    </row>
    <row r="20" spans="1:37" x14ac:dyDescent="0.25">
      <c r="A20" s="23" t="str">
        <f>'Intermediate calculations'!A22</f>
        <v>Chevon consumption</v>
      </c>
      <c r="B20" t="str">
        <f>'Intermediate calculations'!B22</f>
        <v>t</v>
      </c>
      <c r="C20">
        <f>C19*Constants!$H$27</f>
        <v>11040</v>
      </c>
      <c r="D20">
        <f>D19*Constants!$H$27</f>
        <v>12360</v>
      </c>
      <c r="E20">
        <f>E19*Constants!$H$27</f>
        <v>11940</v>
      </c>
      <c r="F20">
        <f>F19*Constants!$H$27</f>
        <v>11340</v>
      </c>
      <c r="G20">
        <f>G19*Constants!$H$27</f>
        <v>9360</v>
      </c>
      <c r="H20">
        <f>H19*Constants!$H$27</f>
        <v>7080</v>
      </c>
      <c r="I20">
        <f>I19*Constants!$H$27</f>
        <v>8580</v>
      </c>
      <c r="J20">
        <f>J19*Constants!$H$27</f>
        <v>8520</v>
      </c>
      <c r="K20">
        <f>K19*Constants!$H$27</f>
        <v>8700</v>
      </c>
      <c r="L20">
        <f>L19*Constants!$H$27</f>
        <v>9240</v>
      </c>
      <c r="M20">
        <f>M19*Constants!$H$27</f>
        <v>9780</v>
      </c>
      <c r="N20">
        <f>N19*Constants!$H$27</f>
        <v>9540</v>
      </c>
      <c r="O20">
        <f>O19*Constants!$H$27</f>
        <v>8760</v>
      </c>
      <c r="P20">
        <f>P19*Constants!$H$27</f>
        <v>8760</v>
      </c>
      <c r="Q20">
        <f>Q19*Constants!$H$27</f>
        <v>9180</v>
      </c>
      <c r="R20">
        <f>R19*Constants!$H$27</f>
        <v>10080</v>
      </c>
      <c r="S20">
        <f>S19*Constants!$H$27</f>
        <v>10560</v>
      </c>
      <c r="T20">
        <f>T19*Constants!$H$27</f>
        <v>12180</v>
      </c>
      <c r="U20">
        <f>U19*Constants!$H$27</f>
        <v>11340</v>
      </c>
      <c r="V20">
        <f>V19*Constants!$H$27</f>
        <v>10800</v>
      </c>
      <c r="W20">
        <f>W19*Constants!$H$27</f>
        <v>10440</v>
      </c>
      <c r="X20">
        <f>X19*Constants!$H$27</f>
        <v>9300</v>
      </c>
      <c r="Y20">
        <f>Y19*Constants!$H$27</f>
        <v>9420</v>
      </c>
      <c r="Z20">
        <f>Z19*Constants!$H$27</f>
        <v>10260</v>
      </c>
      <c r="AA20">
        <f>AA19*Constants!$H$27</f>
        <v>11280</v>
      </c>
      <c r="AB20">
        <f>AB19*Constants!$H$27</f>
        <v>11580</v>
      </c>
      <c r="AC20">
        <f>AC19*Constants!$H$27</f>
        <v>11460</v>
      </c>
      <c r="AD20">
        <f>AD19*Constants!$H$27</f>
        <v>11160</v>
      </c>
      <c r="AJ20" s="23"/>
      <c r="AK20" s="23"/>
    </row>
    <row r="21" spans="1:37" x14ac:dyDescent="0.25">
      <c r="A21" s="23" t="s">
        <v>843</v>
      </c>
      <c r="B21" t="s">
        <v>815</v>
      </c>
      <c r="C21">
        <f t="shared" ref="C21:AD21" si="1">SUM(C59:C60)/C20</f>
        <v>747.58015507693869</v>
      </c>
      <c r="D21">
        <f t="shared" si="1"/>
        <v>590.47220402049277</v>
      </c>
      <c r="E21">
        <f t="shared" si="1"/>
        <v>569.38006615729716</v>
      </c>
      <c r="F21">
        <f t="shared" si="1"/>
        <v>566.44789692123072</v>
      </c>
      <c r="G21">
        <f t="shared" si="1"/>
        <v>742.85362090363867</v>
      </c>
      <c r="H21">
        <f t="shared" si="1"/>
        <v>995.52503048103245</v>
      </c>
      <c r="I21">
        <f t="shared" si="1"/>
        <v>834.31243407359318</v>
      </c>
      <c r="J21">
        <f t="shared" si="1"/>
        <v>835.99741053944376</v>
      </c>
      <c r="K21">
        <f t="shared" si="1"/>
        <v>807.07358113668761</v>
      </c>
      <c r="L21">
        <f t="shared" si="1"/>
        <v>748.63713691587566</v>
      </c>
      <c r="M21">
        <f t="shared" si="1"/>
        <v>716.42781303590107</v>
      </c>
      <c r="N21">
        <f t="shared" si="1"/>
        <v>756.90571182634426</v>
      </c>
      <c r="O21">
        <f t="shared" si="1"/>
        <v>752.63780790236967</v>
      </c>
      <c r="P21">
        <f t="shared" si="1"/>
        <v>733.6180799048368</v>
      </c>
      <c r="Q21">
        <f t="shared" si="1"/>
        <v>701.35025005281352</v>
      </c>
      <c r="R21">
        <f t="shared" si="1"/>
        <v>630.46516734678903</v>
      </c>
      <c r="S21">
        <f t="shared" si="1"/>
        <v>614.48619189756312</v>
      </c>
      <c r="T21">
        <f t="shared" si="1"/>
        <v>516.87884312506992</v>
      </c>
      <c r="U21">
        <f t="shared" si="1"/>
        <v>554.64143311323846</v>
      </c>
      <c r="V21">
        <f t="shared" si="1"/>
        <v>572.18059101466702</v>
      </c>
      <c r="W21">
        <f t="shared" si="1"/>
        <v>584.78636599310846</v>
      </c>
      <c r="X21">
        <f t="shared" si="1"/>
        <v>650.3914314253102</v>
      </c>
      <c r="Y21">
        <f t="shared" si="1"/>
        <v>640.52698172582961</v>
      </c>
      <c r="Z21">
        <f t="shared" si="1"/>
        <v>581.41655980762096</v>
      </c>
      <c r="AA21">
        <f t="shared" si="1"/>
        <v>524.09395246393069</v>
      </c>
      <c r="AB21">
        <f t="shared" si="1"/>
        <v>503.57932677405518</v>
      </c>
      <c r="AC21">
        <f t="shared" si="1"/>
        <v>493.53491275273376</v>
      </c>
      <c r="AD21">
        <f t="shared" si="1"/>
        <v>491.33932124809263</v>
      </c>
      <c r="AJ21" s="23">
        <f>SLOPE(K21:AD21,LN(K2:AD2))</f>
        <v>-106.85734016342576</v>
      </c>
      <c r="AK21" s="23">
        <f>INTERCEPT(K21:AD21,LN(K2:AD2))</f>
        <v>854.94214143189515</v>
      </c>
    </row>
    <row r="22" spans="1:37" x14ac:dyDescent="0.25">
      <c r="A22" s="23" t="str">
        <f>'Intermediate calculations'!A19</f>
        <v>Lamb consumption</v>
      </c>
      <c r="B22" t="str">
        <f>'Intermediate calculations'!B19</f>
        <v>t</v>
      </c>
      <c r="C22">
        <f t="shared" ref="C22:AD22" si="2">C19-C20</f>
        <v>172960</v>
      </c>
      <c r="D22">
        <f t="shared" si="2"/>
        <v>193640</v>
      </c>
      <c r="E22">
        <f t="shared" si="2"/>
        <v>187060</v>
      </c>
      <c r="F22">
        <f t="shared" si="2"/>
        <v>177660</v>
      </c>
      <c r="G22">
        <f t="shared" si="2"/>
        <v>146640</v>
      </c>
      <c r="H22">
        <f t="shared" si="2"/>
        <v>110920</v>
      </c>
      <c r="I22">
        <f t="shared" si="2"/>
        <v>134420</v>
      </c>
      <c r="J22">
        <f t="shared" si="2"/>
        <v>133480</v>
      </c>
      <c r="K22">
        <f t="shared" si="2"/>
        <v>136300</v>
      </c>
      <c r="L22">
        <f t="shared" si="2"/>
        <v>144760</v>
      </c>
      <c r="M22">
        <f t="shared" si="2"/>
        <v>153220</v>
      </c>
      <c r="N22">
        <f t="shared" si="2"/>
        <v>149460</v>
      </c>
      <c r="O22">
        <f t="shared" si="2"/>
        <v>137240</v>
      </c>
      <c r="P22">
        <f t="shared" si="2"/>
        <v>137240</v>
      </c>
      <c r="Q22">
        <f t="shared" si="2"/>
        <v>143820</v>
      </c>
      <c r="R22">
        <f t="shared" si="2"/>
        <v>157920</v>
      </c>
      <c r="S22">
        <f t="shared" si="2"/>
        <v>165440</v>
      </c>
      <c r="T22">
        <f t="shared" si="2"/>
        <v>190820</v>
      </c>
      <c r="U22">
        <f t="shared" si="2"/>
        <v>177660</v>
      </c>
      <c r="V22">
        <f t="shared" si="2"/>
        <v>169200</v>
      </c>
      <c r="W22">
        <f t="shared" si="2"/>
        <v>163560</v>
      </c>
      <c r="X22">
        <f t="shared" si="2"/>
        <v>145700</v>
      </c>
      <c r="Y22">
        <f t="shared" si="2"/>
        <v>147580</v>
      </c>
      <c r="Z22">
        <f t="shared" si="2"/>
        <v>160740</v>
      </c>
      <c r="AA22">
        <f t="shared" si="2"/>
        <v>176720</v>
      </c>
      <c r="AB22">
        <f t="shared" si="2"/>
        <v>181420</v>
      </c>
      <c r="AC22">
        <f t="shared" si="2"/>
        <v>179540</v>
      </c>
      <c r="AD22">
        <f t="shared" si="2"/>
        <v>174840</v>
      </c>
      <c r="AJ22" s="23"/>
      <c r="AK22" s="23"/>
    </row>
    <row r="23" spans="1:37" x14ac:dyDescent="0.25">
      <c r="A23" s="23" t="str">
        <f>'Intermediate calculations'!A27</f>
        <v>Lamb production</v>
      </c>
      <c r="B23" t="str">
        <f>'Intermediate calculations'!B27</f>
        <v>t</v>
      </c>
      <c r="C23">
        <v>157160</v>
      </c>
      <c r="D23">
        <v>178840</v>
      </c>
      <c r="E23">
        <v>164160</v>
      </c>
      <c r="F23">
        <v>156060</v>
      </c>
      <c r="G23">
        <v>125940</v>
      </c>
      <c r="H23">
        <v>87720</v>
      </c>
      <c r="I23">
        <v>97720</v>
      </c>
      <c r="J23">
        <v>94080</v>
      </c>
      <c r="K23">
        <v>88200</v>
      </c>
      <c r="L23">
        <v>95660</v>
      </c>
      <c r="M23">
        <v>98520</v>
      </c>
      <c r="N23">
        <v>95860</v>
      </c>
      <c r="O23">
        <v>96340</v>
      </c>
      <c r="P23">
        <v>105640</v>
      </c>
      <c r="Q23">
        <v>111120</v>
      </c>
      <c r="R23">
        <v>124520</v>
      </c>
      <c r="S23">
        <v>124740</v>
      </c>
      <c r="T23">
        <v>148520</v>
      </c>
      <c r="U23">
        <v>149260</v>
      </c>
      <c r="V23">
        <v>151300</v>
      </c>
      <c r="W23">
        <v>153460</v>
      </c>
      <c r="X23">
        <v>139500</v>
      </c>
      <c r="Y23">
        <v>139480</v>
      </c>
      <c r="Z23">
        <v>156040</v>
      </c>
      <c r="AA23">
        <v>171520</v>
      </c>
      <c r="AB23">
        <v>173020</v>
      </c>
      <c r="AC23">
        <v>166240</v>
      </c>
      <c r="AD23">
        <v>166124.152</v>
      </c>
      <c r="AJ23" s="23">
        <f>SLOPE(S23:AD23,S22:AD22)</f>
        <v>0.57079621418517279</v>
      </c>
      <c r="AK23" s="23">
        <f>INTERCEPT(S23:AD23,S22:AD22)</f>
        <v>56554.156116201921</v>
      </c>
    </row>
    <row r="24" spans="1:37" x14ac:dyDescent="0.25">
      <c r="A24" s="23" t="s">
        <v>816</v>
      </c>
      <c r="B24" t="s">
        <v>815</v>
      </c>
      <c r="C24">
        <f t="shared" ref="C24:AD24" si="3">SUM(C57:C58)/C23</f>
        <v>217.37632200135343</v>
      </c>
      <c r="D24">
        <f t="shared" si="3"/>
        <v>182.43533983922441</v>
      </c>
      <c r="E24">
        <f t="shared" si="3"/>
        <v>190.5375058012163</v>
      </c>
      <c r="F24">
        <f t="shared" si="3"/>
        <v>187.44392961876648</v>
      </c>
      <c r="G24">
        <f t="shared" si="3"/>
        <v>233.91106858199078</v>
      </c>
      <c r="H24">
        <f t="shared" si="3"/>
        <v>331.02055240676185</v>
      </c>
      <c r="I24">
        <f t="shared" si="3"/>
        <v>298.13738680684139</v>
      </c>
      <c r="J24">
        <f t="shared" si="3"/>
        <v>302.93782099105391</v>
      </c>
      <c r="K24">
        <f t="shared" si="3"/>
        <v>324.02516807184935</v>
      </c>
      <c r="L24">
        <f t="shared" si="3"/>
        <v>291.41805349120352</v>
      </c>
      <c r="M24">
        <f t="shared" si="3"/>
        <v>272.814221136475</v>
      </c>
      <c r="N24">
        <f t="shared" si="3"/>
        <v>273.39449106353061</v>
      </c>
      <c r="O24">
        <f t="shared" si="3"/>
        <v>267.49019053642013</v>
      </c>
      <c r="P24">
        <f t="shared" si="3"/>
        <v>244.7939244530279</v>
      </c>
      <c r="Q24">
        <f t="shared" si="3"/>
        <v>228.57854595451533</v>
      </c>
      <c r="R24">
        <f t="shared" si="3"/>
        <v>203.49543332726975</v>
      </c>
      <c r="S24">
        <f t="shared" si="3"/>
        <v>200.47811015517084</v>
      </c>
      <c r="T24">
        <f t="shared" si="3"/>
        <v>168.21780706498231</v>
      </c>
      <c r="U24">
        <f t="shared" si="3"/>
        <v>167.92588402758949</v>
      </c>
      <c r="V24">
        <f t="shared" si="3"/>
        <v>165.07423520689287</v>
      </c>
      <c r="W24">
        <f t="shared" si="3"/>
        <v>159.60223145034516</v>
      </c>
      <c r="X24">
        <f t="shared" si="3"/>
        <v>174.20152254230294</v>
      </c>
      <c r="Y24">
        <f t="shared" si="3"/>
        <v>175.05984723704714</v>
      </c>
      <c r="Z24">
        <f t="shared" si="3"/>
        <v>157.66442051805819</v>
      </c>
      <c r="AA24">
        <f t="shared" si="3"/>
        <v>140.86372750241577</v>
      </c>
      <c r="AB24">
        <f t="shared" si="3"/>
        <v>138.52942398399955</v>
      </c>
      <c r="AC24">
        <f t="shared" si="3"/>
        <v>140.10059471972963</v>
      </c>
      <c r="AD24">
        <f t="shared" si="3"/>
        <v>136.7958899397365</v>
      </c>
      <c r="AJ24" s="23">
        <f>SLOPE(AA24:AD24,LN(AA2:AD2))</f>
        <v>-19.53151686828388</v>
      </c>
      <c r="AK24" s="23">
        <f>INTERCEPT(AA24:AD24,LN(AA2:AD2))</f>
        <v>196.0251225336817</v>
      </c>
    </row>
    <row r="25" spans="1:37" x14ac:dyDescent="0.25">
      <c r="A25" s="23" t="str">
        <f>'Intermediate calculations'!A29</f>
        <v>Pork consumption</v>
      </c>
      <c r="B25" t="str">
        <f>'Intermediate calculations'!B29</f>
        <v>t</v>
      </c>
      <c r="C25">
        <v>125000</v>
      </c>
      <c r="D25">
        <v>130000</v>
      </c>
      <c r="E25">
        <v>112000</v>
      </c>
      <c r="F25">
        <v>129000</v>
      </c>
      <c r="G25">
        <v>122000</v>
      </c>
      <c r="H25">
        <v>124000</v>
      </c>
      <c r="I25">
        <v>131000</v>
      </c>
      <c r="J25">
        <v>133000</v>
      </c>
      <c r="K25">
        <v>130000</v>
      </c>
      <c r="L25">
        <v>126000</v>
      </c>
      <c r="M25">
        <v>131000</v>
      </c>
      <c r="N25">
        <v>115000</v>
      </c>
      <c r="O25">
        <v>123000</v>
      </c>
      <c r="P25">
        <v>146000</v>
      </c>
      <c r="Q25">
        <v>174000</v>
      </c>
      <c r="R25">
        <v>182000</v>
      </c>
      <c r="S25">
        <v>193000</v>
      </c>
      <c r="T25">
        <v>206000</v>
      </c>
      <c r="U25">
        <v>198000</v>
      </c>
      <c r="V25">
        <v>199000</v>
      </c>
      <c r="W25">
        <v>215000</v>
      </c>
      <c r="X25">
        <v>231000</v>
      </c>
      <c r="Y25">
        <v>237000</v>
      </c>
      <c r="Z25">
        <v>245000</v>
      </c>
      <c r="AA25">
        <v>236000</v>
      </c>
      <c r="AB25">
        <v>254000</v>
      </c>
      <c r="AC25">
        <v>263000</v>
      </c>
      <c r="AD25">
        <v>254000</v>
      </c>
      <c r="AJ25" s="23"/>
      <c r="AK25" s="23"/>
    </row>
    <row r="26" spans="1:37" x14ac:dyDescent="0.25">
      <c r="A26" s="23" t="str">
        <f>'Intermediate calculations'!A32</f>
        <v>Pork production</v>
      </c>
      <c r="B26" t="str">
        <f>'Intermediate calculations'!B32</f>
        <v>t</v>
      </c>
      <c r="C26">
        <v>126200</v>
      </c>
      <c r="D26">
        <v>130800</v>
      </c>
      <c r="E26">
        <v>112700</v>
      </c>
      <c r="F26">
        <v>129600</v>
      </c>
      <c r="G26">
        <v>119600</v>
      </c>
      <c r="H26">
        <v>119000</v>
      </c>
      <c r="I26">
        <v>126500</v>
      </c>
      <c r="J26">
        <v>127900</v>
      </c>
      <c r="K26">
        <v>125000</v>
      </c>
      <c r="L26">
        <v>119200</v>
      </c>
      <c r="M26">
        <v>123000</v>
      </c>
      <c r="N26">
        <v>106900</v>
      </c>
      <c r="O26">
        <v>116600</v>
      </c>
      <c r="P26">
        <v>135000</v>
      </c>
      <c r="Q26">
        <v>156800</v>
      </c>
      <c r="R26">
        <v>159700</v>
      </c>
      <c r="S26">
        <v>171400</v>
      </c>
      <c r="T26">
        <v>187100</v>
      </c>
      <c r="U26">
        <v>181700</v>
      </c>
      <c r="V26">
        <v>180700</v>
      </c>
      <c r="W26">
        <v>191900</v>
      </c>
      <c r="X26">
        <v>205100</v>
      </c>
      <c r="Y26">
        <v>206000</v>
      </c>
      <c r="Z26">
        <v>213500</v>
      </c>
      <c r="AA26">
        <v>224200</v>
      </c>
      <c r="AB26">
        <v>233000</v>
      </c>
      <c r="AC26">
        <v>243100</v>
      </c>
      <c r="AD26">
        <v>231800</v>
      </c>
      <c r="AJ26" s="23">
        <f>SLOPE(F26:AD26,F25:AD25)</f>
        <v>0.84800908184156654</v>
      </c>
      <c r="AK26" s="23">
        <f>INTERCEPT(F26:AD26,F25:AD25)</f>
        <v>12832.12635833901</v>
      </c>
    </row>
    <row r="27" spans="1:37" x14ac:dyDescent="0.25">
      <c r="A27" s="23" t="s">
        <v>818</v>
      </c>
      <c r="B27" t="s">
        <v>815</v>
      </c>
      <c r="C27">
        <f t="shared" ref="C27:AD27" si="4">SUM(C63:C64)/C26</f>
        <v>13.653011027487219</v>
      </c>
      <c r="D27">
        <f t="shared" si="4"/>
        <v>14.391608053652755</v>
      </c>
      <c r="E27">
        <f t="shared" si="4"/>
        <v>16.592599020349589</v>
      </c>
      <c r="F27">
        <f t="shared" si="4"/>
        <v>14.420179981553732</v>
      </c>
      <c r="G27">
        <f t="shared" si="4"/>
        <v>14.841278051291667</v>
      </c>
      <c r="H27">
        <f t="shared" si="4"/>
        <v>15.058618610882386</v>
      </c>
      <c r="I27">
        <f t="shared" si="4"/>
        <v>15.256180717369467</v>
      </c>
      <c r="J27">
        <f t="shared" si="4"/>
        <v>15.018469029514932</v>
      </c>
      <c r="K27">
        <f t="shared" si="4"/>
        <v>15.701550370273951</v>
      </c>
      <c r="L27">
        <f t="shared" si="4"/>
        <v>16.882881640786671</v>
      </c>
      <c r="M27">
        <f t="shared" si="4"/>
        <v>15.138795298415898</v>
      </c>
      <c r="N27">
        <f t="shared" si="4"/>
        <v>17.746678439758945</v>
      </c>
      <c r="O27">
        <f t="shared" si="4"/>
        <v>16.58060559776451</v>
      </c>
      <c r="P27">
        <f t="shared" si="4"/>
        <v>13.927119744071932</v>
      </c>
      <c r="Q27">
        <f t="shared" si="4"/>
        <v>11.990823759245604</v>
      </c>
      <c r="R27">
        <f t="shared" si="4"/>
        <v>11.688128726620503</v>
      </c>
      <c r="S27">
        <f t="shared" si="4"/>
        <v>10.698991960935169</v>
      </c>
      <c r="T27">
        <f t="shared" si="4"/>
        <v>9.9764519382217767</v>
      </c>
      <c r="U27">
        <f t="shared" si="4"/>
        <v>10.048944051821932</v>
      </c>
      <c r="V27">
        <f t="shared" si="4"/>
        <v>10.092041871875903</v>
      </c>
      <c r="W27">
        <f t="shared" si="4"/>
        <v>9.3910936453950828</v>
      </c>
      <c r="X27">
        <f t="shared" si="4"/>
        <v>8.7315701156068712</v>
      </c>
      <c r="Y27">
        <f t="shared" si="4"/>
        <v>8.6659811203436679</v>
      </c>
      <c r="Z27">
        <f t="shared" si="4"/>
        <v>8.3350781773799625</v>
      </c>
      <c r="AA27">
        <f t="shared" si="4"/>
        <v>7.876771556923309</v>
      </c>
      <c r="AB27">
        <f t="shared" si="4"/>
        <v>7.3900403763298383</v>
      </c>
      <c r="AC27">
        <f t="shared" si="4"/>
        <v>7.0318510236958893</v>
      </c>
      <c r="AD27">
        <f t="shared" si="4"/>
        <v>7.2234464208602027</v>
      </c>
      <c r="AJ27" s="23">
        <f>SLOPE(K27:AD27,LN(K2:AD2))</f>
        <v>-3.8989982573491209</v>
      </c>
      <c r="AK27" s="23">
        <f>INTERCEPT(K27:AD27,LN(K2:AD2))</f>
        <v>19.509267032030309</v>
      </c>
    </row>
    <row r="28" spans="1:37" x14ac:dyDescent="0.25">
      <c r="A28" s="23" t="str">
        <f>'Intermediate calculations'!A34</f>
        <v>Egg consumption</v>
      </c>
      <c r="B28" t="str">
        <f>'Intermediate calculations'!B34</f>
        <v>t</v>
      </c>
      <c r="C28">
        <v>209000</v>
      </c>
      <c r="D28">
        <v>214000</v>
      </c>
      <c r="E28">
        <v>223000</v>
      </c>
      <c r="F28">
        <v>218000</v>
      </c>
      <c r="G28">
        <v>233000</v>
      </c>
      <c r="H28">
        <v>272000</v>
      </c>
      <c r="I28">
        <v>263000</v>
      </c>
      <c r="J28">
        <v>293000</v>
      </c>
      <c r="K28">
        <v>302000</v>
      </c>
      <c r="L28">
        <v>299000</v>
      </c>
      <c r="M28">
        <v>310000</v>
      </c>
      <c r="N28">
        <v>308000</v>
      </c>
      <c r="O28">
        <v>313000</v>
      </c>
      <c r="P28">
        <v>305000</v>
      </c>
      <c r="Q28">
        <v>329000</v>
      </c>
      <c r="R28">
        <v>357000</v>
      </c>
      <c r="S28">
        <v>392000</v>
      </c>
      <c r="T28">
        <v>416000</v>
      </c>
      <c r="U28">
        <v>404000</v>
      </c>
      <c r="V28">
        <v>379000</v>
      </c>
      <c r="W28">
        <v>386000</v>
      </c>
      <c r="X28">
        <v>426000</v>
      </c>
      <c r="Y28">
        <v>447000</v>
      </c>
      <c r="Z28">
        <v>433000</v>
      </c>
      <c r="AA28">
        <v>418000</v>
      </c>
      <c r="AB28">
        <v>438000</v>
      </c>
      <c r="AC28">
        <v>441000</v>
      </c>
      <c r="AD28">
        <v>412000</v>
      </c>
      <c r="AJ28" s="23"/>
      <c r="AK28" s="23"/>
    </row>
    <row r="29" spans="1:37" x14ac:dyDescent="0.25">
      <c r="A29" s="23" t="str">
        <f>'Intermediate calculations'!A37</f>
        <v>Egg production</v>
      </c>
      <c r="B29" t="str">
        <f>'Intermediate calculations'!B37</f>
        <v>t</v>
      </c>
      <c r="C29">
        <v>224000</v>
      </c>
      <c r="D29">
        <v>232000</v>
      </c>
      <c r="E29">
        <v>238000</v>
      </c>
      <c r="F29">
        <v>235000</v>
      </c>
      <c r="G29">
        <v>251000</v>
      </c>
      <c r="H29">
        <v>290000</v>
      </c>
      <c r="I29">
        <v>282000</v>
      </c>
      <c r="J29">
        <v>314000</v>
      </c>
      <c r="K29">
        <v>323000</v>
      </c>
      <c r="L29">
        <v>318000</v>
      </c>
      <c r="M29">
        <v>329000</v>
      </c>
      <c r="N29">
        <v>330000</v>
      </c>
      <c r="O29">
        <v>340000</v>
      </c>
      <c r="P29">
        <v>328000</v>
      </c>
      <c r="Q29">
        <v>348000</v>
      </c>
      <c r="R29">
        <v>375000</v>
      </c>
      <c r="S29">
        <v>412000</v>
      </c>
      <c r="T29">
        <v>438000</v>
      </c>
      <c r="U29">
        <v>426000</v>
      </c>
      <c r="V29">
        <v>404000</v>
      </c>
      <c r="W29">
        <v>413000</v>
      </c>
      <c r="X29">
        <v>452000</v>
      </c>
      <c r="Y29">
        <v>477000</v>
      </c>
      <c r="Z29">
        <v>468000</v>
      </c>
      <c r="AA29">
        <v>453000</v>
      </c>
      <c r="AB29">
        <v>477000</v>
      </c>
      <c r="AC29">
        <v>478000</v>
      </c>
      <c r="AD29">
        <v>445000</v>
      </c>
      <c r="AJ29" s="23">
        <f>SLOPE(M29:AD29,M28:AD28)</f>
        <v>1.0877031438417331</v>
      </c>
      <c r="AK29" s="23">
        <f>INTERCEPT(M29:AD29,M28:AD28)</f>
        <v>-7076.6409178745816</v>
      </c>
    </row>
    <row r="30" spans="1:37" x14ac:dyDescent="0.25">
      <c r="A30" s="23" t="s">
        <v>836</v>
      </c>
      <c r="B30" t="s">
        <v>815</v>
      </c>
      <c r="C30">
        <f t="shared" ref="C30:AD30" si="5">SUM(C65,C67)/C29</f>
        <v>68.119237849915791</v>
      </c>
      <c r="D30">
        <f t="shared" si="5"/>
        <v>63.894859769163475</v>
      </c>
      <c r="E30">
        <f t="shared" si="5"/>
        <v>59.072103114550025</v>
      </c>
      <c r="F30">
        <f t="shared" si="5"/>
        <v>58.885553141022513</v>
      </c>
      <c r="G30">
        <f t="shared" si="5"/>
        <v>52.733853566608673</v>
      </c>
      <c r="H30">
        <f t="shared" si="5"/>
        <v>49.801167659087803</v>
      </c>
      <c r="I30">
        <f t="shared" si="5"/>
        <v>54.097578895179353</v>
      </c>
      <c r="J30">
        <f t="shared" si="5"/>
        <v>48.744213441440387</v>
      </c>
      <c r="K30">
        <f t="shared" si="5"/>
        <v>53.352655002236958</v>
      </c>
      <c r="L30">
        <f t="shared" si="5"/>
        <v>58.098761689825743</v>
      </c>
      <c r="M30">
        <f t="shared" si="5"/>
        <v>54.966389071324642</v>
      </c>
      <c r="N30">
        <f t="shared" si="5"/>
        <v>56.261688084642699</v>
      </c>
      <c r="O30">
        <f t="shared" si="5"/>
        <v>54.178346501154266</v>
      </c>
      <c r="P30">
        <f t="shared" si="5"/>
        <v>53.918414227536552</v>
      </c>
      <c r="Q30">
        <f t="shared" si="5"/>
        <v>52.662428155033204</v>
      </c>
      <c r="R30">
        <f t="shared" si="5"/>
        <v>51.817664184004158</v>
      </c>
      <c r="S30">
        <f t="shared" si="5"/>
        <v>52.051167139869889</v>
      </c>
      <c r="T30">
        <f t="shared" si="5"/>
        <v>54.184194262204088</v>
      </c>
      <c r="U30">
        <f t="shared" si="5"/>
        <v>56.444210182137155</v>
      </c>
      <c r="V30">
        <f t="shared" si="5"/>
        <v>57.323692110809887</v>
      </c>
      <c r="W30">
        <f t="shared" si="5"/>
        <v>58.258803357595554</v>
      </c>
      <c r="X30">
        <f t="shared" si="5"/>
        <v>55.689096813946371</v>
      </c>
      <c r="Y30">
        <f t="shared" si="5"/>
        <v>54.692702222346824</v>
      </c>
      <c r="Z30">
        <f t="shared" si="5"/>
        <v>54.659527423183164</v>
      </c>
      <c r="AA30">
        <f t="shared" si="5"/>
        <v>55.988522813895251</v>
      </c>
      <c r="AB30">
        <f t="shared" si="5"/>
        <v>54.287021951504038</v>
      </c>
      <c r="AC30">
        <f t="shared" si="5"/>
        <v>54.061924686192469</v>
      </c>
      <c r="AD30">
        <f t="shared" si="5"/>
        <v>54.23083146067416</v>
      </c>
      <c r="AJ30" s="23">
        <f>SLOPE(K30:AD30,LN(K2:AD2))</f>
        <v>3.721208914924904E-2</v>
      </c>
      <c r="AK30" s="23">
        <f>INTERCEPT(K30:AD30,LN(K2:AD2))</f>
        <v>54.777632230309557</v>
      </c>
    </row>
    <row r="31" spans="1:37" x14ac:dyDescent="0.25">
      <c r="A31" s="23" t="str">
        <f>'Intermediate calculations'!A39</f>
        <v>Chicken consumption</v>
      </c>
      <c r="B31" t="str">
        <f>'Intermediate calculations'!B39</f>
        <v>t</v>
      </c>
      <c r="C31">
        <f>C32-C25</f>
        <v>480000</v>
      </c>
      <c r="D31">
        <f t="shared" ref="D31:AD31" si="6">D32-D25</f>
        <v>463000</v>
      </c>
      <c r="E31">
        <f t="shared" si="6"/>
        <v>459000</v>
      </c>
      <c r="F31">
        <f t="shared" si="6"/>
        <v>451000</v>
      </c>
      <c r="G31">
        <f t="shared" si="6"/>
        <v>487000</v>
      </c>
      <c r="H31">
        <f t="shared" si="6"/>
        <v>538000</v>
      </c>
      <c r="I31">
        <f t="shared" si="6"/>
        <v>607000</v>
      </c>
      <c r="J31">
        <f t="shared" si="6"/>
        <v>693000</v>
      </c>
      <c r="K31">
        <f t="shared" si="6"/>
        <v>724000</v>
      </c>
      <c r="L31">
        <f t="shared" si="6"/>
        <v>748000</v>
      </c>
      <c r="M31">
        <f t="shared" si="6"/>
        <v>796000</v>
      </c>
      <c r="N31">
        <f t="shared" si="6"/>
        <v>823000</v>
      </c>
      <c r="O31">
        <f t="shared" si="6"/>
        <v>842000</v>
      </c>
      <c r="P31">
        <f t="shared" si="6"/>
        <v>886000</v>
      </c>
      <c r="Q31">
        <f t="shared" si="6"/>
        <v>1022000</v>
      </c>
      <c r="R31">
        <f t="shared" si="6"/>
        <v>1273000</v>
      </c>
      <c r="S31">
        <f t="shared" si="6"/>
        <v>1471000</v>
      </c>
      <c r="T31">
        <f t="shared" si="6"/>
        <v>1561000</v>
      </c>
      <c r="U31">
        <f t="shared" si="6"/>
        <v>1615000</v>
      </c>
      <c r="V31">
        <f t="shared" si="6"/>
        <v>1642000</v>
      </c>
      <c r="W31">
        <f t="shared" si="6"/>
        <v>1672000</v>
      </c>
      <c r="X31">
        <f t="shared" si="6"/>
        <v>1756000</v>
      </c>
      <c r="Y31">
        <f t="shared" si="6"/>
        <v>1811000</v>
      </c>
      <c r="Z31">
        <f t="shared" si="6"/>
        <v>1816000</v>
      </c>
      <c r="AA31">
        <f t="shared" si="6"/>
        <v>1779000</v>
      </c>
      <c r="AB31">
        <f t="shared" si="6"/>
        <v>1822000</v>
      </c>
      <c r="AC31">
        <f t="shared" si="6"/>
        <v>1937000</v>
      </c>
      <c r="AD31">
        <f t="shared" si="6"/>
        <v>1901000</v>
      </c>
      <c r="AJ31" s="23"/>
      <c r="AK31" s="23"/>
    </row>
    <row r="32" spans="1:37" x14ac:dyDescent="0.25">
      <c r="A32" s="23" t="s">
        <v>935</v>
      </c>
      <c r="B32" t="s">
        <v>321</v>
      </c>
      <c r="C32">
        <v>605000</v>
      </c>
      <c r="D32">
        <v>593000</v>
      </c>
      <c r="E32">
        <v>571000</v>
      </c>
      <c r="F32">
        <v>580000</v>
      </c>
      <c r="G32">
        <v>609000</v>
      </c>
      <c r="H32">
        <v>662000</v>
      </c>
      <c r="I32">
        <v>738000</v>
      </c>
      <c r="J32">
        <v>826000</v>
      </c>
      <c r="K32">
        <v>854000</v>
      </c>
      <c r="L32">
        <v>874000</v>
      </c>
      <c r="M32">
        <v>927000</v>
      </c>
      <c r="N32">
        <v>938000</v>
      </c>
      <c r="O32">
        <v>965000</v>
      </c>
      <c r="P32">
        <v>1032000</v>
      </c>
      <c r="Q32">
        <v>1196000</v>
      </c>
      <c r="R32">
        <v>1455000</v>
      </c>
      <c r="S32">
        <v>1664000</v>
      </c>
      <c r="T32">
        <v>1767000</v>
      </c>
      <c r="U32">
        <v>1813000</v>
      </c>
      <c r="V32">
        <v>1841000</v>
      </c>
      <c r="W32">
        <v>1887000</v>
      </c>
      <c r="X32">
        <v>1987000</v>
      </c>
      <c r="Y32">
        <v>2048000</v>
      </c>
      <c r="Z32">
        <v>2061000</v>
      </c>
      <c r="AA32">
        <v>2015000</v>
      </c>
      <c r="AB32">
        <v>2076000</v>
      </c>
      <c r="AC32">
        <v>2200000</v>
      </c>
      <c r="AD32">
        <v>2155000</v>
      </c>
      <c r="AJ32" s="23"/>
      <c r="AK32" s="23"/>
    </row>
    <row r="33" spans="1:37" x14ac:dyDescent="0.25">
      <c r="A33" s="23" t="str">
        <f>'Intermediate calculations'!A42</f>
        <v>Chicken production</v>
      </c>
      <c r="B33" t="str">
        <f>'Intermediate calculations'!B42</f>
        <v>t</v>
      </c>
      <c r="C33">
        <f>C34-C26</f>
        <v>482800</v>
      </c>
      <c r="D33">
        <f t="shared" ref="D33:AD33" si="7">D34-D26</f>
        <v>462200</v>
      </c>
      <c r="E33">
        <f t="shared" si="7"/>
        <v>451300</v>
      </c>
      <c r="F33">
        <f t="shared" si="7"/>
        <v>447400</v>
      </c>
      <c r="G33">
        <f t="shared" si="7"/>
        <v>487400</v>
      </c>
      <c r="H33">
        <f t="shared" si="7"/>
        <v>528000</v>
      </c>
      <c r="I33">
        <f t="shared" si="7"/>
        <v>572500</v>
      </c>
      <c r="J33">
        <f t="shared" si="7"/>
        <v>625100</v>
      </c>
      <c r="K33">
        <f t="shared" si="7"/>
        <v>652000</v>
      </c>
      <c r="L33">
        <f t="shared" si="7"/>
        <v>683800</v>
      </c>
      <c r="M33">
        <f t="shared" si="7"/>
        <v>727000</v>
      </c>
      <c r="N33">
        <f t="shared" si="7"/>
        <v>762100</v>
      </c>
      <c r="O33">
        <f t="shared" si="7"/>
        <v>779400</v>
      </c>
      <c r="P33">
        <f t="shared" si="7"/>
        <v>790000</v>
      </c>
      <c r="Q33">
        <f t="shared" si="7"/>
        <v>886200</v>
      </c>
      <c r="R33">
        <f t="shared" si="7"/>
        <v>1113300</v>
      </c>
      <c r="S33">
        <f t="shared" si="7"/>
        <v>1255600</v>
      </c>
      <c r="T33">
        <f t="shared" si="7"/>
        <v>1311900</v>
      </c>
      <c r="U33">
        <f t="shared" si="7"/>
        <v>1402300</v>
      </c>
      <c r="V33">
        <f t="shared" si="7"/>
        <v>1463300</v>
      </c>
      <c r="W33">
        <f t="shared" si="7"/>
        <v>1489100</v>
      </c>
      <c r="X33">
        <f t="shared" si="7"/>
        <v>1515900</v>
      </c>
      <c r="Y33">
        <f t="shared" si="7"/>
        <v>1475000</v>
      </c>
      <c r="Z33">
        <f t="shared" si="7"/>
        <v>1477500</v>
      </c>
      <c r="AA33">
        <f t="shared" si="7"/>
        <v>1443800</v>
      </c>
      <c r="AB33">
        <f t="shared" si="7"/>
        <v>1476000</v>
      </c>
      <c r="AC33">
        <f t="shared" si="7"/>
        <v>1460900</v>
      </c>
      <c r="AD33">
        <f t="shared" si="7"/>
        <v>1431200</v>
      </c>
      <c r="AJ33" s="23">
        <f>SLOPE(M33:AD33,M31:AD31)</f>
        <v>0.72079650032034193</v>
      </c>
      <c r="AK33" s="23">
        <f>INTERCEPT(M33:AD33,M31:AD31)</f>
        <v>178525.13772416487</v>
      </c>
    </row>
    <row r="34" spans="1:37" x14ac:dyDescent="0.25">
      <c r="A34" s="23" t="s">
        <v>936</v>
      </c>
      <c r="B34" t="s">
        <v>321</v>
      </c>
      <c r="C34">
        <v>609000</v>
      </c>
      <c r="D34">
        <v>593000</v>
      </c>
      <c r="E34">
        <v>564000</v>
      </c>
      <c r="F34">
        <v>577000</v>
      </c>
      <c r="G34">
        <v>607000</v>
      </c>
      <c r="H34">
        <v>647000</v>
      </c>
      <c r="I34">
        <v>699000</v>
      </c>
      <c r="J34">
        <v>753000</v>
      </c>
      <c r="K34">
        <v>777000</v>
      </c>
      <c r="L34">
        <v>803000</v>
      </c>
      <c r="M34">
        <v>850000</v>
      </c>
      <c r="N34">
        <v>869000</v>
      </c>
      <c r="O34">
        <v>896000</v>
      </c>
      <c r="P34">
        <v>925000</v>
      </c>
      <c r="Q34">
        <v>1043000</v>
      </c>
      <c r="R34">
        <v>1273000</v>
      </c>
      <c r="S34">
        <v>1427000</v>
      </c>
      <c r="T34">
        <v>1499000</v>
      </c>
      <c r="U34">
        <v>1584000</v>
      </c>
      <c r="V34">
        <v>1644000</v>
      </c>
      <c r="W34">
        <v>1681000</v>
      </c>
      <c r="X34">
        <v>1721000</v>
      </c>
      <c r="Y34">
        <v>1681000</v>
      </c>
      <c r="Z34">
        <v>1691000</v>
      </c>
      <c r="AA34">
        <v>1668000</v>
      </c>
      <c r="AB34">
        <v>1709000</v>
      </c>
      <c r="AC34">
        <v>1704000</v>
      </c>
      <c r="AD34">
        <v>1663000</v>
      </c>
      <c r="AJ34" s="23"/>
      <c r="AK34" s="23"/>
    </row>
    <row r="35" spans="1:37" x14ac:dyDescent="0.25">
      <c r="A35" s="23" t="s">
        <v>838</v>
      </c>
      <c r="B35" t="s">
        <v>815</v>
      </c>
      <c r="C35">
        <f t="shared" ref="C35:AB35" si="8">SUM(C66,C68)/C33</f>
        <v>86.98690270724579</v>
      </c>
      <c r="D35">
        <f t="shared" si="8"/>
        <v>85.412029598416751</v>
      </c>
      <c r="E35">
        <f t="shared" si="8"/>
        <v>82.670075098233795</v>
      </c>
      <c r="F35">
        <f t="shared" si="8"/>
        <v>93.784908087692543</v>
      </c>
      <c r="G35">
        <f t="shared" si="8"/>
        <v>85.280758961852342</v>
      </c>
      <c r="H35">
        <f t="shared" si="8"/>
        <v>90.110194006957386</v>
      </c>
      <c r="I35">
        <f t="shared" si="8"/>
        <v>96.630851643558501</v>
      </c>
      <c r="J35">
        <f t="shared" si="8"/>
        <v>90.082578577450462</v>
      </c>
      <c r="K35">
        <f t="shared" si="8"/>
        <v>94.634047967599372</v>
      </c>
      <c r="L35">
        <f t="shared" si="8"/>
        <v>94.202352622715566</v>
      </c>
      <c r="M35">
        <f t="shared" si="8"/>
        <v>95.33205671803546</v>
      </c>
      <c r="N35">
        <f t="shared" si="8"/>
        <v>87.813432210520816</v>
      </c>
      <c r="O35">
        <f t="shared" si="8"/>
        <v>95.16546905639143</v>
      </c>
      <c r="P35">
        <f t="shared" si="8"/>
        <v>89.302199213409068</v>
      </c>
      <c r="Q35">
        <f t="shared" si="8"/>
        <v>81.529954234122201</v>
      </c>
      <c r="R35">
        <f t="shared" si="8"/>
        <v>71.80889155599867</v>
      </c>
      <c r="S35">
        <f t="shared" si="8"/>
        <v>68.101686202690857</v>
      </c>
      <c r="T35">
        <f t="shared" si="8"/>
        <v>68.19521740619362</v>
      </c>
      <c r="U35">
        <f t="shared" si="8"/>
        <v>67.928587433949829</v>
      </c>
      <c r="V35">
        <f t="shared" si="8"/>
        <v>61.42602874071288</v>
      </c>
      <c r="W35">
        <f t="shared" si="8"/>
        <v>61.879913995624968</v>
      </c>
      <c r="X35">
        <f t="shared" si="8"/>
        <v>62.868580144994802</v>
      </c>
      <c r="Y35">
        <f t="shared" si="8"/>
        <v>66.051244173620844</v>
      </c>
      <c r="Z35">
        <f t="shared" si="8"/>
        <v>64.213565829178464</v>
      </c>
      <c r="AA35">
        <f t="shared" si="8"/>
        <v>68.701063341906504</v>
      </c>
      <c r="AB35">
        <f t="shared" si="8"/>
        <v>69.913648944780405</v>
      </c>
      <c r="AC35">
        <f t="shared" ref="AC35:AD35" si="9">SUM(AC66,AC68)/AC33</f>
        <v>65.686786999794649</v>
      </c>
      <c r="AD35">
        <f t="shared" si="9"/>
        <v>66.964110342370034</v>
      </c>
      <c r="AJ35" s="23">
        <f>SLOPE(K35:AD35,LN(K2:AD2))</f>
        <v>-13.661011546309085</v>
      </c>
      <c r="AK35" s="23">
        <f>INTERCEPT(K35:AD35,LN(K2:AD2))</f>
        <v>104.00330912125385</v>
      </c>
    </row>
    <row r="36" spans="1:37" x14ac:dyDescent="0.25">
      <c r="A36" t="str">
        <f>'Intermediate calculations'!A49</f>
        <v>Sorghum consumption (total)</v>
      </c>
      <c r="B36" t="str">
        <f>'Intermediate calculations'!B49</f>
        <v>t</v>
      </c>
      <c r="C36">
        <v>316000</v>
      </c>
      <c r="D36">
        <v>245000</v>
      </c>
      <c r="E36">
        <v>243000</v>
      </c>
      <c r="F36">
        <v>287000</v>
      </c>
      <c r="G36">
        <v>410000</v>
      </c>
      <c r="H36">
        <v>303000</v>
      </c>
      <c r="I36">
        <v>331000</v>
      </c>
      <c r="J36">
        <v>243000</v>
      </c>
      <c r="K36">
        <v>235000</v>
      </c>
      <c r="L36">
        <v>0</v>
      </c>
      <c r="M36">
        <v>210000</v>
      </c>
      <c r="N36">
        <v>209000</v>
      </c>
      <c r="O36">
        <v>206000</v>
      </c>
      <c r="P36">
        <v>196000</v>
      </c>
      <c r="Q36">
        <v>179000</v>
      </c>
      <c r="R36">
        <v>189000</v>
      </c>
      <c r="S36">
        <v>203000</v>
      </c>
      <c r="T36">
        <v>190000</v>
      </c>
      <c r="U36">
        <v>196000</v>
      </c>
      <c r="V36">
        <v>187000</v>
      </c>
      <c r="W36">
        <v>192000</v>
      </c>
      <c r="X36">
        <v>191000</v>
      </c>
      <c r="Y36">
        <v>190000</v>
      </c>
      <c r="Z36">
        <v>165000</v>
      </c>
      <c r="AA36">
        <v>170000</v>
      </c>
      <c r="AB36">
        <v>160000</v>
      </c>
      <c r="AC36">
        <v>159000</v>
      </c>
      <c r="AD36">
        <v>171000</v>
      </c>
      <c r="AJ36" s="23"/>
      <c r="AK36" s="23"/>
    </row>
    <row r="37" spans="1:37" x14ac:dyDescent="0.25">
      <c r="A37" t="s">
        <v>871</v>
      </c>
      <c r="B37" t="s">
        <v>321</v>
      </c>
      <c r="C37">
        <f t="shared" ref="C37:AD37" si="10">C40-C39</f>
        <v>4072000</v>
      </c>
      <c r="D37">
        <f t="shared" si="10"/>
        <v>4235000</v>
      </c>
      <c r="E37">
        <f t="shared" si="10"/>
        <v>4455000</v>
      </c>
      <c r="F37">
        <f t="shared" si="10"/>
        <v>4085000</v>
      </c>
      <c r="G37">
        <f t="shared" si="10"/>
        <v>3855000</v>
      </c>
      <c r="H37">
        <f t="shared" si="10"/>
        <v>3877000</v>
      </c>
      <c r="I37">
        <f t="shared" si="10"/>
        <v>4035000</v>
      </c>
      <c r="J37">
        <f t="shared" si="10"/>
        <v>3826000</v>
      </c>
      <c r="K37">
        <f t="shared" si="10"/>
        <v>3001000</v>
      </c>
      <c r="L37">
        <f t="shared" si="10"/>
        <v>2960000</v>
      </c>
      <c r="M37">
        <f t="shared" si="10"/>
        <v>2936000</v>
      </c>
      <c r="N37">
        <f t="shared" si="10"/>
        <v>3263000</v>
      </c>
      <c r="O37">
        <f t="shared" si="10"/>
        <v>3274000</v>
      </c>
      <c r="P37">
        <f t="shared" si="10"/>
        <v>3275000</v>
      </c>
      <c r="Q37">
        <f t="shared" si="10"/>
        <v>3531000</v>
      </c>
      <c r="R37">
        <f t="shared" si="10"/>
        <v>3543000</v>
      </c>
      <c r="S37">
        <f t="shared" si="10"/>
        <v>3637000</v>
      </c>
      <c r="T37">
        <f t="shared" si="10"/>
        <v>3844000</v>
      </c>
      <c r="U37">
        <f t="shared" si="10"/>
        <v>4220000</v>
      </c>
      <c r="V37">
        <f t="shared" si="10"/>
        <v>4089000</v>
      </c>
      <c r="W37">
        <f t="shared" si="10"/>
        <v>4187000</v>
      </c>
      <c r="X37">
        <f t="shared" si="10"/>
        <v>4344000</v>
      </c>
      <c r="Y37">
        <f t="shared" si="10"/>
        <v>4429000</v>
      </c>
      <c r="Z37">
        <f t="shared" si="10"/>
        <v>4436000</v>
      </c>
      <c r="AA37">
        <f t="shared" si="10"/>
        <v>4767000</v>
      </c>
      <c r="AB37">
        <f t="shared" si="10"/>
        <v>5087000</v>
      </c>
      <c r="AC37">
        <f t="shared" si="10"/>
        <v>5551000</v>
      </c>
      <c r="AD37">
        <f t="shared" si="10"/>
        <v>5004000</v>
      </c>
      <c r="AJ37" s="23">
        <f>SLOPE(K39:AD39,K37:AD37)</f>
        <v>0.61361155339122397</v>
      </c>
      <c r="AK37" s="23">
        <f>INTERCEPT(K39:AD39,K37:AD37)</f>
        <v>1650287.1057455712</v>
      </c>
    </row>
    <row r="38" spans="1:37" x14ac:dyDescent="0.25">
      <c r="A38" t="s">
        <v>877</v>
      </c>
      <c r="B38" t="s">
        <v>321</v>
      </c>
      <c r="C38">
        <f>C44-C43</f>
        <v>122000</v>
      </c>
      <c r="D38">
        <f t="shared" ref="D38:AD38" si="11">D44-D43</f>
        <v>50000</v>
      </c>
      <c r="E38">
        <f t="shared" si="11"/>
        <v>44000</v>
      </c>
      <c r="F38">
        <f t="shared" si="11"/>
        <v>87000</v>
      </c>
      <c r="G38">
        <f t="shared" si="11"/>
        <v>226000</v>
      </c>
      <c r="H38">
        <f t="shared" si="11"/>
        <v>120000</v>
      </c>
      <c r="I38">
        <f t="shared" si="11"/>
        <v>150000</v>
      </c>
      <c r="J38">
        <f t="shared" si="11"/>
        <v>64000</v>
      </c>
      <c r="K38">
        <f t="shared" si="11"/>
        <v>58000</v>
      </c>
      <c r="L38">
        <f t="shared" si="11"/>
        <v>-175500</v>
      </c>
      <c r="M38">
        <f t="shared" si="11"/>
        <v>36000</v>
      </c>
      <c r="N38">
        <f t="shared" si="11"/>
        <v>23000</v>
      </c>
      <c r="O38">
        <f t="shared" si="11"/>
        <v>16000</v>
      </c>
      <c r="P38">
        <f t="shared" si="11"/>
        <v>22000</v>
      </c>
      <c r="Q38">
        <f t="shared" si="11"/>
        <v>10000</v>
      </c>
      <c r="R38">
        <f t="shared" si="11"/>
        <v>10000</v>
      </c>
      <c r="S38">
        <f t="shared" si="11"/>
        <v>12000</v>
      </c>
      <c r="T38">
        <f t="shared" si="11"/>
        <v>8000</v>
      </c>
      <c r="U38">
        <f t="shared" si="11"/>
        <v>11000</v>
      </c>
      <c r="V38">
        <f t="shared" si="11"/>
        <v>10000</v>
      </c>
      <c r="W38">
        <f t="shared" si="11"/>
        <v>8000</v>
      </c>
      <c r="X38">
        <f t="shared" si="11"/>
        <v>9000</v>
      </c>
      <c r="Y38">
        <f t="shared" si="11"/>
        <v>7000</v>
      </c>
      <c r="Z38">
        <f t="shared" si="11"/>
        <v>6000</v>
      </c>
      <c r="AA38">
        <f t="shared" si="11"/>
        <v>5000</v>
      </c>
      <c r="AB38">
        <f t="shared" si="11"/>
        <v>7000</v>
      </c>
      <c r="AC38">
        <f t="shared" si="11"/>
        <v>10000</v>
      </c>
      <c r="AD38">
        <f t="shared" si="11"/>
        <v>10000</v>
      </c>
      <c r="AJ38" s="23"/>
      <c r="AK38" s="23"/>
    </row>
    <row r="39" spans="1:37" x14ac:dyDescent="0.25">
      <c r="A39" t="str">
        <f>'Intermediate calculations'!A45</f>
        <v>Maize consumption (human)</v>
      </c>
      <c r="B39" t="str">
        <f>'Intermediate calculations'!B45</f>
        <v>t</v>
      </c>
      <c r="C39">
        <v>2353000</v>
      </c>
      <c r="D39">
        <v>2534000</v>
      </c>
      <c r="E39">
        <v>2567000</v>
      </c>
      <c r="F39">
        <v>2743000</v>
      </c>
      <c r="G39">
        <v>2918000</v>
      </c>
      <c r="H39">
        <v>2540000</v>
      </c>
      <c r="I39">
        <v>2807000</v>
      </c>
      <c r="J39">
        <v>2912000</v>
      </c>
      <c r="K39">
        <v>3382000</v>
      </c>
      <c r="L39">
        <v>3381000</v>
      </c>
      <c r="M39">
        <v>3426000</v>
      </c>
      <c r="N39">
        <v>3589000</v>
      </c>
      <c r="O39">
        <v>3877000</v>
      </c>
      <c r="P39">
        <v>3708000</v>
      </c>
      <c r="Q39">
        <v>3712000</v>
      </c>
      <c r="R39">
        <v>3740000</v>
      </c>
      <c r="S39">
        <v>3825000</v>
      </c>
      <c r="T39">
        <v>3816000</v>
      </c>
      <c r="U39">
        <v>3809000</v>
      </c>
      <c r="V39">
        <v>4524000</v>
      </c>
      <c r="W39">
        <v>4471000</v>
      </c>
      <c r="X39">
        <v>4513000</v>
      </c>
      <c r="Y39">
        <v>4512000</v>
      </c>
      <c r="Z39">
        <v>4499000</v>
      </c>
      <c r="AA39">
        <v>4582000</v>
      </c>
      <c r="AB39">
        <v>4840000</v>
      </c>
      <c r="AC39">
        <v>4698000</v>
      </c>
      <c r="AD39">
        <v>4809000</v>
      </c>
      <c r="AJ39">
        <f>SLOPE(M39:AD39,Drivers!N4:AE4)</f>
        <v>0.12497708592423579</v>
      </c>
      <c r="AK39">
        <f>INTERCEPT(M39:AD39,Drivers!N4:AE4)</f>
        <v>-2125948.8862176687</v>
      </c>
    </row>
    <row r="40" spans="1:37" x14ac:dyDescent="0.25">
      <c r="A40" t="str">
        <f>'Intermediate calculations'!A44</f>
        <v>Maize consumption (total)</v>
      </c>
      <c r="B40" t="str">
        <f>'Intermediate calculations'!B44</f>
        <v>t</v>
      </c>
      <c r="C40">
        <v>6425000</v>
      </c>
      <c r="D40">
        <v>6769000</v>
      </c>
      <c r="E40">
        <v>7022000</v>
      </c>
      <c r="F40">
        <v>6828000</v>
      </c>
      <c r="G40">
        <v>6773000</v>
      </c>
      <c r="H40">
        <v>6417000</v>
      </c>
      <c r="I40">
        <v>6842000</v>
      </c>
      <c r="J40">
        <v>6738000</v>
      </c>
      <c r="K40">
        <v>6383000</v>
      </c>
      <c r="L40">
        <v>6341000</v>
      </c>
      <c r="M40">
        <v>6362000</v>
      </c>
      <c r="N40">
        <v>6852000</v>
      </c>
      <c r="O40">
        <v>7151000</v>
      </c>
      <c r="P40">
        <v>6983000</v>
      </c>
      <c r="Q40">
        <v>7243000</v>
      </c>
      <c r="R40">
        <v>7283000</v>
      </c>
      <c r="S40">
        <v>7462000</v>
      </c>
      <c r="T40">
        <v>7660000</v>
      </c>
      <c r="U40">
        <v>8029000</v>
      </c>
      <c r="V40">
        <v>8613000</v>
      </c>
      <c r="W40">
        <v>8658000</v>
      </c>
      <c r="X40">
        <v>8857000</v>
      </c>
      <c r="Y40">
        <v>8941000</v>
      </c>
      <c r="Z40">
        <v>8935000</v>
      </c>
      <c r="AA40">
        <v>9349000</v>
      </c>
      <c r="AB40">
        <v>9927000</v>
      </c>
      <c r="AC40">
        <v>10249000</v>
      </c>
      <c r="AD40">
        <v>9813000</v>
      </c>
      <c r="AJ40">
        <f>SLOPE(M40:AD40,M39:AD39)</f>
        <v>2.3833210982866073</v>
      </c>
      <c r="AK40">
        <f>INTERCEPT(M40:AD40,M39:AD39)</f>
        <v>-1681273.1286989572</v>
      </c>
    </row>
    <row r="41" spans="1:37" x14ac:dyDescent="0.25">
      <c r="A41" t="str">
        <f>'Intermediate calculations'!A46</f>
        <v>Maize production</v>
      </c>
      <c r="B41" t="str">
        <f>'Intermediate calculations'!B46</f>
        <v>t</v>
      </c>
      <c r="C41">
        <v>9180000</v>
      </c>
      <c r="D41">
        <v>8614000</v>
      </c>
      <c r="E41">
        <v>3277000</v>
      </c>
      <c r="F41">
        <v>9997000</v>
      </c>
      <c r="G41">
        <v>13275000</v>
      </c>
      <c r="H41">
        <v>4866000</v>
      </c>
      <c r="I41">
        <v>10171000</v>
      </c>
      <c r="J41">
        <v>10136000</v>
      </c>
      <c r="K41">
        <v>7693000</v>
      </c>
      <c r="L41">
        <v>7946000</v>
      </c>
      <c r="M41">
        <v>11455000</v>
      </c>
      <c r="N41">
        <v>7772000</v>
      </c>
      <c r="O41">
        <v>10076000</v>
      </c>
      <c r="P41">
        <v>9705000</v>
      </c>
      <c r="Q41">
        <v>9737000</v>
      </c>
      <c r="R41">
        <v>11749000</v>
      </c>
      <c r="S41">
        <v>6618000</v>
      </c>
      <c r="T41">
        <v>7339000</v>
      </c>
      <c r="U41">
        <v>13164000</v>
      </c>
      <c r="V41">
        <v>12567000</v>
      </c>
      <c r="W41">
        <v>13421000</v>
      </c>
      <c r="X41">
        <v>10924000</v>
      </c>
      <c r="Y41">
        <v>12759000</v>
      </c>
      <c r="Z41">
        <v>12486000</v>
      </c>
      <c r="AA41">
        <v>14925000</v>
      </c>
      <c r="AB41">
        <v>10629000</v>
      </c>
      <c r="AC41">
        <v>7779000</v>
      </c>
      <c r="AD41">
        <v>16820000</v>
      </c>
      <c r="AJ41">
        <f>SLOPE(M41:AD41,M40:AD40)</f>
        <v>0.94561737822009173</v>
      </c>
      <c r="AK41">
        <f>INTERCEPT(M41:AD41,M40:AD40)</f>
        <v>3312588.1358677577</v>
      </c>
    </row>
    <row r="42" spans="1:37" x14ac:dyDescent="0.25">
      <c r="A42" t="s">
        <v>367</v>
      </c>
      <c r="B42" t="s">
        <v>361</v>
      </c>
      <c r="C42">
        <v>4163000</v>
      </c>
      <c r="D42">
        <v>3816000</v>
      </c>
      <c r="E42">
        <v>4173000</v>
      </c>
      <c r="F42">
        <v>4377000</v>
      </c>
      <c r="G42">
        <v>4661000</v>
      </c>
      <c r="H42">
        <v>3526000</v>
      </c>
      <c r="I42">
        <v>3761000</v>
      </c>
      <c r="J42">
        <v>4023000</v>
      </c>
      <c r="K42">
        <v>3560000</v>
      </c>
      <c r="L42">
        <v>3567000</v>
      </c>
      <c r="M42">
        <v>4013000</v>
      </c>
      <c r="N42">
        <v>3189000</v>
      </c>
      <c r="O42">
        <v>3533000</v>
      </c>
      <c r="P42">
        <v>3651000</v>
      </c>
      <c r="Q42">
        <v>3204000</v>
      </c>
      <c r="R42">
        <v>3223000</v>
      </c>
      <c r="S42">
        <v>2032000</v>
      </c>
      <c r="T42">
        <v>2897000</v>
      </c>
      <c r="U42">
        <v>3297000</v>
      </c>
      <c r="V42">
        <v>2896000</v>
      </c>
      <c r="W42">
        <v>3263000</v>
      </c>
      <c r="X42">
        <v>2859000</v>
      </c>
      <c r="Y42">
        <v>3141000</v>
      </c>
      <c r="Z42">
        <v>3238000</v>
      </c>
      <c r="AA42">
        <v>3096000</v>
      </c>
      <c r="AB42">
        <v>3048000</v>
      </c>
      <c r="AC42">
        <v>2213000</v>
      </c>
      <c r="AD42">
        <v>2997000</v>
      </c>
      <c r="AJ42">
        <f>SLOPE(M42:AD42,LN(M41:AD41))</f>
        <v>770524.49426802737</v>
      </c>
      <c r="AK42">
        <f>INTERCEPT(M42:AD42,LN(M41:AD41))</f>
        <v>-9377977.4579253141</v>
      </c>
    </row>
    <row r="43" spans="1:37" x14ac:dyDescent="0.25">
      <c r="A43" t="str">
        <f>'Intermediate calculations'!A47</f>
        <v>Sorghum consumption (human)</v>
      </c>
      <c r="B43" t="str">
        <f>'Intermediate calculations'!B47</f>
        <v>t</v>
      </c>
      <c r="C43">
        <v>194000</v>
      </c>
      <c r="D43">
        <v>195000</v>
      </c>
      <c r="E43">
        <v>199000</v>
      </c>
      <c r="F43">
        <v>200000</v>
      </c>
      <c r="G43">
        <v>184000</v>
      </c>
      <c r="H43">
        <v>183000</v>
      </c>
      <c r="I43">
        <v>181000</v>
      </c>
      <c r="J43">
        <v>179000</v>
      </c>
      <c r="K43">
        <v>177000</v>
      </c>
      <c r="L43">
        <v>175500</v>
      </c>
      <c r="M43">
        <v>174000</v>
      </c>
      <c r="N43">
        <v>186000</v>
      </c>
      <c r="O43">
        <v>190000</v>
      </c>
      <c r="P43">
        <v>174000</v>
      </c>
      <c r="Q43">
        <v>169000</v>
      </c>
      <c r="R43">
        <v>179000</v>
      </c>
      <c r="S43">
        <v>191000</v>
      </c>
      <c r="T43">
        <v>182000</v>
      </c>
      <c r="U43">
        <v>185000</v>
      </c>
      <c r="V43">
        <v>177000</v>
      </c>
      <c r="W43">
        <v>184000</v>
      </c>
      <c r="X43">
        <v>182000</v>
      </c>
      <c r="Y43">
        <v>183000</v>
      </c>
      <c r="Z43">
        <v>159000</v>
      </c>
      <c r="AA43">
        <v>165000</v>
      </c>
      <c r="AB43">
        <v>153000</v>
      </c>
      <c r="AC43">
        <v>149000</v>
      </c>
      <c r="AD43">
        <v>161000</v>
      </c>
    </row>
    <row r="44" spans="1:37" x14ac:dyDescent="0.25">
      <c r="A44" t="str">
        <f>'Intermediate calculations'!A49</f>
        <v>Sorghum consumption (total)</v>
      </c>
      <c r="B44" t="str">
        <f>'Intermediate calculations'!B49</f>
        <v>t</v>
      </c>
      <c r="C44">
        <v>316000</v>
      </c>
      <c r="D44">
        <v>245000</v>
      </c>
      <c r="E44">
        <v>243000</v>
      </c>
      <c r="F44">
        <v>287000</v>
      </c>
      <c r="G44">
        <v>410000</v>
      </c>
      <c r="H44">
        <v>303000</v>
      </c>
      <c r="I44">
        <v>331000</v>
      </c>
      <c r="J44">
        <v>243000</v>
      </c>
      <c r="K44">
        <v>235000</v>
      </c>
      <c r="L44">
        <v>0</v>
      </c>
      <c r="M44">
        <v>210000</v>
      </c>
      <c r="N44">
        <v>209000</v>
      </c>
      <c r="O44">
        <v>206000</v>
      </c>
      <c r="P44">
        <v>196000</v>
      </c>
      <c r="Q44">
        <v>179000</v>
      </c>
      <c r="R44">
        <v>189000</v>
      </c>
      <c r="S44">
        <v>203000</v>
      </c>
      <c r="T44">
        <v>190000</v>
      </c>
      <c r="U44">
        <v>196000</v>
      </c>
      <c r="V44">
        <v>187000</v>
      </c>
      <c r="W44">
        <v>192000</v>
      </c>
      <c r="X44">
        <v>191000</v>
      </c>
      <c r="Y44">
        <v>190000</v>
      </c>
      <c r="Z44">
        <v>165000</v>
      </c>
      <c r="AA44">
        <v>170000</v>
      </c>
      <c r="AB44">
        <v>160000</v>
      </c>
      <c r="AC44">
        <v>159000</v>
      </c>
      <c r="AD44">
        <v>171000</v>
      </c>
      <c r="AJ44">
        <f>SLOPE(W44:AD44,W43:AD43)</f>
        <v>0.99067431850789101</v>
      </c>
      <c r="AK44">
        <f>INTERCEPT(W44:AD44,W43:AD43)</f>
        <v>9307.3888091822155</v>
      </c>
    </row>
    <row r="45" spans="1:37" x14ac:dyDescent="0.25">
      <c r="A45" t="s">
        <v>812</v>
      </c>
      <c r="B45" t="s">
        <v>361</v>
      </c>
      <c r="C45">
        <v>341000</v>
      </c>
      <c r="D45">
        <v>302000</v>
      </c>
      <c r="E45">
        <v>118000</v>
      </c>
      <c r="F45">
        <v>515368</v>
      </c>
      <c r="G45">
        <v>520185</v>
      </c>
      <c r="H45">
        <v>290557</v>
      </c>
      <c r="I45">
        <v>535839</v>
      </c>
      <c r="J45">
        <v>433371</v>
      </c>
      <c r="K45">
        <v>358469</v>
      </c>
      <c r="L45">
        <v>223530</v>
      </c>
      <c r="M45">
        <v>142000</v>
      </c>
      <c r="N45">
        <v>88000</v>
      </c>
      <c r="O45">
        <v>75000</v>
      </c>
      <c r="P45">
        <v>95000</v>
      </c>
      <c r="Q45">
        <v>130000</v>
      </c>
      <c r="R45">
        <v>86000</v>
      </c>
      <c r="S45">
        <v>37000</v>
      </c>
      <c r="T45">
        <v>69000</v>
      </c>
      <c r="U45">
        <v>87000</v>
      </c>
      <c r="V45">
        <v>86000</v>
      </c>
      <c r="W45">
        <v>87000</v>
      </c>
      <c r="X45">
        <v>69000</v>
      </c>
      <c r="Y45">
        <v>49000</v>
      </c>
      <c r="Z45">
        <v>63000</v>
      </c>
      <c r="AA45">
        <v>78750</v>
      </c>
      <c r="AB45">
        <v>70000</v>
      </c>
      <c r="AC45">
        <v>48000</v>
      </c>
      <c r="AD45">
        <v>42000</v>
      </c>
      <c r="AJ45">
        <f>SLOPE(M45:AD45,M44:AD44)</f>
        <v>0.59564510705077911</v>
      </c>
      <c r="AK45">
        <f>INTERCEPT(M45:AD45,M44:AD44)</f>
        <v>-33411.36083398723</v>
      </c>
    </row>
    <row r="46" spans="1:37" x14ac:dyDescent="0.25">
      <c r="A46" t="s">
        <v>370</v>
      </c>
      <c r="B46" t="s">
        <v>361</v>
      </c>
      <c r="C46">
        <v>1563000</v>
      </c>
      <c r="D46">
        <v>1436000</v>
      </c>
      <c r="E46">
        <v>750000</v>
      </c>
      <c r="F46">
        <v>1075000</v>
      </c>
      <c r="G46">
        <v>1048000</v>
      </c>
      <c r="H46">
        <v>1363000</v>
      </c>
      <c r="I46">
        <v>1294000</v>
      </c>
      <c r="J46">
        <v>1382000</v>
      </c>
      <c r="K46">
        <v>745000</v>
      </c>
      <c r="L46">
        <v>718000</v>
      </c>
      <c r="M46">
        <v>934000</v>
      </c>
      <c r="N46">
        <v>974000</v>
      </c>
      <c r="O46">
        <v>941000</v>
      </c>
      <c r="P46">
        <v>748000</v>
      </c>
      <c r="Q46">
        <v>830000</v>
      </c>
      <c r="R46">
        <v>805000</v>
      </c>
      <c r="S46">
        <v>765000</v>
      </c>
      <c r="T46">
        <v>632000</v>
      </c>
      <c r="U46">
        <v>748000</v>
      </c>
      <c r="V46">
        <v>642000</v>
      </c>
      <c r="W46">
        <v>558000</v>
      </c>
      <c r="X46">
        <v>605000</v>
      </c>
      <c r="Y46">
        <v>511000</v>
      </c>
      <c r="Z46">
        <v>506000</v>
      </c>
      <c r="AA46">
        <v>477000</v>
      </c>
      <c r="AB46">
        <v>482000</v>
      </c>
      <c r="AC46">
        <v>508000</v>
      </c>
      <c r="AD46">
        <v>492000</v>
      </c>
    </row>
    <row r="47" spans="1:37" x14ac:dyDescent="0.25">
      <c r="A47" t="s">
        <v>383</v>
      </c>
      <c r="B47" t="s">
        <v>321</v>
      </c>
      <c r="C47">
        <v>780000</v>
      </c>
      <c r="D47">
        <v>825000</v>
      </c>
      <c r="E47">
        <v>570000</v>
      </c>
      <c r="F47">
        <v>900000</v>
      </c>
      <c r="G47">
        <v>1299451</v>
      </c>
      <c r="H47">
        <v>1032745</v>
      </c>
      <c r="I47">
        <v>1263570</v>
      </c>
      <c r="J47">
        <v>1193985</v>
      </c>
      <c r="K47">
        <v>1244321</v>
      </c>
      <c r="L47">
        <v>1237174</v>
      </c>
      <c r="M47">
        <v>825252</v>
      </c>
      <c r="N47">
        <v>1068357</v>
      </c>
      <c r="O47">
        <v>1467915</v>
      </c>
      <c r="P47">
        <v>1265742</v>
      </c>
      <c r="Q47">
        <v>1264888</v>
      </c>
      <c r="R47">
        <v>580444</v>
      </c>
      <c r="S47">
        <v>963118</v>
      </c>
      <c r="T47">
        <v>1137646</v>
      </c>
      <c r="U47">
        <v>1429803</v>
      </c>
      <c r="V47">
        <v>1517602.3688259386</v>
      </c>
      <c r="W47">
        <v>1425245.0325037544</v>
      </c>
      <c r="X47">
        <v>1576608.4448095565</v>
      </c>
      <c r="Y47">
        <v>1810067.2671795222</v>
      </c>
      <c r="Z47">
        <v>1635614.5207931739</v>
      </c>
      <c r="AA47">
        <v>1686924.1520832763</v>
      </c>
      <c r="AB47">
        <v>1702317.0414703069</v>
      </c>
      <c r="AC47">
        <v>2143579.8705651872</v>
      </c>
      <c r="AD47">
        <v>2657958.9242484635</v>
      </c>
      <c r="AJ47">
        <f>SLOPE(M47:AD47,M42:AD42)</f>
        <v>-0.28544189547795717</v>
      </c>
      <c r="AK47">
        <f>INTERCEPT(M47:AD47,M42:AD42)</f>
        <v>2337993.6650663563</v>
      </c>
    </row>
    <row r="48" spans="1:37" x14ac:dyDescent="0.25">
      <c r="A48" t="s">
        <v>114</v>
      </c>
      <c r="B48" t="s">
        <v>321</v>
      </c>
      <c r="C48">
        <v>124083.5011138469</v>
      </c>
      <c r="D48">
        <v>152218.50271143019</v>
      </c>
      <c r="E48">
        <v>180353.50430901349</v>
      </c>
      <c r="F48">
        <v>208488.50590658933</v>
      </c>
      <c r="G48">
        <v>236623.50750417262</v>
      </c>
      <c r="H48">
        <v>264758.50910175592</v>
      </c>
      <c r="I48">
        <v>292893.51069933921</v>
      </c>
      <c r="J48">
        <v>321028.5122969225</v>
      </c>
      <c r="K48">
        <v>349163.5138945058</v>
      </c>
      <c r="L48">
        <v>377298.51549208909</v>
      </c>
      <c r="M48">
        <v>405433.51708967239</v>
      </c>
      <c r="N48">
        <v>433568.51868725568</v>
      </c>
      <c r="O48">
        <v>461703.52028483152</v>
      </c>
      <c r="P48">
        <v>489838.52188241482</v>
      </c>
      <c r="Q48">
        <v>594407</v>
      </c>
      <c r="R48">
        <v>484209</v>
      </c>
      <c r="S48">
        <v>536026</v>
      </c>
      <c r="T48">
        <v>660755</v>
      </c>
      <c r="U48">
        <v>654808</v>
      </c>
      <c r="V48">
        <v>518924</v>
      </c>
      <c r="W48">
        <v>683837</v>
      </c>
      <c r="X48">
        <v>778897</v>
      </c>
      <c r="Y48">
        <v>800756</v>
      </c>
      <c r="Z48">
        <v>726904.59500000009</v>
      </c>
      <c r="AA48">
        <v>905143.08</v>
      </c>
      <c r="AB48">
        <v>662862.79909999995</v>
      </c>
      <c r="AC48">
        <v>877638</v>
      </c>
      <c r="AD48">
        <v>926747</v>
      </c>
      <c r="AJ48">
        <f>SLOPE(M48:AD48,M49:AD49)</f>
        <v>1.3595755992345242</v>
      </c>
      <c r="AK48">
        <f>INTERCEPT(M48:AD48,M49:AD49)</f>
        <v>69456.835151908104</v>
      </c>
    </row>
    <row r="49" spans="1:37" x14ac:dyDescent="0.25">
      <c r="A49" t="s">
        <v>813</v>
      </c>
      <c r="B49" t="s">
        <v>321</v>
      </c>
      <c r="C49">
        <v>343689</v>
      </c>
      <c r="D49">
        <v>365035</v>
      </c>
      <c r="E49">
        <v>347525</v>
      </c>
      <c r="F49">
        <v>408459</v>
      </c>
      <c r="G49">
        <v>375066</v>
      </c>
      <c r="H49">
        <v>371491</v>
      </c>
      <c r="I49">
        <v>415084</v>
      </c>
      <c r="J49">
        <v>406914</v>
      </c>
      <c r="K49">
        <v>415521</v>
      </c>
      <c r="L49">
        <v>413045</v>
      </c>
      <c r="M49">
        <v>415933</v>
      </c>
      <c r="N49">
        <v>395813</v>
      </c>
      <c r="O49">
        <v>477072</v>
      </c>
      <c r="P49">
        <v>420827</v>
      </c>
      <c r="Q49">
        <v>427571</v>
      </c>
      <c r="R49">
        <v>347260</v>
      </c>
      <c r="S49">
        <v>428719</v>
      </c>
      <c r="T49">
        <v>439480</v>
      </c>
      <c r="U49">
        <v>424123</v>
      </c>
      <c r="V49">
        <v>453777</v>
      </c>
      <c r="W49">
        <v>395000</v>
      </c>
      <c r="X49">
        <v>419000</v>
      </c>
      <c r="Y49">
        <v>430000</v>
      </c>
      <c r="Z49">
        <v>416500</v>
      </c>
      <c r="AA49">
        <v>447547</v>
      </c>
      <c r="AB49">
        <v>402792</v>
      </c>
      <c r="AC49">
        <v>430000</v>
      </c>
      <c r="AD49">
        <v>442900</v>
      </c>
      <c r="AJ49">
        <f>SLOPE(M49:AD49,M42:AD42)</f>
        <v>-6.3872671298887381E-3</v>
      </c>
      <c r="AK49">
        <f>INTERCEPT(M49:AD49,M42:AD42)</f>
        <v>442814.42406536068</v>
      </c>
    </row>
    <row r="50" spans="1:37" x14ac:dyDescent="0.25">
      <c r="A50" t="s">
        <v>929</v>
      </c>
      <c r="B50" t="s">
        <v>811</v>
      </c>
      <c r="C50">
        <v>1100000</v>
      </c>
      <c r="D50">
        <v>1260000</v>
      </c>
      <c r="E50">
        <v>1090000</v>
      </c>
      <c r="F50">
        <v>1150000</v>
      </c>
      <c r="G50">
        <v>1050000</v>
      </c>
      <c r="H50">
        <v>1130000</v>
      </c>
      <c r="I50">
        <v>1140000</v>
      </c>
      <c r="J50">
        <v>1100000</v>
      </c>
      <c r="K50">
        <v>1070000</v>
      </c>
      <c r="L50">
        <v>1080000</v>
      </c>
      <c r="M50">
        <v>1370000</v>
      </c>
      <c r="N50">
        <v>1360000</v>
      </c>
      <c r="O50">
        <v>1210000</v>
      </c>
      <c r="P50">
        <v>1070000</v>
      </c>
      <c r="Q50">
        <v>1020000</v>
      </c>
      <c r="R50">
        <v>1100000</v>
      </c>
      <c r="S50">
        <v>1080000</v>
      </c>
      <c r="T50">
        <v>1080000</v>
      </c>
      <c r="U50">
        <v>1300000</v>
      </c>
      <c r="V50">
        <v>1340000</v>
      </c>
      <c r="W50">
        <v>1340000</v>
      </c>
      <c r="X50">
        <v>1280000</v>
      </c>
      <c r="Y50">
        <v>1240000</v>
      </c>
      <c r="Z50">
        <v>1360000</v>
      </c>
      <c r="AA50">
        <v>1260000</v>
      </c>
      <c r="AB50">
        <v>1260000</v>
      </c>
      <c r="AC50">
        <v>1300000</v>
      </c>
      <c r="AD50">
        <v>1410000</v>
      </c>
    </row>
    <row r="51" spans="1:37" x14ac:dyDescent="0.25">
      <c r="A51" t="str">
        <f>'Activity data'!C5&amp;" - "&amp;'Activity data'!D5</f>
        <v>3A1ai Dairy cattle - TMR</v>
      </c>
      <c r="B51" t="s">
        <v>811</v>
      </c>
      <c r="C51">
        <v>487746.14676082286</v>
      </c>
      <c r="D51">
        <v>561522.50537304278</v>
      </c>
      <c r="E51">
        <v>485789.62235185754</v>
      </c>
      <c r="F51">
        <v>515225.4221676389</v>
      </c>
      <c r="G51">
        <v>477963.52471599629</v>
      </c>
      <c r="H51">
        <v>511312.37334970833</v>
      </c>
      <c r="I51">
        <v>513268.89775867364</v>
      </c>
      <c r="J51">
        <v>494824.80810561875</v>
      </c>
      <c r="K51">
        <v>488955.23487872281</v>
      </c>
      <c r="L51">
        <v>480293.76727049437</v>
      </c>
      <c r="M51">
        <v>618437.58059564023</v>
      </c>
      <c r="N51">
        <v>616481.05618667486</v>
      </c>
      <c r="O51">
        <v>537582.56063862459</v>
      </c>
      <c r="P51">
        <v>488955.23487872281</v>
      </c>
      <c r="Q51">
        <v>472093.95148910041</v>
      </c>
      <c r="R51">
        <v>505442.80012281239</v>
      </c>
      <c r="S51">
        <v>494451.08996008604</v>
      </c>
      <c r="T51">
        <v>490911.75928768812</v>
      </c>
      <c r="U51">
        <v>601202.57906048512</v>
      </c>
      <c r="V51">
        <v>616107.33804114221</v>
      </c>
      <c r="W51">
        <v>616107.33804114221</v>
      </c>
      <c r="X51">
        <v>593750.19957015652</v>
      </c>
      <c r="Y51">
        <v>571766.77924470371</v>
      </c>
      <c r="Z51">
        <v>616481.05618667486</v>
      </c>
      <c r="AA51">
        <v>582758.48940743017</v>
      </c>
      <c r="AB51">
        <v>589837.15075222601</v>
      </c>
      <c r="AC51">
        <v>611820.57107767893</v>
      </c>
      <c r="AD51">
        <v>658117.65428308269</v>
      </c>
    </row>
    <row r="52" spans="1:37" x14ac:dyDescent="0.25">
      <c r="A52" t="str">
        <f>'Activity data'!C6&amp;" - "&amp;'Activity data'!D6</f>
        <v>3A1ai Dairy cattle - Pasture</v>
      </c>
      <c r="B52" t="s">
        <v>811</v>
      </c>
      <c r="C52">
        <v>399733.85323917714</v>
      </c>
      <c r="D52">
        <v>460197.49462695734</v>
      </c>
      <c r="E52">
        <v>398130.37764814246</v>
      </c>
      <c r="F52">
        <v>422254.57783236104</v>
      </c>
      <c r="G52">
        <v>391716.47528400371</v>
      </c>
      <c r="H52">
        <v>419047.62665029167</v>
      </c>
      <c r="I52">
        <v>420651.10224132636</v>
      </c>
      <c r="J52">
        <v>405535.19189438137</v>
      </c>
      <c r="K52">
        <v>400724.76512127731</v>
      </c>
      <c r="L52">
        <v>393626.23272950563</v>
      </c>
      <c r="M52">
        <v>506842.41940435988</v>
      </c>
      <c r="N52">
        <v>505238.9438133252</v>
      </c>
      <c r="O52">
        <v>440577.43936137547</v>
      </c>
      <c r="P52">
        <v>400724.76512127731</v>
      </c>
      <c r="Q52">
        <v>386906.04851089959</v>
      </c>
      <c r="R52">
        <v>414237.19987718761</v>
      </c>
      <c r="S52">
        <v>405228.91003991402</v>
      </c>
      <c r="T52">
        <v>402328.24071231199</v>
      </c>
      <c r="U52">
        <v>492717.42093951488</v>
      </c>
      <c r="V52">
        <v>504932.66195885779</v>
      </c>
      <c r="W52">
        <v>504932.66195885779</v>
      </c>
      <c r="X52">
        <v>486609.80042984337</v>
      </c>
      <c r="Y52">
        <v>468593.22075529629</v>
      </c>
      <c r="Z52">
        <v>505238.9438133252</v>
      </c>
      <c r="AA52">
        <v>477601.51059256989</v>
      </c>
      <c r="AB52">
        <v>483402.84924777399</v>
      </c>
      <c r="AC52">
        <v>501419.42892232112</v>
      </c>
      <c r="AD52">
        <v>539362.34571691742</v>
      </c>
    </row>
    <row r="53" spans="1:37" x14ac:dyDescent="0.25">
      <c r="A53" t="str">
        <f>'Activity data'!C7&amp;" - "&amp;'Activity data'!D7</f>
        <v>3A1aii Other cattle - Non-lactating</v>
      </c>
      <c r="B53" t="s">
        <v>811</v>
      </c>
      <c r="C53">
        <v>585792.9</v>
      </c>
      <c r="D53">
        <v>665847.14000000013</v>
      </c>
      <c r="E53">
        <v>575959.50999999989</v>
      </c>
      <c r="F53">
        <v>602759.85000000009</v>
      </c>
      <c r="G53">
        <v>536625.95000000007</v>
      </c>
      <c r="H53">
        <v>583093.06999999995</v>
      </c>
      <c r="I53">
        <v>592926.46</v>
      </c>
      <c r="J53">
        <v>572912.89999999991</v>
      </c>
      <c r="K53">
        <v>543412.73</v>
      </c>
      <c r="L53">
        <v>572566.12</v>
      </c>
      <c r="M53">
        <v>709614.43</v>
      </c>
      <c r="N53">
        <v>699781.04</v>
      </c>
      <c r="O53">
        <v>642440.19000000006</v>
      </c>
      <c r="P53">
        <v>543412.73</v>
      </c>
      <c r="Q53">
        <v>507125.77999999997</v>
      </c>
      <c r="R53">
        <v>553592.9</v>
      </c>
      <c r="S53">
        <v>546806.12</v>
      </c>
      <c r="T53">
        <v>553246.12</v>
      </c>
      <c r="U53">
        <v>647220.70000000019</v>
      </c>
      <c r="V53">
        <v>673674.26</v>
      </c>
      <c r="W53">
        <v>673674.26</v>
      </c>
      <c r="X53">
        <v>633993.92000000016</v>
      </c>
      <c r="Y53">
        <v>620420.36</v>
      </c>
      <c r="Z53">
        <v>699781.04</v>
      </c>
      <c r="AA53">
        <v>627207.14</v>
      </c>
      <c r="AB53">
        <v>614327.14</v>
      </c>
      <c r="AC53">
        <v>627900.70000000007</v>
      </c>
      <c r="AD53">
        <v>690987.99</v>
      </c>
    </row>
    <row r="54" spans="1:37" x14ac:dyDescent="0.25">
      <c r="A54" t="str">
        <f>'Activity data'!C8&amp;" - "&amp;'Activity data'!D8</f>
        <v>3A1aii Other cattle - Commercial</v>
      </c>
      <c r="B54" t="s">
        <v>811</v>
      </c>
      <c r="C54">
        <v>6817100</v>
      </c>
      <c r="D54">
        <v>6522860</v>
      </c>
      <c r="E54">
        <v>6520490</v>
      </c>
      <c r="F54">
        <v>6100150</v>
      </c>
      <c r="G54">
        <v>6284050</v>
      </c>
      <c r="H54">
        <v>6426930</v>
      </c>
      <c r="I54">
        <v>6693540</v>
      </c>
      <c r="J54">
        <v>6947100</v>
      </c>
      <c r="K54">
        <v>7007270</v>
      </c>
      <c r="L54">
        <v>6893880</v>
      </c>
      <c r="M54">
        <v>6425570</v>
      </c>
      <c r="N54">
        <v>6458960</v>
      </c>
      <c r="O54">
        <v>6019810</v>
      </c>
      <c r="P54">
        <v>6177270</v>
      </c>
      <c r="Q54">
        <v>6234220</v>
      </c>
      <c r="R54">
        <v>6287100</v>
      </c>
      <c r="S54">
        <v>6143880</v>
      </c>
      <c r="T54">
        <v>6323880</v>
      </c>
      <c r="U54">
        <v>6148152.25</v>
      </c>
      <c r="V54">
        <v>6044920.583333333</v>
      </c>
      <c r="W54">
        <v>6025917.666666667</v>
      </c>
      <c r="X54">
        <v>6004279.833333333</v>
      </c>
      <c r="Y54">
        <v>7105366.333333334</v>
      </c>
      <c r="Z54">
        <v>5896311</v>
      </c>
      <c r="AA54">
        <v>6031835</v>
      </c>
      <c r="AB54">
        <v>5893460</v>
      </c>
      <c r="AC54">
        <v>5611164</v>
      </c>
      <c r="AD54">
        <v>5220425</v>
      </c>
      <c r="AJ54">
        <f>SLOPE(M54:AD54,LN(M14:AD14))</f>
        <v>-849795.56703256955</v>
      </c>
      <c r="AK54">
        <f>INTERCEPT(M54:AD54,LN(M14:AD14))</f>
        <v>17654028.051321879</v>
      </c>
    </row>
    <row r="55" spans="1:37" x14ac:dyDescent="0.25">
      <c r="A55" t="str">
        <f>'Activity data'!C9&amp;" - "&amp;'Activity data'!D9</f>
        <v>3A1aii Other cattle - Subsistence</v>
      </c>
      <c r="B55" t="s">
        <v>811</v>
      </c>
      <c r="C55">
        <v>4590000</v>
      </c>
      <c r="D55">
        <v>4870000</v>
      </c>
      <c r="E55">
        <v>5100000</v>
      </c>
      <c r="F55">
        <v>5040000</v>
      </c>
      <c r="G55">
        <v>4390000</v>
      </c>
      <c r="H55">
        <v>4240000</v>
      </c>
      <c r="I55">
        <v>4360000</v>
      </c>
      <c r="J55">
        <v>4560000</v>
      </c>
      <c r="K55">
        <v>4840000</v>
      </c>
      <c r="L55">
        <v>5040000</v>
      </c>
      <c r="M55">
        <v>4920000</v>
      </c>
      <c r="N55">
        <v>4800000</v>
      </c>
      <c r="O55">
        <v>5440000</v>
      </c>
      <c r="P55">
        <v>5570000</v>
      </c>
      <c r="Q55">
        <v>5480000</v>
      </c>
      <c r="R55">
        <v>5320000</v>
      </c>
      <c r="S55">
        <v>5490000</v>
      </c>
      <c r="T55">
        <v>5710000</v>
      </c>
      <c r="U55">
        <v>5620000</v>
      </c>
      <c r="V55">
        <v>5560000</v>
      </c>
      <c r="W55">
        <v>5480000</v>
      </c>
      <c r="X55">
        <v>5520000</v>
      </c>
      <c r="Y55">
        <v>4650000</v>
      </c>
      <c r="Z55">
        <v>5680000</v>
      </c>
      <c r="AA55">
        <v>5660000</v>
      </c>
      <c r="AB55">
        <v>5580000</v>
      </c>
      <c r="AC55">
        <v>5480000</v>
      </c>
      <c r="AD55">
        <v>5300000</v>
      </c>
      <c r="AJ55">
        <f>SLOPE(M55:AD55,Drivers!N4:AE4)</f>
        <v>2.333091554441653E-2</v>
      </c>
      <c r="AK55">
        <f>INTERCEPT(M55:AD55,Drivers!N4:AE4)</f>
        <v>4229136.6969350902</v>
      </c>
    </row>
    <row r="56" spans="1:37" x14ac:dyDescent="0.25">
      <c r="A56" t="str">
        <f>'Activity data'!C10&amp;" - "&amp;'Activity data'!D10</f>
        <v>3A1aii Other cattle - Feedlot</v>
      </c>
      <c r="B56" t="s">
        <v>811</v>
      </c>
      <c r="C56">
        <v>420000</v>
      </c>
      <c r="D56">
        <v>420000</v>
      </c>
      <c r="E56">
        <v>420000</v>
      </c>
      <c r="F56">
        <v>420000</v>
      </c>
      <c r="G56">
        <v>420000</v>
      </c>
      <c r="H56">
        <v>420000</v>
      </c>
      <c r="I56">
        <v>420000</v>
      </c>
      <c r="J56">
        <v>420000</v>
      </c>
      <c r="K56">
        <v>420000</v>
      </c>
      <c r="L56">
        <v>420000</v>
      </c>
      <c r="M56">
        <v>420000</v>
      </c>
      <c r="N56">
        <v>420000</v>
      </c>
      <c r="O56">
        <v>420000</v>
      </c>
      <c r="P56">
        <v>420000</v>
      </c>
      <c r="Q56">
        <v>420000</v>
      </c>
      <c r="R56">
        <v>420000</v>
      </c>
      <c r="S56">
        <v>420000</v>
      </c>
      <c r="T56">
        <v>420000</v>
      </c>
      <c r="U56">
        <v>391147.75</v>
      </c>
      <c r="V56">
        <v>400819.41666666669</v>
      </c>
      <c r="W56">
        <v>399822.33333333331</v>
      </c>
      <c r="X56">
        <v>461800.16666666669</v>
      </c>
      <c r="Y56">
        <v>484273.66666666669</v>
      </c>
      <c r="Z56">
        <v>502649</v>
      </c>
      <c r="AA56">
        <v>521025</v>
      </c>
      <c r="AB56">
        <v>539400</v>
      </c>
      <c r="AC56">
        <v>568136</v>
      </c>
      <c r="AD56">
        <v>591585</v>
      </c>
      <c r="AJ56">
        <f>SLOPE(U56:AD56,U13:AD13)</f>
        <v>0.637449100124306</v>
      </c>
      <c r="AK56">
        <f>INTERCEPT(U56:AD56,U13:AD13)</f>
        <v>-99494.910040854127</v>
      </c>
    </row>
    <row r="57" spans="1:37" x14ac:dyDescent="0.25">
      <c r="A57" t="str">
        <f>'Activity data'!C11&amp;" - "&amp;'Activity data'!D11</f>
        <v>3A1c Sheep - Commercial</v>
      </c>
      <c r="B57" t="s">
        <v>811</v>
      </c>
      <c r="C57">
        <v>29979000</v>
      </c>
      <c r="D57">
        <v>28631000</v>
      </c>
      <c r="E57">
        <v>27448000</v>
      </c>
      <c r="F57">
        <v>25670000</v>
      </c>
      <c r="G57">
        <v>25851000</v>
      </c>
      <c r="H57">
        <v>25481000</v>
      </c>
      <c r="I57">
        <v>25566000</v>
      </c>
      <c r="J57">
        <v>25010000</v>
      </c>
      <c r="K57">
        <v>25079000</v>
      </c>
      <c r="L57">
        <v>24463000</v>
      </c>
      <c r="M57">
        <v>23586000</v>
      </c>
      <c r="N57">
        <v>22998000</v>
      </c>
      <c r="O57">
        <v>22614000</v>
      </c>
      <c r="P57">
        <v>22693000</v>
      </c>
      <c r="Q57">
        <v>22289000</v>
      </c>
      <c r="R57">
        <v>22236000</v>
      </c>
      <c r="S57">
        <v>21945000</v>
      </c>
      <c r="T57">
        <v>21924000</v>
      </c>
      <c r="U57">
        <v>21995000</v>
      </c>
      <c r="V57">
        <v>21917000</v>
      </c>
      <c r="W57">
        <v>21493000</v>
      </c>
      <c r="X57">
        <v>21325000</v>
      </c>
      <c r="Y57">
        <v>21427000</v>
      </c>
      <c r="Z57">
        <v>21589000</v>
      </c>
      <c r="AA57">
        <v>21202000</v>
      </c>
      <c r="AB57">
        <v>21033000</v>
      </c>
      <c r="AC57">
        <v>20438000</v>
      </c>
      <c r="AD57">
        <v>19942000</v>
      </c>
      <c r="AJ57">
        <f>SLOPE(F57:AD57,LN(F23:AD23))</f>
        <v>-5142301.054387291</v>
      </c>
      <c r="AK57">
        <f>INTERCEPT(F57:AD57,LN(F23:AD23))</f>
        <v>83155618.791130543</v>
      </c>
    </row>
    <row r="58" spans="1:37" x14ac:dyDescent="0.25">
      <c r="A58" t="str">
        <f>'Activity data'!C12&amp;" - "&amp;'Activity data'!D12</f>
        <v>3A1c Sheep - Subsistence</v>
      </c>
      <c r="B58" t="s">
        <v>811</v>
      </c>
      <c r="C58">
        <v>4183862.7657327019</v>
      </c>
      <c r="D58">
        <v>3995736.1768468926</v>
      </c>
      <c r="E58">
        <v>3830636.9523276691</v>
      </c>
      <c r="F58">
        <v>3582499.6563046952</v>
      </c>
      <c r="G58">
        <v>3607759.9772159201</v>
      </c>
      <c r="H58">
        <v>3556122.8571211509</v>
      </c>
      <c r="I58">
        <v>3567985.4387645437</v>
      </c>
      <c r="J58">
        <v>3490390.1988383494</v>
      </c>
      <c r="K58">
        <v>3500019.8239371148</v>
      </c>
      <c r="L58">
        <v>3414050.996968525</v>
      </c>
      <c r="M58">
        <v>3291657.0663655167</v>
      </c>
      <c r="N58">
        <v>3209595.9133500443</v>
      </c>
      <c r="O58">
        <v>3156004.9562787157</v>
      </c>
      <c r="P58">
        <v>3167030.1792178694</v>
      </c>
      <c r="Q58">
        <v>3110648.0264657419</v>
      </c>
      <c r="R58">
        <v>3103251.3579116268</v>
      </c>
      <c r="S58">
        <v>3062639.4607560104</v>
      </c>
      <c r="T58">
        <v>3059708.705291172</v>
      </c>
      <c r="U58">
        <v>3069617.4499580064</v>
      </c>
      <c r="V58">
        <v>3058731.7868028926</v>
      </c>
      <c r="W58">
        <v>2999558.4383699675</v>
      </c>
      <c r="X58">
        <v>2976112.3946512612</v>
      </c>
      <c r="Y58">
        <v>2990347.4926233329</v>
      </c>
      <c r="Z58">
        <v>3012956.1776377996</v>
      </c>
      <c r="AA58">
        <v>2958946.5412143511</v>
      </c>
      <c r="AB58">
        <v>2935360.9377116049</v>
      </c>
      <c r="AC58">
        <v>2852322.8662078534</v>
      </c>
      <c r="AD58">
        <v>2783101.2133240541</v>
      </c>
    </row>
    <row r="59" spans="1:37" x14ac:dyDescent="0.25">
      <c r="A59" t="str">
        <f>'Activity data'!C13&amp;" - "&amp;'Activity data'!D13</f>
        <v>3A1d Goats - Commercial</v>
      </c>
      <c r="B59" t="s">
        <v>811</v>
      </c>
      <c r="C59">
        <v>2774000.0000000005</v>
      </c>
      <c r="D59">
        <v>2453000.0000000009</v>
      </c>
      <c r="E59">
        <v>2284999.9999999995</v>
      </c>
      <c r="F59">
        <v>2158999.9999999995</v>
      </c>
      <c r="G59">
        <v>2336999.9999999995</v>
      </c>
      <c r="H59">
        <v>2369000</v>
      </c>
      <c r="I59">
        <v>2405999.9999999995</v>
      </c>
      <c r="J59">
        <v>2394000</v>
      </c>
      <c r="K59">
        <v>2360000</v>
      </c>
      <c r="L59">
        <v>2325000.0000000005</v>
      </c>
      <c r="M59">
        <v>2355000</v>
      </c>
      <c r="N59">
        <v>2427000.0000000005</v>
      </c>
      <c r="O59">
        <v>2216000.0000000005</v>
      </c>
      <c r="P59">
        <v>2160000</v>
      </c>
      <c r="Q59">
        <v>2164000.0000000005</v>
      </c>
      <c r="R59">
        <v>2136000</v>
      </c>
      <c r="S59">
        <v>2181000</v>
      </c>
      <c r="T59">
        <v>2116000</v>
      </c>
      <c r="U59">
        <v>2114000.0000000005</v>
      </c>
      <c r="V59">
        <v>2077000</v>
      </c>
      <c r="W59">
        <v>2052000.0000000002</v>
      </c>
      <c r="X59">
        <v>2033000.0000000002</v>
      </c>
      <c r="Y59">
        <v>2028000.0000000002</v>
      </c>
      <c r="Z59">
        <v>2005000</v>
      </c>
      <c r="AA59">
        <v>1987000.0000000002</v>
      </c>
      <c r="AB59">
        <v>1960000.0000000002</v>
      </c>
      <c r="AC59">
        <v>1900999.9999999998</v>
      </c>
      <c r="AD59">
        <v>1843000</v>
      </c>
      <c r="AJ59">
        <f>SLOPE(M59:AD59,M20:AD20)</f>
        <v>-70.552737449711444</v>
      </c>
      <c r="AK59">
        <f>INTERCEPT(M59:AD59,M20:AD20)</f>
        <v>2826074.60206402</v>
      </c>
    </row>
    <row r="60" spans="1:37" x14ac:dyDescent="0.25">
      <c r="A60" t="str">
        <f>'Activity data'!C14&amp;" - "&amp;'Activity data'!D14</f>
        <v>3A1d Goats - Subsistence</v>
      </c>
      <c r="B60" t="s">
        <v>811</v>
      </c>
      <c r="C60">
        <v>5479284.9120494025</v>
      </c>
      <c r="D60">
        <v>4845236.4416932901</v>
      </c>
      <c r="E60">
        <v>4513397.9899181286</v>
      </c>
      <c r="F60">
        <v>4264519.151086757</v>
      </c>
      <c r="G60">
        <v>4616109.8916580593</v>
      </c>
      <c r="H60">
        <v>4679317.2158057094</v>
      </c>
      <c r="I60">
        <v>4752400.6843514293</v>
      </c>
      <c r="J60">
        <v>4728697.9377960609</v>
      </c>
      <c r="K60">
        <v>4661540.1558891824</v>
      </c>
      <c r="L60">
        <v>4592407.1451026909</v>
      </c>
      <c r="M60">
        <v>4651664.0114911124</v>
      </c>
      <c r="N60">
        <v>4793880.4908233248</v>
      </c>
      <c r="O60">
        <v>4377107.1972247576</v>
      </c>
      <c r="P60">
        <v>4266494.3799663708</v>
      </c>
      <c r="Q60">
        <v>4274395.2954848269</v>
      </c>
      <c r="R60">
        <v>4219088.886855633</v>
      </c>
      <c r="S60">
        <v>4307974.1864382662</v>
      </c>
      <c r="T60">
        <v>4179584.3092633518</v>
      </c>
      <c r="U60">
        <v>4175633.8515041238</v>
      </c>
      <c r="V60">
        <v>4102550.3829584038</v>
      </c>
      <c r="W60">
        <v>4053169.6609680522</v>
      </c>
      <c r="X60">
        <v>4015640.3122553849</v>
      </c>
      <c r="Y60">
        <v>4005764.1678573145</v>
      </c>
      <c r="Z60">
        <v>3960333.9036261914</v>
      </c>
      <c r="AA60">
        <v>3924779.7837931383</v>
      </c>
      <c r="AB60">
        <v>3871448.6040435587</v>
      </c>
      <c r="AC60">
        <v>3754910.100146329</v>
      </c>
      <c r="AD60">
        <v>3640346.8251287136</v>
      </c>
      <c r="AJ60">
        <f>SLOPE(M60:AD60,Drivers!N4:AE4)</f>
        <v>-7.5956822080505429E-2</v>
      </c>
      <c r="AK60">
        <f>INTERCEPT(M60:AD60,Drivers!N4:AE4)</f>
        <v>7965792.0435501793</v>
      </c>
    </row>
    <row r="61" spans="1:37" x14ac:dyDescent="0.25">
      <c r="A61" t="str">
        <f>'Activity data'!C15&amp;" - "&amp;'Activity data'!D15</f>
        <v>3A1f Horses - Horses</v>
      </c>
      <c r="B61" t="s">
        <v>811</v>
      </c>
      <c r="C61">
        <v>230000</v>
      </c>
      <c r="D61">
        <v>230000</v>
      </c>
      <c r="E61">
        <v>230000</v>
      </c>
      <c r="F61">
        <v>235000</v>
      </c>
      <c r="G61">
        <v>240000</v>
      </c>
      <c r="H61">
        <v>245000</v>
      </c>
      <c r="I61">
        <v>250000</v>
      </c>
      <c r="J61">
        <v>255000</v>
      </c>
      <c r="K61">
        <v>260000</v>
      </c>
      <c r="L61">
        <v>258000</v>
      </c>
      <c r="M61">
        <v>270000</v>
      </c>
      <c r="N61">
        <v>270000</v>
      </c>
      <c r="O61">
        <v>270000</v>
      </c>
      <c r="P61">
        <v>270000</v>
      </c>
      <c r="Q61">
        <v>270000</v>
      </c>
      <c r="R61">
        <v>270000</v>
      </c>
      <c r="S61">
        <v>280000</v>
      </c>
      <c r="T61">
        <v>290000</v>
      </c>
      <c r="U61">
        <v>298000</v>
      </c>
      <c r="V61">
        <v>300000</v>
      </c>
      <c r="W61">
        <v>300000</v>
      </c>
      <c r="X61">
        <v>305000</v>
      </c>
      <c r="Y61">
        <v>308000</v>
      </c>
      <c r="Z61">
        <v>310000</v>
      </c>
      <c r="AA61">
        <v>312000</v>
      </c>
      <c r="AB61">
        <v>314825</v>
      </c>
      <c r="AC61">
        <v>320860</v>
      </c>
      <c r="AD61">
        <v>322771</v>
      </c>
      <c r="AJ61">
        <f>SLOPE(M61:AD61,M4:AD4)</f>
        <v>3790.576804839638</v>
      </c>
      <c r="AK61">
        <f>INTERCEPT(M61:AD61,M4:AD4)</f>
        <v>98907.930537566659</v>
      </c>
    </row>
    <row r="62" spans="1:37" x14ac:dyDescent="0.25">
      <c r="A62" t="str">
        <f>'Activity data'!C16&amp;" - "&amp;'Activity data'!D16</f>
        <v>3A1g Mules &amp; asses - Mules &amp; Asses</v>
      </c>
      <c r="B62" t="s">
        <v>811</v>
      </c>
      <c r="C62">
        <v>224000</v>
      </c>
      <c r="D62">
        <v>224000</v>
      </c>
      <c r="E62">
        <v>224000</v>
      </c>
      <c r="F62">
        <v>224000</v>
      </c>
      <c r="G62">
        <v>224000</v>
      </c>
      <c r="H62">
        <v>224000</v>
      </c>
      <c r="I62">
        <v>224000</v>
      </c>
      <c r="J62">
        <v>224000</v>
      </c>
      <c r="K62">
        <v>224000</v>
      </c>
      <c r="L62">
        <v>224000</v>
      </c>
      <c r="M62">
        <v>164000</v>
      </c>
      <c r="N62">
        <v>164000</v>
      </c>
      <c r="O62">
        <v>164000</v>
      </c>
      <c r="P62">
        <v>164000</v>
      </c>
      <c r="Q62">
        <v>164000</v>
      </c>
      <c r="R62">
        <v>164000</v>
      </c>
      <c r="S62">
        <v>164050</v>
      </c>
      <c r="T62">
        <v>164600</v>
      </c>
      <c r="U62">
        <v>164700</v>
      </c>
      <c r="V62">
        <v>164800</v>
      </c>
      <c r="W62">
        <v>166300</v>
      </c>
      <c r="X62">
        <v>167000</v>
      </c>
      <c r="Y62">
        <v>167000</v>
      </c>
      <c r="Z62">
        <v>170500</v>
      </c>
      <c r="AA62">
        <v>171000</v>
      </c>
      <c r="AB62">
        <v>169029</v>
      </c>
      <c r="AC62">
        <v>161868</v>
      </c>
      <c r="AD62">
        <v>162820</v>
      </c>
    </row>
    <row r="63" spans="1:37" x14ac:dyDescent="0.25">
      <c r="A63" t="str">
        <f>'Activity data'!C17&amp;" - "&amp;'Activity data'!D17</f>
        <v>3A1h Swine - Commercial</v>
      </c>
      <c r="B63" t="s">
        <v>811</v>
      </c>
      <c r="C63">
        <v>1524000</v>
      </c>
      <c r="D63">
        <v>1665000</v>
      </c>
      <c r="E63">
        <v>1654000</v>
      </c>
      <c r="F63">
        <v>1653000</v>
      </c>
      <c r="G63">
        <v>1570000</v>
      </c>
      <c r="H63">
        <v>1585000</v>
      </c>
      <c r="I63">
        <v>1707000</v>
      </c>
      <c r="J63">
        <v>1699000</v>
      </c>
      <c r="K63">
        <v>1736000</v>
      </c>
      <c r="L63">
        <v>1780000</v>
      </c>
      <c r="M63">
        <v>1647000</v>
      </c>
      <c r="N63">
        <v>1678000</v>
      </c>
      <c r="O63">
        <v>1710000</v>
      </c>
      <c r="P63">
        <v>1663000</v>
      </c>
      <c r="Q63">
        <v>1663000</v>
      </c>
      <c r="R63">
        <v>1651000</v>
      </c>
      <c r="S63">
        <v>1622000</v>
      </c>
      <c r="T63">
        <v>1651000</v>
      </c>
      <c r="U63">
        <v>1615000</v>
      </c>
      <c r="V63">
        <v>1613000</v>
      </c>
      <c r="W63">
        <v>1594000</v>
      </c>
      <c r="X63">
        <v>1584000</v>
      </c>
      <c r="Y63">
        <v>1579000</v>
      </c>
      <c r="Z63">
        <v>1574000</v>
      </c>
      <c r="AA63">
        <v>1562000</v>
      </c>
      <c r="AB63">
        <v>1523000</v>
      </c>
      <c r="AC63">
        <v>1512000</v>
      </c>
      <c r="AD63">
        <v>1481000</v>
      </c>
      <c r="AJ63">
        <f>SLOPE(F63:AD63,LN(F26:AD26))</f>
        <v>-205539.44223151155</v>
      </c>
      <c r="AK63">
        <f>INTERCEPT(F63:AD63,LN(F26:AD26))</f>
        <v>4088839.9263823261</v>
      </c>
    </row>
    <row r="64" spans="1:37" x14ac:dyDescent="0.25">
      <c r="A64" t="str">
        <f>'Activity data'!C18&amp;" - "&amp;'Activity data'!D18</f>
        <v>3A1h Swine - Subsistence</v>
      </c>
      <c r="B64" t="s">
        <v>811</v>
      </c>
      <c r="C64">
        <v>199009.99166888703</v>
      </c>
      <c r="D64">
        <v>217422.33341778014</v>
      </c>
      <c r="E64">
        <v>215985.90959339839</v>
      </c>
      <c r="F64">
        <v>215855.3256093637</v>
      </c>
      <c r="G64">
        <v>205016.85493448336</v>
      </c>
      <c r="H64">
        <v>206975.6146950039</v>
      </c>
      <c r="I64">
        <v>222906.86074723766</v>
      </c>
      <c r="J64">
        <v>221862.18887496003</v>
      </c>
      <c r="K64">
        <v>226693.79628424402</v>
      </c>
      <c r="L64">
        <v>232439.49158177094</v>
      </c>
      <c r="M64">
        <v>215071.82170515548</v>
      </c>
      <c r="N64">
        <v>219119.92521023127</v>
      </c>
      <c r="O64">
        <v>223298.61269934176</v>
      </c>
      <c r="P64">
        <v>217161.16544971074</v>
      </c>
      <c r="Q64">
        <v>217161.16544971074</v>
      </c>
      <c r="R64">
        <v>215594.1576412943</v>
      </c>
      <c r="S64">
        <v>211807.22210428791</v>
      </c>
      <c r="T64">
        <v>215594.1576412943</v>
      </c>
      <c r="U64">
        <v>210893.134216045</v>
      </c>
      <c r="V64">
        <v>210631.96624797559</v>
      </c>
      <c r="W64">
        <v>208150.87055131624</v>
      </c>
      <c r="X64">
        <v>206845.03071096921</v>
      </c>
      <c r="Y64">
        <v>206192.1107907957</v>
      </c>
      <c r="Z64">
        <v>205539.19087062217</v>
      </c>
      <c r="AA64">
        <v>203972.18306220576</v>
      </c>
      <c r="AB64">
        <v>198879.40768485234</v>
      </c>
      <c r="AC64">
        <v>197442.98386047062</v>
      </c>
      <c r="AD64">
        <v>193394.88035539482</v>
      </c>
    </row>
    <row r="65" spans="1:37" x14ac:dyDescent="0.25">
      <c r="A65" t="str">
        <f>'Activity data'!C19&amp;" - "&amp;'Activity data'!D19</f>
        <v>3A2i Poultry - Commercial layers</v>
      </c>
      <c r="B65" t="s">
        <v>811</v>
      </c>
      <c r="C65">
        <v>14643674.931267885</v>
      </c>
      <c r="D65">
        <v>14226110.812328145</v>
      </c>
      <c r="E65">
        <v>13492476.52712371</v>
      </c>
      <c r="F65">
        <v>13280331.082668224</v>
      </c>
      <c r="G65">
        <v>12702684.496371185</v>
      </c>
      <c r="H65">
        <v>13860209.809151115</v>
      </c>
      <c r="I65">
        <v>14640611.562802857</v>
      </c>
      <c r="J65">
        <v>14688755.298092401</v>
      </c>
      <c r="K65">
        <v>16538299.007411262</v>
      </c>
      <c r="L65">
        <v>17730716.13950536</v>
      </c>
      <c r="M65">
        <v>17355030.714458548</v>
      </c>
      <c r="N65">
        <v>17818001.024886843</v>
      </c>
      <c r="O65">
        <v>17678155.288284503</v>
      </c>
      <c r="P65">
        <v>16972399.104253348</v>
      </c>
      <c r="Q65">
        <v>17587835.89054852</v>
      </c>
      <c r="R65">
        <v>18648391.6209228</v>
      </c>
      <c r="S65">
        <v>20580691.805783488</v>
      </c>
      <c r="T65">
        <v>22776081.657241259</v>
      </c>
      <c r="U65">
        <v>23076039.863330547</v>
      </c>
      <c r="V65">
        <v>22225308.649488669</v>
      </c>
      <c r="W65">
        <v>23091061.215630483</v>
      </c>
      <c r="X65">
        <v>24156882.687047753</v>
      </c>
      <c r="Y65">
        <v>25036870.403128054</v>
      </c>
      <c r="Z65">
        <v>24549576.616170555</v>
      </c>
      <c r="AA65">
        <v>24340499.841357533</v>
      </c>
      <c r="AB65">
        <v>24851160.720602136</v>
      </c>
      <c r="AC65">
        <v>24800000</v>
      </c>
      <c r="AD65">
        <v>23160000</v>
      </c>
      <c r="AJ65">
        <f>SLOPE(M65:AD65,M29:AD29)</f>
        <v>53.758789541785902</v>
      </c>
      <c r="AK65">
        <f>INTERCEPT(M65:AD65,M29:AD29)</f>
        <v>-485263.55440489948</v>
      </c>
    </row>
    <row r="66" spans="1:37" x14ac:dyDescent="0.25">
      <c r="A66" t="str">
        <f>'Activity data'!C20&amp;" - "&amp;'Activity data'!D20</f>
        <v>3A2i Poultry - Commercial broilers</v>
      </c>
      <c r="B66" t="s">
        <v>811</v>
      </c>
      <c r="C66">
        <v>40304488.125775687</v>
      </c>
      <c r="D66">
        <v>37886218.887128815</v>
      </c>
      <c r="E66">
        <v>35805187.036307976</v>
      </c>
      <c r="F66">
        <v>40268107.368938237</v>
      </c>
      <c r="G66">
        <v>39890443.299430735</v>
      </c>
      <c r="H66">
        <v>45660443.796231762</v>
      </c>
      <c r="I66">
        <v>53091326.838711366</v>
      </c>
      <c r="J66">
        <v>54040901.985378392</v>
      </c>
      <c r="K66">
        <v>59214394.697576575</v>
      </c>
      <c r="L66">
        <v>61819163.842046939</v>
      </c>
      <c r="M66">
        <v>66512864.907880791</v>
      </c>
      <c r="N66">
        <v>64225159.968942329</v>
      </c>
      <c r="O66">
        <v>71182309.580183759</v>
      </c>
      <c r="P66">
        <v>67705122.244331256</v>
      </c>
      <c r="Q66">
        <v>69339582.95804137</v>
      </c>
      <c r="R66">
        <v>76722494.212373629</v>
      </c>
      <c r="S66">
        <v>82061878.307196394</v>
      </c>
      <c r="T66">
        <v>85859218.536646262</v>
      </c>
      <c r="U66">
        <v>91416754.470852047</v>
      </c>
      <c r="V66">
        <v>86261715.79298</v>
      </c>
      <c r="W66">
        <v>88431266.728296682</v>
      </c>
      <c r="X66">
        <v>91461113.859690607</v>
      </c>
      <c r="Y66">
        <v>93498642.184348121</v>
      </c>
      <c r="Z66">
        <v>91051385.328801513</v>
      </c>
      <c r="AA66">
        <v>95192509.839774087</v>
      </c>
      <c r="AB66">
        <v>99033153.399708137</v>
      </c>
      <c r="AC66">
        <v>92093884</v>
      </c>
      <c r="AD66">
        <v>91976041</v>
      </c>
      <c r="AJ66">
        <f>SLOPE(M66:AD66,M33:AD33)</f>
        <v>35.717419741834426</v>
      </c>
      <c r="AK66">
        <f>INTERCEPT(M66:AD66,M33:AD33)</f>
        <v>39385415.286496744</v>
      </c>
    </row>
    <row r="67" spans="1:37" x14ac:dyDescent="0.25">
      <c r="A67" t="str">
        <f>'Activity data'!C21&amp;" - "&amp;'Activity data'!D21</f>
        <v>3A2i Poultry - Subsistence layers</v>
      </c>
      <c r="B67" t="s">
        <v>811</v>
      </c>
      <c r="C67">
        <v>615034.34711325122</v>
      </c>
      <c r="D67">
        <v>597496.65411778213</v>
      </c>
      <c r="E67">
        <v>566684.0141391959</v>
      </c>
      <c r="F67">
        <v>557773.90547206544</v>
      </c>
      <c r="G67">
        <v>533512.74884758983</v>
      </c>
      <c r="H67">
        <v>582128.81198434683</v>
      </c>
      <c r="I67">
        <v>614905.68563772005</v>
      </c>
      <c r="J67">
        <v>616927.72251988086</v>
      </c>
      <c r="K67">
        <v>694608.55831127299</v>
      </c>
      <c r="L67">
        <v>744690.07785922522</v>
      </c>
      <c r="M67">
        <v>728911.290007259</v>
      </c>
      <c r="N67">
        <v>748356.04304524744</v>
      </c>
      <c r="O67">
        <v>742482.52210794913</v>
      </c>
      <c r="P67">
        <v>712840.76237864071</v>
      </c>
      <c r="Q67">
        <v>738689.10740303784</v>
      </c>
      <c r="R67">
        <v>783232.44807875762</v>
      </c>
      <c r="S67">
        <v>864389.05584290659</v>
      </c>
      <c r="T67">
        <v>956595.42960413289</v>
      </c>
      <c r="U67">
        <v>969193.674259883</v>
      </c>
      <c r="V67">
        <v>933462.96327852411</v>
      </c>
      <c r="W67">
        <v>969824.57105648029</v>
      </c>
      <c r="X67">
        <v>1014589.0728560057</v>
      </c>
      <c r="Y67">
        <v>1051548.5569313783</v>
      </c>
      <c r="Z67">
        <v>1031082.2178791633</v>
      </c>
      <c r="AA67">
        <v>1022300.9933370164</v>
      </c>
      <c r="AB67">
        <v>1043748.7502652898</v>
      </c>
      <c r="AC67">
        <v>1041600.0000000001</v>
      </c>
      <c r="AD67">
        <v>972720.00000000012</v>
      </c>
    </row>
    <row r="68" spans="1:37" x14ac:dyDescent="0.25">
      <c r="A68" t="str">
        <f>'Activity data'!C22&amp;" - "&amp;'Activity data'!D22</f>
        <v>3A2i Poultry - Subsistence broilers</v>
      </c>
      <c r="B68" t="s">
        <v>811</v>
      </c>
      <c r="C68">
        <v>1692788.501282579</v>
      </c>
      <c r="D68">
        <v>1591221.1932594103</v>
      </c>
      <c r="E68">
        <v>1503817.8555249351</v>
      </c>
      <c r="F68">
        <v>1691260.5094954062</v>
      </c>
      <c r="G68">
        <v>1675398.618576091</v>
      </c>
      <c r="H68">
        <v>1917738.6394417342</v>
      </c>
      <c r="I68">
        <v>2229835.7272258773</v>
      </c>
      <c r="J68">
        <v>2269717.8833858925</v>
      </c>
      <c r="K68">
        <v>2487004.5772982165</v>
      </c>
      <c r="L68">
        <v>2596404.8813659716</v>
      </c>
      <c r="M68">
        <v>2793540.3261309932</v>
      </c>
      <c r="N68">
        <v>2697456.7186955782</v>
      </c>
      <c r="O68">
        <v>2989657.0023677181</v>
      </c>
      <c r="P68">
        <v>2843615.1342619131</v>
      </c>
      <c r="Q68">
        <v>2912262.4842377375</v>
      </c>
      <c r="R68">
        <v>3222344.7569196927</v>
      </c>
      <c r="S68">
        <v>3446598.8889022488</v>
      </c>
      <c r="T68">
        <v>3606087.1785391434</v>
      </c>
      <c r="U68">
        <v>3839503.687775786</v>
      </c>
      <c r="V68">
        <v>3622992.06330516</v>
      </c>
      <c r="W68">
        <v>3714113.2025884609</v>
      </c>
      <c r="X68">
        <v>3841366.7821070058</v>
      </c>
      <c r="Y68">
        <v>3926942.9717426212</v>
      </c>
      <c r="Z68">
        <v>3824158.1838096636</v>
      </c>
      <c r="AA68">
        <v>3998085.4132705121</v>
      </c>
      <c r="AB68">
        <v>4159392.4427877418</v>
      </c>
      <c r="AC68">
        <v>3867943.128</v>
      </c>
      <c r="AD68">
        <v>3862993.7220000001</v>
      </c>
    </row>
    <row r="69" spans="1:37" x14ac:dyDescent="0.25">
      <c r="C69">
        <f>SUM(C51:C56)</f>
        <v>13300372.9</v>
      </c>
    </row>
    <row r="70" spans="1:37" x14ac:dyDescent="0.25">
      <c r="C70">
        <f>SUM(C51:C53)</f>
        <v>1473272.9</v>
      </c>
    </row>
  </sheetData>
  <pageMargins left="0.7" right="0.7" top="0.75" bottom="0.75" header="0.3" footer="0.3"/>
  <pageSetup paperSize="9"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BA38"/>
  <sheetViews>
    <sheetView workbookViewId="0">
      <selection activeCell="L39" sqref="L39"/>
    </sheetView>
  </sheetViews>
  <sheetFormatPr defaultRowHeight="15" x14ac:dyDescent="0.25"/>
  <cols>
    <col min="2" max="2" width="26.5703125" customWidth="1"/>
    <col min="3" max="3" width="11" customWidth="1"/>
  </cols>
  <sheetData>
    <row r="1" spans="1:53" x14ac:dyDescent="0.25">
      <c r="A1" s="30" t="s">
        <v>665</v>
      </c>
    </row>
    <row r="3" spans="1:53" x14ac:dyDescent="0.25">
      <c r="A3" s="31"/>
      <c r="B3" s="32"/>
      <c r="C3" s="33">
        <v>2000</v>
      </c>
      <c r="D3" s="33">
        <v>2001</v>
      </c>
      <c r="E3" s="33">
        <v>2002</v>
      </c>
      <c r="F3" s="33">
        <v>2003</v>
      </c>
      <c r="G3" s="33">
        <v>2004</v>
      </c>
      <c r="H3" s="33">
        <v>2005</v>
      </c>
      <c r="I3" s="33">
        <v>2006</v>
      </c>
      <c r="J3" s="33">
        <v>2007</v>
      </c>
      <c r="K3" s="33">
        <v>2008</v>
      </c>
      <c r="L3" s="33">
        <v>2009</v>
      </c>
      <c r="M3" s="33">
        <v>2010</v>
      </c>
      <c r="N3" s="33">
        <v>2011</v>
      </c>
      <c r="O3" s="33">
        <v>2012</v>
      </c>
      <c r="P3" s="33">
        <v>2013</v>
      </c>
      <c r="Q3" s="33">
        <v>2014</v>
      </c>
      <c r="R3" s="34">
        <v>2015</v>
      </c>
      <c r="S3" s="34">
        <v>2016</v>
      </c>
      <c r="T3" s="34">
        <v>2017</v>
      </c>
      <c r="U3" s="34">
        <v>2018</v>
      </c>
      <c r="V3" s="34">
        <v>2019</v>
      </c>
      <c r="W3" s="34">
        <v>2020</v>
      </c>
      <c r="X3" s="34">
        <v>2021</v>
      </c>
      <c r="Y3" s="34">
        <v>2022</v>
      </c>
      <c r="Z3" s="34">
        <v>2023</v>
      </c>
      <c r="AA3" s="34">
        <v>2024</v>
      </c>
      <c r="AB3" s="34">
        <v>2025</v>
      </c>
      <c r="AC3" s="34">
        <v>2026</v>
      </c>
      <c r="AD3" s="34">
        <v>2027</v>
      </c>
      <c r="AE3" s="34">
        <v>2028</v>
      </c>
      <c r="AF3" s="34">
        <v>2029</v>
      </c>
      <c r="AG3" s="34">
        <v>2030</v>
      </c>
      <c r="AH3" s="34">
        <v>2031</v>
      </c>
      <c r="AI3" s="34">
        <v>2032</v>
      </c>
      <c r="AJ3" s="34">
        <v>2033</v>
      </c>
      <c r="AK3" s="34">
        <v>2034</v>
      </c>
      <c r="AL3" s="34">
        <v>2035</v>
      </c>
      <c r="AM3" s="34">
        <v>2036</v>
      </c>
      <c r="AN3" s="34">
        <v>2037</v>
      </c>
      <c r="AO3" s="34">
        <v>2038</v>
      </c>
      <c r="AP3" s="34">
        <v>2039</v>
      </c>
      <c r="AQ3" s="34">
        <v>2040</v>
      </c>
      <c r="AR3" s="34">
        <v>2041</v>
      </c>
      <c r="AS3" s="34">
        <v>2042</v>
      </c>
      <c r="AT3" s="34">
        <v>2043</v>
      </c>
      <c r="AU3" s="34">
        <v>2044</v>
      </c>
      <c r="AV3" s="34">
        <v>2045</v>
      </c>
      <c r="AW3" s="34">
        <v>2046</v>
      </c>
      <c r="AX3" s="34">
        <v>2047</v>
      </c>
      <c r="AY3" s="34">
        <v>2048</v>
      </c>
      <c r="AZ3" s="34">
        <v>2049</v>
      </c>
      <c r="BA3" s="34">
        <v>2050</v>
      </c>
    </row>
    <row r="4" spans="1:53" x14ac:dyDescent="0.25">
      <c r="A4" s="32"/>
      <c r="B4" s="32" t="s">
        <v>666</v>
      </c>
      <c r="C4" s="35">
        <v>993.09182234073091</v>
      </c>
      <c r="D4" s="35">
        <v>993.09182234073091</v>
      </c>
      <c r="E4" s="35">
        <v>993.09182234073091</v>
      </c>
      <c r="F4" s="35">
        <v>1043.5184288423109</v>
      </c>
      <c r="G4" s="35">
        <v>1063.935684388</v>
      </c>
      <c r="H4" s="35">
        <v>1250.3949420410001</v>
      </c>
      <c r="I4" s="35">
        <v>1361.4582773811801</v>
      </c>
      <c r="J4" s="35">
        <v>1418.12680256985</v>
      </c>
      <c r="K4" s="35">
        <v>1510.0595450369999</v>
      </c>
      <c r="L4" s="35">
        <v>1467.5146597320002</v>
      </c>
      <c r="M4" s="35">
        <v>1455.5368726329998</v>
      </c>
      <c r="N4" s="35">
        <v>1511.75508982</v>
      </c>
      <c r="O4" s="35">
        <v>1600</v>
      </c>
      <c r="P4" s="35">
        <v>1550</v>
      </c>
      <c r="Q4" s="35">
        <v>1500</v>
      </c>
      <c r="R4" s="36">
        <v>1604.9091918984675</v>
      </c>
      <c r="S4" s="36">
        <v>1560</v>
      </c>
      <c r="T4" s="36">
        <v>1530</v>
      </c>
      <c r="U4" s="36">
        <v>1620</v>
      </c>
      <c r="V4" s="36">
        <v>1680</v>
      </c>
      <c r="W4" s="36">
        <v>1715</v>
      </c>
      <c r="X4" s="36">
        <v>1780</v>
      </c>
      <c r="Y4" s="36">
        <v>1785</v>
      </c>
      <c r="Z4" s="36">
        <v>1790</v>
      </c>
      <c r="AA4" s="36">
        <v>1795</v>
      </c>
      <c r="AB4" s="36">
        <v>1800</v>
      </c>
      <c r="AC4" s="36">
        <v>1805</v>
      </c>
      <c r="AD4" s="36">
        <v>1810</v>
      </c>
      <c r="AE4" s="36">
        <v>1815</v>
      </c>
    </row>
    <row r="5" spans="1:53" x14ac:dyDescent="0.25">
      <c r="A5" s="32"/>
      <c r="B5" s="32" t="s">
        <v>667</v>
      </c>
      <c r="C5" s="35">
        <v>1079.3522583407307</v>
      </c>
      <c r="D5" s="35">
        <v>1079.3522583407307</v>
      </c>
      <c r="E5" s="35">
        <v>1079.3522583407307</v>
      </c>
      <c r="F5" s="35">
        <v>1188.8597378423108</v>
      </c>
      <c r="G5" s="35">
        <v>1206.674888388</v>
      </c>
      <c r="H5" s="35">
        <v>1426.810047041</v>
      </c>
      <c r="I5" s="35">
        <v>1614.02513538118</v>
      </c>
      <c r="J5" s="35">
        <v>1649.1401165698499</v>
      </c>
      <c r="K5" s="35">
        <v>1693.2698300369998</v>
      </c>
      <c r="L5" s="35">
        <v>1660.260131732</v>
      </c>
      <c r="M5" s="35">
        <v>1679.6840026329999</v>
      </c>
      <c r="N5" s="35">
        <v>1828.6388368200001</v>
      </c>
      <c r="O5" s="35">
        <v>1876.7825659999999</v>
      </c>
      <c r="P5" s="35">
        <v>1848.129913</v>
      </c>
      <c r="Q5" s="35">
        <v>1879.0711650000001</v>
      </c>
      <c r="R5" s="36">
        <v>1922.8356980734377</v>
      </c>
      <c r="S5" s="36">
        <v>1990.456203544496</v>
      </c>
      <c r="T5" s="36">
        <v>2057.8989690155481</v>
      </c>
      <c r="U5" s="36">
        <v>2126.2640708919885</v>
      </c>
      <c r="V5" s="36">
        <v>2198.3453171198826</v>
      </c>
      <c r="W5" s="36">
        <v>2269.7994713342828</v>
      </c>
      <c r="X5" s="36">
        <v>2342.1782343068635</v>
      </c>
      <c r="Y5" s="36">
        <v>2416.4818482639166</v>
      </c>
      <c r="Z5" s="36">
        <v>2491.5186816187529</v>
      </c>
      <c r="AA5" s="36">
        <v>2570.8561685926552</v>
      </c>
    </row>
    <row r="6" spans="1:53" x14ac:dyDescent="0.25">
      <c r="A6" s="32"/>
      <c r="B6" s="32" t="s">
        <v>668</v>
      </c>
      <c r="C6" s="35">
        <f>'Intermediate calculations'!M42/1000</f>
        <v>850</v>
      </c>
      <c r="D6" s="35">
        <f>'Intermediate calculations'!N42/1000</f>
        <v>869</v>
      </c>
      <c r="E6" s="35">
        <f>'Intermediate calculations'!O42/1000</f>
        <v>896</v>
      </c>
      <c r="F6" s="35">
        <f>'Intermediate calculations'!P42/1000</f>
        <v>925</v>
      </c>
      <c r="G6" s="35">
        <f>'Intermediate calculations'!Q42/1000</f>
        <v>1043</v>
      </c>
      <c r="H6" s="35">
        <f>'Intermediate calculations'!R42/1000</f>
        <v>1273</v>
      </c>
      <c r="I6" s="35">
        <f>'Intermediate calculations'!S42/1000</f>
        <v>1427</v>
      </c>
      <c r="J6" s="35">
        <f>'Intermediate calculations'!T42/1000</f>
        <v>1499</v>
      </c>
      <c r="K6" s="35">
        <f>'Intermediate calculations'!U42/1000</f>
        <v>1584</v>
      </c>
      <c r="L6" s="35">
        <f>'Intermediate calculations'!V42/1000</f>
        <v>1644</v>
      </c>
      <c r="M6" s="35">
        <f>'Intermediate calculations'!W42/1000</f>
        <v>1681</v>
      </c>
      <c r="N6" s="35">
        <f>'Intermediate calculations'!X42/1000</f>
        <v>1721</v>
      </c>
      <c r="O6" s="35">
        <f>'Intermediate calculations'!Y42/1000</f>
        <v>1462.6971526267841</v>
      </c>
      <c r="P6" s="35">
        <f>'Intermediate calculations'!Z42/1000</f>
        <v>1513.4648048522904</v>
      </c>
      <c r="Q6" s="35">
        <f>'Intermediate calculations'!AA42/1000</f>
        <v>1548.046127042116</v>
      </c>
      <c r="R6" s="35">
        <f>'Intermediate calculations'!AB42/1000</f>
        <v>1569.9793735739602</v>
      </c>
      <c r="S6" s="35">
        <f>'Intermediate calculations'!AC42/1000</f>
        <v>1578.2479088916159</v>
      </c>
      <c r="T6" s="35">
        <f>'Intermediate calculations'!AD42/1000</f>
        <v>1602.4962226106677</v>
      </c>
      <c r="U6" s="35">
        <f>'Intermediate calculations'!AE42/1000</f>
        <v>1623.0571586586602</v>
      </c>
      <c r="V6" s="35">
        <f>'Intermediate calculations'!AF42/1000</f>
        <v>1642.1037801912205</v>
      </c>
      <c r="W6" s="35">
        <f>'Intermediate calculations'!AG42/1000</f>
        <v>1389.7498776989564</v>
      </c>
      <c r="X6" s="35">
        <f>'Intermediate calculations'!AH42/1000</f>
        <v>1448.7694344440868</v>
      </c>
      <c r="Y6" s="35">
        <f>'Intermediate calculations'!AI42/1000</f>
        <v>1504.7364288821625</v>
      </c>
      <c r="Z6" s="35">
        <f>'Intermediate calculations'!AJ42/1000</f>
        <v>1562.4506125783525</v>
      </c>
      <c r="AA6" s="35">
        <f>'Intermediate calculations'!AK42/1000</f>
        <v>1625.49913249561</v>
      </c>
      <c r="AB6" s="35">
        <f>'Intermediate calculations'!AL42/1000</f>
        <v>1696.5308081454782</v>
      </c>
      <c r="AC6" s="35">
        <f>'Intermediate calculations'!AM42/1000</f>
        <v>1773.2526373172336</v>
      </c>
      <c r="AD6" s="35">
        <f>'Intermediate calculations'!AN42/1000</f>
        <v>1855.738355661131</v>
      </c>
      <c r="AE6" s="35">
        <f>'Intermediate calculations'!AO42/1000</f>
        <v>1944.6760949602115</v>
      </c>
      <c r="AF6" s="35">
        <f>'Intermediate calculations'!AP42/1000</f>
        <v>2045.7092474885644</v>
      </c>
      <c r="AG6" s="35">
        <f>'Intermediate calculations'!AQ42/1000</f>
        <v>2146.7187778740695</v>
      </c>
      <c r="AH6" s="35">
        <f>'Intermediate calculations'!AR42/1000</f>
        <v>2267.7244234408026</v>
      </c>
      <c r="AI6" s="35">
        <f>'Intermediate calculations'!AS42/1000</f>
        <v>2393.8782725009892</v>
      </c>
      <c r="AJ6" s="35">
        <f>'Intermediate calculations'!AT42/1000</f>
        <v>2524.685423769693</v>
      </c>
      <c r="AK6" s="35">
        <f>'Intermediate calculations'!AU42/1000</f>
        <v>2659.600443826323</v>
      </c>
      <c r="AL6" s="35">
        <f>'Intermediate calculations'!AV42/1000</f>
        <v>2785.7354397391123</v>
      </c>
      <c r="AM6" s="35">
        <f>'Intermediate calculations'!AW42/1000</f>
        <v>2919.9356001896422</v>
      </c>
      <c r="AN6" s="35">
        <f>'Intermediate calculations'!AX42/1000</f>
        <v>3064.1892915412682</v>
      </c>
      <c r="AO6" s="35">
        <f>'Intermediate calculations'!AY42/1000</f>
        <v>3215.9959424973636</v>
      </c>
      <c r="AP6" s="35">
        <f>'Intermediate calculations'!AZ42/1000</f>
        <v>3365.7186086873999</v>
      </c>
      <c r="AQ6" s="35">
        <f>'Intermediate calculations'!BA42/1000</f>
        <v>3518.6578547953281</v>
      </c>
      <c r="AR6" s="35">
        <f>'Intermediate calculations'!BB42/1000</f>
        <v>3679.8239314954499</v>
      </c>
      <c r="AS6" s="35">
        <f>'Intermediate calculations'!BC42/1000</f>
        <v>3849.5312787314087</v>
      </c>
      <c r="AT6" s="35">
        <f>'Intermediate calculations'!BD42/1000</f>
        <v>4029.7211081192022</v>
      </c>
      <c r="AU6" s="35">
        <f>'Intermediate calculations'!BE42/1000</f>
        <v>4219.7996280429452</v>
      </c>
      <c r="AV6" s="35">
        <f>'Intermediate calculations'!BF42/1000</f>
        <v>4423.8034060073724</v>
      </c>
      <c r="AW6" s="35">
        <f>'Intermediate calculations'!BG42/1000</f>
        <v>4641.5127523259216</v>
      </c>
      <c r="AX6" s="35">
        <f>'Intermediate calculations'!BH42/1000</f>
        <v>4869.5821518939347</v>
      </c>
      <c r="AY6" s="35">
        <f>'Intermediate calculations'!BI42/1000</f>
        <v>5098.1106470125733</v>
      </c>
      <c r="AZ6" s="35">
        <f>'Intermediate calculations'!BJ42/1000</f>
        <v>5337.9915448986812</v>
      </c>
      <c r="BA6" s="35">
        <f>'Intermediate calculations'!BK42/1000</f>
        <v>5591.8811192875692</v>
      </c>
    </row>
    <row r="7" spans="1:53" x14ac:dyDescent="0.25">
      <c r="A7" s="32"/>
      <c r="B7" s="32" t="s">
        <v>669</v>
      </c>
      <c r="C7" s="35">
        <f>'Intermediate calculations'!M39/1000</f>
        <v>927</v>
      </c>
      <c r="D7" s="35">
        <f>'Intermediate calculations'!N39/1000</f>
        <v>938</v>
      </c>
      <c r="E7" s="35">
        <f>'Intermediate calculations'!O39/1000</f>
        <v>965</v>
      </c>
      <c r="F7" s="35">
        <f>'Intermediate calculations'!P39/1000</f>
        <v>1032</v>
      </c>
      <c r="G7" s="35">
        <f>'Intermediate calculations'!Q39/1000</f>
        <v>1196</v>
      </c>
      <c r="H7" s="35">
        <f>'Intermediate calculations'!R39/1000</f>
        <v>1455</v>
      </c>
      <c r="I7" s="35">
        <f>'Intermediate calculations'!S39/1000</f>
        <v>1664</v>
      </c>
      <c r="J7" s="35">
        <f>'Intermediate calculations'!T39/1000</f>
        <v>1767</v>
      </c>
      <c r="K7" s="35">
        <f>'Intermediate calculations'!U39/1000</f>
        <v>1813</v>
      </c>
      <c r="L7" s="35">
        <f>'Intermediate calculations'!V39/1000</f>
        <v>1841</v>
      </c>
      <c r="M7" s="35">
        <f>'Intermediate calculations'!W39/1000</f>
        <v>1887</v>
      </c>
      <c r="N7" s="35">
        <f>'Intermediate calculations'!X39/1000</f>
        <v>1987</v>
      </c>
      <c r="O7" s="35">
        <f>'Intermediate calculations'!Y39/1000</f>
        <v>1781.6013456390224</v>
      </c>
      <c r="P7" s="35">
        <f>'Intermediate calculations'!Z39/1000</f>
        <v>1852.0340575111579</v>
      </c>
      <c r="Q7" s="35">
        <f>'Intermediate calculations'!AA39/1000</f>
        <v>1900.0105975948802</v>
      </c>
      <c r="R7" s="35">
        <f>'Intermediate calculations'!AB39/1000</f>
        <v>1930.4397777061829</v>
      </c>
      <c r="S7" s="35">
        <f>'Intermediate calculations'!AC39/1000</f>
        <v>1941.911164309726</v>
      </c>
      <c r="T7" s="35">
        <f>'Intermediate calculations'!AD39/1000</f>
        <v>1975.5521624392611</v>
      </c>
      <c r="U7" s="35">
        <f>'Intermediate calculations'!AE39/1000</f>
        <v>2004.0774619362126</v>
      </c>
      <c r="V7" s="35">
        <f>'Intermediate calculations'!AF39/1000</f>
        <v>2030.501870939441</v>
      </c>
      <c r="W7" s="35">
        <f>'Intermediate calculations'!AG39/1000</f>
        <v>1680.3976426584895</v>
      </c>
      <c r="X7" s="35">
        <f>'Intermediate calculations'!AH39/1000</f>
        <v>1762.2786683278709</v>
      </c>
      <c r="Y7" s="35">
        <f>'Intermediate calculations'!AI39/1000</f>
        <v>1839.9247090802919</v>
      </c>
      <c r="Z7" s="35">
        <f>'Intermediate calculations'!AJ39/1000</f>
        <v>1919.9947200619492</v>
      </c>
      <c r="AA7" s="35">
        <f>'Intermediate calculations'!AK39/1000</f>
        <v>2007.4653444188061</v>
      </c>
      <c r="AB7" s="35">
        <f>'Intermediate calculations'!AL39/1000</f>
        <v>2106.0114328339127</v>
      </c>
      <c r="AC7" s="35">
        <f>'Intermediate calculations'!AM39/1000</f>
        <v>2212.4517792252427</v>
      </c>
      <c r="AD7" s="35">
        <f>'Intermediate calculations'!AN39/1000</f>
        <v>2326.8886810515396</v>
      </c>
      <c r="AE7" s="35">
        <f>'Intermediate calculations'!AO39/1000</f>
        <v>2450.2768207824543</v>
      </c>
      <c r="AF7" s="35">
        <f>'Intermediate calculations'!AP39/1000</f>
        <v>2590.4455819840568</v>
      </c>
      <c r="AG7" s="35">
        <f>'Intermediate calculations'!AQ39/1000</f>
        <v>2730.5815709082722</v>
      </c>
      <c r="AH7" s="35">
        <f>'Intermediate calculations'!AR39/1000</f>
        <v>2898.4592527684858</v>
      </c>
      <c r="AI7" s="35">
        <f>'Intermediate calculations'!AS39/1000</f>
        <v>3073.4793159959295</v>
      </c>
      <c r="AJ7" s="35">
        <f>'Intermediate calculations'!AT39/1000</f>
        <v>3254.9551572501105</v>
      </c>
      <c r="AK7" s="35">
        <f>'Intermediate calculations'!AU39/1000</f>
        <v>3442.1300672235498</v>
      </c>
      <c r="AL7" s="35">
        <f>'Intermediate calculations'!AV39/1000</f>
        <v>3617.1239744591307</v>
      </c>
      <c r="AM7" s="35">
        <f>'Intermediate calculations'!AW39/1000</f>
        <v>3803.3071210072726</v>
      </c>
      <c r="AN7" s="35">
        <f>'Intermediate calculations'!AX39/1000</f>
        <v>4003.438075149691</v>
      </c>
      <c r="AO7" s="35">
        <f>'Intermediate calculations'!AY39/1000</f>
        <v>4214.0476589762338</v>
      </c>
      <c r="AP7" s="35">
        <f>'Intermediate calculations'!AZ39/1000</f>
        <v>4421.7660179353788</v>
      </c>
      <c r="AQ7" s="35">
        <f>'Intermediate calculations'!BA39/1000</f>
        <v>4633.9469123209064</v>
      </c>
      <c r="AR7" s="35">
        <f>'Intermediate calculations'!BB39/1000</f>
        <v>4857.5413340869591</v>
      </c>
      <c r="AS7" s="35">
        <f>'Intermediate calculations'!BC39/1000</f>
        <v>5092.9855227872868</v>
      </c>
      <c r="AT7" s="35">
        <f>'Intermediate calculations'!BD39/1000</f>
        <v>5342.9726263702159</v>
      </c>
      <c r="AU7" s="35">
        <f>'Intermediate calculations'!BE39/1000</f>
        <v>5606.6788455864125</v>
      </c>
      <c r="AV7" s="35">
        <f>'Intermediate calculations'!BF39/1000</f>
        <v>5889.7043290255824</v>
      </c>
      <c r="AW7" s="35">
        <f>'Intermediate calculations'!BG39/1000</f>
        <v>6191.7442892942472</v>
      </c>
      <c r="AX7" s="35">
        <f>'Intermediate calculations'!BH39/1000</f>
        <v>6508.1573122024511</v>
      </c>
      <c r="AY7" s="35">
        <f>'Intermediate calculations'!BI39/1000</f>
        <v>6825.2072632178551</v>
      </c>
      <c r="AZ7" s="35">
        <f>'Intermediate calculations'!BJ39/1000</f>
        <v>7158.0070170727895</v>
      </c>
      <c r="BA7" s="35">
        <f>'Intermediate calculations'!BK39/1000</f>
        <v>7510.2417660984183</v>
      </c>
    </row>
    <row r="8" spans="1:53" x14ac:dyDescent="0.25">
      <c r="A8" s="32"/>
      <c r="B8" s="32"/>
      <c r="C8" s="35"/>
      <c r="D8" s="35"/>
      <c r="E8" s="35"/>
      <c r="F8" s="35"/>
      <c r="G8" s="35"/>
      <c r="H8" s="35"/>
      <c r="I8" s="35"/>
      <c r="J8" s="35"/>
      <c r="K8" s="35"/>
      <c r="L8" s="35"/>
      <c r="M8" s="35"/>
      <c r="N8" s="35"/>
      <c r="O8" s="35"/>
      <c r="P8" s="35"/>
      <c r="Q8" s="35"/>
      <c r="R8" s="36"/>
      <c r="S8" s="36"/>
      <c r="T8" s="36"/>
      <c r="U8" s="36"/>
      <c r="V8" s="36"/>
      <c r="W8" s="36"/>
      <c r="X8" s="36"/>
      <c r="Y8" s="36"/>
      <c r="Z8" s="36"/>
      <c r="AA8" s="36"/>
    </row>
    <row r="9" spans="1:53" x14ac:dyDescent="0.25">
      <c r="A9" s="31"/>
      <c r="B9" s="32"/>
      <c r="C9" s="33">
        <v>2000</v>
      </c>
      <c r="D9" s="33">
        <v>2001</v>
      </c>
      <c r="E9" s="33">
        <v>2002</v>
      </c>
      <c r="F9" s="33">
        <v>2003</v>
      </c>
      <c r="G9" s="33">
        <v>2004</v>
      </c>
      <c r="H9" s="33">
        <v>2005</v>
      </c>
      <c r="I9" s="33">
        <v>2006</v>
      </c>
      <c r="J9" s="33">
        <v>2007</v>
      </c>
      <c r="K9" s="33">
        <v>2008</v>
      </c>
      <c r="L9" s="33">
        <v>2009</v>
      </c>
      <c r="M9" s="33">
        <v>2010</v>
      </c>
      <c r="N9" s="33">
        <v>2011</v>
      </c>
      <c r="O9" s="33">
        <v>2012</v>
      </c>
      <c r="P9" s="33">
        <v>2013</v>
      </c>
      <c r="Q9" s="33">
        <v>2014</v>
      </c>
      <c r="R9" s="34">
        <v>2015</v>
      </c>
      <c r="S9" s="34">
        <v>2016</v>
      </c>
      <c r="T9" s="34">
        <v>2017</v>
      </c>
      <c r="U9" s="34">
        <v>2018</v>
      </c>
      <c r="V9" s="34">
        <v>2019</v>
      </c>
      <c r="W9" s="34">
        <v>2020</v>
      </c>
      <c r="X9" s="34">
        <v>2021</v>
      </c>
      <c r="Y9" s="34">
        <v>2022</v>
      </c>
      <c r="Z9" s="34">
        <v>2023</v>
      </c>
      <c r="AA9" s="34">
        <v>2024</v>
      </c>
      <c r="AB9" s="34">
        <v>2025</v>
      </c>
      <c r="AC9" s="34">
        <v>2026</v>
      </c>
      <c r="AD9" s="34">
        <v>2027</v>
      </c>
      <c r="AE9" s="34">
        <v>2028</v>
      </c>
      <c r="AF9" s="34">
        <v>2029</v>
      </c>
      <c r="AG9" s="34">
        <v>2030</v>
      </c>
      <c r="AH9" s="34">
        <v>2031</v>
      </c>
      <c r="AI9" s="34">
        <v>2032</v>
      </c>
      <c r="AJ9" s="34">
        <v>2033</v>
      </c>
      <c r="AK9" s="34">
        <v>2034</v>
      </c>
      <c r="AL9" s="34">
        <v>2035</v>
      </c>
      <c r="AM9" s="34">
        <v>2036</v>
      </c>
      <c r="AN9" s="34">
        <v>2037</v>
      </c>
      <c r="AO9" s="34">
        <v>2038</v>
      </c>
      <c r="AP9" s="34">
        <v>2039</v>
      </c>
      <c r="AQ9" s="34">
        <v>2040</v>
      </c>
      <c r="AR9" s="34">
        <v>2041</v>
      </c>
      <c r="AS9" s="34">
        <v>2042</v>
      </c>
      <c r="AT9" s="34">
        <v>2043</v>
      </c>
      <c r="AU9" s="34">
        <v>2044</v>
      </c>
      <c r="AV9" s="34">
        <v>2045</v>
      </c>
      <c r="AW9" s="34">
        <v>2046</v>
      </c>
      <c r="AX9" s="34">
        <v>2047</v>
      </c>
      <c r="AY9" s="34">
        <v>2048</v>
      </c>
      <c r="AZ9" s="34">
        <v>2049</v>
      </c>
      <c r="BA9" s="34">
        <v>2050</v>
      </c>
    </row>
    <row r="10" spans="1:53" x14ac:dyDescent="0.25">
      <c r="A10" s="32"/>
      <c r="B10" s="32" t="s">
        <v>670</v>
      </c>
      <c r="C10" s="35">
        <v>325.34589665653499</v>
      </c>
      <c r="D10" s="35">
        <v>325.34589665653499</v>
      </c>
      <c r="E10" s="35">
        <v>325.34589665653499</v>
      </c>
      <c r="F10" s="35">
        <v>318.8389787234043</v>
      </c>
      <c r="G10" s="35">
        <v>318.8389787234043</v>
      </c>
      <c r="H10" s="35">
        <v>325.21575829787241</v>
      </c>
      <c r="I10" s="35">
        <v>328.46791588085114</v>
      </c>
      <c r="J10" s="35">
        <v>363.86063999999999</v>
      </c>
      <c r="K10" s="35">
        <v>368.28791999999999</v>
      </c>
      <c r="L10" s="35">
        <v>373.60199999999998</v>
      </c>
      <c r="M10" s="35">
        <v>386.43599999999998</v>
      </c>
      <c r="N10" s="35">
        <v>404.49</v>
      </c>
      <c r="O10" s="35">
        <v>450.04</v>
      </c>
      <c r="P10" s="35">
        <v>439.4</v>
      </c>
      <c r="Q10" s="35">
        <v>421.88</v>
      </c>
      <c r="R10" s="36">
        <v>433.92676812049251</v>
      </c>
      <c r="S10" s="36">
        <v>435</v>
      </c>
      <c r="T10" s="36">
        <v>400</v>
      </c>
      <c r="U10" s="36">
        <v>410</v>
      </c>
      <c r="V10" s="36">
        <v>415</v>
      </c>
      <c r="W10" s="36">
        <v>424</v>
      </c>
      <c r="X10" s="36">
        <v>440</v>
      </c>
      <c r="Y10" s="36">
        <v>450</v>
      </c>
      <c r="Z10" s="36">
        <v>458</v>
      </c>
      <c r="AA10" s="36">
        <v>460</v>
      </c>
      <c r="AB10" s="36">
        <v>470</v>
      </c>
      <c r="AC10" s="36">
        <v>480</v>
      </c>
      <c r="AD10" s="36">
        <v>490</v>
      </c>
      <c r="AE10" s="36">
        <v>500</v>
      </c>
    </row>
    <row r="11" spans="1:53" x14ac:dyDescent="0.25">
      <c r="A11" s="32"/>
      <c r="B11" s="32" t="s">
        <v>671</v>
      </c>
      <c r="C11" s="35">
        <v>321.91089665653499</v>
      </c>
      <c r="D11" s="35">
        <v>321.91089665653499</v>
      </c>
      <c r="E11" s="35">
        <v>321.91089665653499</v>
      </c>
      <c r="F11" s="35">
        <v>316.1402608231254</v>
      </c>
      <c r="G11" s="35">
        <v>317.8939787234043</v>
      </c>
      <c r="H11" s="35">
        <v>324.27075829787242</v>
      </c>
      <c r="I11" s="35">
        <v>328.91791588085113</v>
      </c>
      <c r="J11" s="35">
        <v>364.32063999999997</v>
      </c>
      <c r="K11" s="35">
        <v>367.77791999999999</v>
      </c>
      <c r="L11" s="35">
        <v>371.36519499999997</v>
      </c>
      <c r="M11" s="35">
        <v>382.88327899999996</v>
      </c>
      <c r="N11" s="35">
        <v>401.97165999999999</v>
      </c>
      <c r="O11" s="35">
        <v>445.23</v>
      </c>
      <c r="P11" s="35">
        <v>435.75099999999998</v>
      </c>
      <c r="Q11" s="35">
        <v>416.88200000000001</v>
      </c>
      <c r="R11" s="36">
        <f>R10-4</f>
        <v>429.92676812049251</v>
      </c>
      <c r="S11" s="36">
        <f t="shared" ref="S11:AE11" si="0">S10-4</f>
        <v>431</v>
      </c>
      <c r="T11" s="36">
        <f t="shared" si="0"/>
        <v>396</v>
      </c>
      <c r="U11" s="36">
        <f t="shared" si="0"/>
        <v>406</v>
      </c>
      <c r="V11" s="36">
        <f t="shared" si="0"/>
        <v>411</v>
      </c>
      <c r="W11" s="36">
        <f t="shared" si="0"/>
        <v>420</v>
      </c>
      <c r="X11" s="36">
        <f t="shared" si="0"/>
        <v>436</v>
      </c>
      <c r="Y11" s="36">
        <f t="shared" si="0"/>
        <v>446</v>
      </c>
      <c r="Z11" s="36">
        <f t="shared" si="0"/>
        <v>454</v>
      </c>
      <c r="AA11" s="36">
        <f t="shared" si="0"/>
        <v>456</v>
      </c>
      <c r="AB11" s="36">
        <f t="shared" si="0"/>
        <v>466</v>
      </c>
      <c r="AC11" s="36">
        <f t="shared" si="0"/>
        <v>476</v>
      </c>
      <c r="AD11" s="36">
        <f t="shared" si="0"/>
        <v>486</v>
      </c>
      <c r="AE11" s="36">
        <f t="shared" si="0"/>
        <v>496</v>
      </c>
    </row>
    <row r="12" spans="1:53" x14ac:dyDescent="0.25">
      <c r="A12" s="32"/>
      <c r="B12" s="32" t="s">
        <v>672</v>
      </c>
      <c r="C12" s="35">
        <f>'Intermediate calculations'!M37/1000</f>
        <v>329</v>
      </c>
      <c r="D12" s="35">
        <f>'Intermediate calculations'!N37/1000</f>
        <v>330</v>
      </c>
      <c r="E12" s="35">
        <f>'Intermediate calculations'!O37/1000</f>
        <v>340</v>
      </c>
      <c r="F12" s="35">
        <f>'Intermediate calculations'!P37/1000</f>
        <v>328</v>
      </c>
      <c r="G12" s="35">
        <f>'Intermediate calculations'!Q37/1000</f>
        <v>348</v>
      </c>
      <c r="H12" s="35">
        <f>'Intermediate calculations'!R37/1000</f>
        <v>375</v>
      </c>
      <c r="I12" s="35">
        <f>'Intermediate calculations'!S37/1000</f>
        <v>412</v>
      </c>
      <c r="J12" s="35">
        <f>'Intermediate calculations'!T37/1000</f>
        <v>438</v>
      </c>
      <c r="K12" s="35">
        <f>'Intermediate calculations'!U37/1000</f>
        <v>426</v>
      </c>
      <c r="L12" s="35">
        <f>'Intermediate calculations'!V37/1000</f>
        <v>404</v>
      </c>
      <c r="M12" s="35">
        <f>'Intermediate calculations'!W37/1000</f>
        <v>413</v>
      </c>
      <c r="N12" s="35">
        <f>'Intermediate calculations'!X37/1000</f>
        <v>452</v>
      </c>
      <c r="O12" s="35">
        <f>'Intermediate calculations'!Y37/1000</f>
        <v>449.02419564662893</v>
      </c>
      <c r="P12" s="35">
        <f>'Intermediate calculations'!Z37/1000</f>
        <v>459.49666412706989</v>
      </c>
      <c r="Q12" s="35">
        <f>'Intermediate calculations'!AA37/1000</f>
        <v>468.25593144272074</v>
      </c>
      <c r="R12" s="35">
        <f>'Intermediate calculations'!AB37/1000</f>
        <v>475.72025257353272</v>
      </c>
      <c r="S12" s="35">
        <f>'Intermediate calculations'!AC37/1000</f>
        <v>481.77823605726775</v>
      </c>
      <c r="T12" s="35">
        <f>'Intermediate calculations'!AD37/1000</f>
        <v>489.88633837309965</v>
      </c>
      <c r="U12" s="35">
        <f>'Intermediate calculations'!AE37/1000</f>
        <v>497.63600119318806</v>
      </c>
      <c r="V12" s="35">
        <f>'Intermediate calculations'!AF37/1000</f>
        <v>505.29610645415357</v>
      </c>
      <c r="W12" s="35">
        <f>'Intermediate calculations'!AG37/1000</f>
        <v>481.46606790795232</v>
      </c>
      <c r="X12" s="35">
        <f>'Intermediate calculations'!AH37/1000</f>
        <v>492.33563326547289</v>
      </c>
      <c r="Y12" s="35">
        <f>'Intermediate calculations'!AI37/1000</f>
        <v>502.89611003156915</v>
      </c>
      <c r="Z12" s="35">
        <f>'Intermediate calculations'!AJ37/1000</f>
        <v>513.70649286065714</v>
      </c>
      <c r="AA12" s="35">
        <f>'Intermediate calculations'!AK37/1000</f>
        <v>525.18469270580943</v>
      </c>
      <c r="AB12" s="35">
        <f>'Intermediate calculations'!AL37/1000</f>
        <v>537.63944977425922</v>
      </c>
      <c r="AC12" s="35">
        <f>'Intermediate calculations'!AM37/1000</f>
        <v>550.19064037407009</v>
      </c>
      <c r="AD12" s="35">
        <f>'Intermediate calculations'!AN37/1000</f>
        <v>563.44816245964591</v>
      </c>
      <c r="AE12" s="35">
        <f>'Intermediate calculations'!AO37/1000</f>
        <v>577.49243341185763</v>
      </c>
      <c r="AF12" s="35">
        <f>'Intermediate calculations'!AP37/1000</f>
        <v>592.98043197477773</v>
      </c>
      <c r="AG12" s="35">
        <f>'Intermediate calculations'!AQ37/1000</f>
        <v>608.50243409366772</v>
      </c>
      <c r="AH12" s="35">
        <f>'Intermediate calculations'!AR37/1000</f>
        <v>625.88089816854733</v>
      </c>
      <c r="AI12" s="35">
        <f>'Intermediate calculations'!AS37/1000</f>
        <v>643.88652526765895</v>
      </c>
      <c r="AJ12" s="35">
        <f>'Intermediate calculations'!AT37/1000</f>
        <v>662.46197258192399</v>
      </c>
      <c r="AK12" s="35">
        <f>'Intermediate calculations'!AU37/1000</f>
        <v>681.54401980287582</v>
      </c>
      <c r="AL12" s="35">
        <f>'Intermediate calculations'!AV37/1000</f>
        <v>699.63337028646583</v>
      </c>
      <c r="AM12" s="35">
        <f>'Intermediate calculations'!AW37/1000</f>
        <v>718.20093862629756</v>
      </c>
      <c r="AN12" s="35">
        <f>'Intermediate calculations'!AX37/1000</f>
        <v>737.95988187038904</v>
      </c>
      <c r="AO12" s="35">
        <f>'Intermediate calculations'!AY37/1000</f>
        <v>758.61941009386067</v>
      </c>
      <c r="AP12" s="35">
        <f>'Intermediate calculations'!AZ37/1000</f>
        <v>779.05839830441266</v>
      </c>
      <c r="AQ12" s="35">
        <f>'Intermediate calculations'!BA37/1000</f>
        <v>799.89374208391621</v>
      </c>
      <c r="AR12" s="35">
        <f>'Intermediate calculations'!BB37/1000</f>
        <v>821.24411043329928</v>
      </c>
      <c r="AS12" s="35">
        <f>'Intermediate calculations'!BC37/1000</f>
        <v>843.60441622986104</v>
      </c>
      <c r="AT12" s="35">
        <f>'Intermediate calculations'!BD37/1000</f>
        <v>867.20062490263228</v>
      </c>
      <c r="AU12" s="35">
        <f>'Intermediate calculations'!BE37/1000</f>
        <v>891.96374805008224</v>
      </c>
      <c r="AV12" s="35">
        <f>'Intermediate calculations'!BF37/1000</f>
        <v>918.36355265083114</v>
      </c>
      <c r="AW12" s="35">
        <f>'Intermediate calculations'!BG37/1000</f>
        <v>945.89731205088367</v>
      </c>
      <c r="AX12" s="35">
        <f>'Intermediate calculations'!BH37/1000</f>
        <v>974.64773593055384</v>
      </c>
      <c r="AY12" s="35">
        <f>'Intermediate calculations'!BI37/1000</f>
        <v>1003.4628785979564</v>
      </c>
      <c r="AZ12" s="35">
        <f>'Intermediate calculations'!BJ37/1000</f>
        <v>1033.6102633784826</v>
      </c>
      <c r="BA12" s="35">
        <f>'Intermediate calculations'!BK37/1000</f>
        <v>1065.3990128631981</v>
      </c>
    </row>
    <row r="13" spans="1:53" x14ac:dyDescent="0.25">
      <c r="A13" s="32"/>
      <c r="B13" s="32" t="s">
        <v>673</v>
      </c>
      <c r="C13" s="35">
        <f>'Intermediate calculations'!M34/1000</f>
        <v>310</v>
      </c>
      <c r="D13" s="35">
        <f>'Intermediate calculations'!N34/1000</f>
        <v>308</v>
      </c>
      <c r="E13" s="35">
        <f>'Intermediate calculations'!O34/1000</f>
        <v>313</v>
      </c>
      <c r="F13" s="35">
        <f>'Intermediate calculations'!P34/1000</f>
        <v>305</v>
      </c>
      <c r="G13" s="35">
        <f>'Intermediate calculations'!Q34/1000</f>
        <v>329</v>
      </c>
      <c r="H13" s="35">
        <f>'Intermediate calculations'!R34/1000</f>
        <v>357</v>
      </c>
      <c r="I13" s="35">
        <f>'Intermediate calculations'!S34/1000</f>
        <v>392</v>
      </c>
      <c r="J13" s="35">
        <f>'Intermediate calculations'!T34/1000</f>
        <v>416</v>
      </c>
      <c r="K13" s="35">
        <f>'Intermediate calculations'!U34/1000</f>
        <v>404</v>
      </c>
      <c r="L13" s="35">
        <f>'Intermediate calculations'!V34/1000</f>
        <v>379</v>
      </c>
      <c r="M13" s="35">
        <f>'Intermediate calculations'!W34/1000</f>
        <v>386</v>
      </c>
      <c r="N13" s="35">
        <f>'Intermediate calculations'!X34/1000</f>
        <v>426</v>
      </c>
      <c r="O13" s="35">
        <f>'Intermediate calculations'!Y34/1000</f>
        <v>419.32473869071464</v>
      </c>
      <c r="P13" s="35">
        <f>'Intermediate calculations'!Z34/1000</f>
        <v>428.95279625378515</v>
      </c>
      <c r="Q13" s="35">
        <f>'Intermediate calculations'!AA34/1000</f>
        <v>437.00579064406833</v>
      </c>
      <c r="R13" s="35">
        <f>'Intermediate calculations'!AB34/1000</f>
        <v>443.86825231210048</v>
      </c>
      <c r="S13" s="35">
        <f>'Intermediate calculations'!AC34/1000</f>
        <v>449.43777145712971</v>
      </c>
      <c r="T13" s="35">
        <f>'Intermediate calculations'!AD34/1000</f>
        <v>456.89210526294579</v>
      </c>
      <c r="U13" s="35">
        <f>'Intermediate calculations'!AE34/1000</f>
        <v>464.01690108978966</v>
      </c>
      <c r="V13" s="35">
        <f>'Intermediate calculations'!AF34/1000</f>
        <v>471.05936051848101</v>
      </c>
      <c r="W13" s="35">
        <f>'Intermediate calculations'!AG34/1000</f>
        <v>449.15077389618409</v>
      </c>
      <c r="X13" s="35">
        <f>'Intermediate calculations'!AH34/1000</f>
        <v>459.14390981664275</v>
      </c>
      <c r="Y13" s="35">
        <f>'Intermediate calculations'!AI34/1000</f>
        <v>468.85287942465266</v>
      </c>
      <c r="Z13" s="35">
        <f>'Intermediate calculations'!AJ34/1000</f>
        <v>478.79160479314436</v>
      </c>
      <c r="AA13" s="35">
        <f>'Intermediate calculations'!AK34/1000</f>
        <v>489.34430008518103</v>
      </c>
      <c r="AB13" s="35">
        <f>'Intermediate calculations'!AL34/1000</f>
        <v>500.79481131976308</v>
      </c>
      <c r="AC13" s="35">
        <f>'Intermediate calculations'!AM34/1000</f>
        <v>512.33398050473045</v>
      </c>
      <c r="AD13" s="35">
        <f>'Intermediate calculations'!AN34/1000</f>
        <v>524.52252860320414</v>
      </c>
      <c r="AE13" s="35">
        <f>'Intermediate calculations'!AO34/1000</f>
        <v>537.43438882143221</v>
      </c>
      <c r="AF13" s="35">
        <f>'Intermediate calculations'!AP34/1000</f>
        <v>551.67356671717403</v>
      </c>
      <c r="AG13" s="35">
        <f>'Intermediate calculations'!AQ34/1000</f>
        <v>565.94400641091875</v>
      </c>
      <c r="AH13" s="35">
        <f>'Intermediate calculations'!AR34/1000</f>
        <v>581.92121873513759</v>
      </c>
      <c r="AI13" s="35">
        <f>'Intermediate calculations'!AS34/1000</f>
        <v>598.47502498370318</v>
      </c>
      <c r="AJ13" s="35">
        <f>'Intermediate calculations'!AT34/1000</f>
        <v>615.55270598465802</v>
      </c>
      <c r="AK13" s="35">
        <f>'Intermediate calculations'!AU34/1000</f>
        <v>633.09613897829138</v>
      </c>
      <c r="AL13" s="35">
        <f>'Intermediate calculations'!AV34/1000</f>
        <v>649.72691786865948</v>
      </c>
      <c r="AM13" s="35">
        <f>'Intermediate calculations'!AW34/1000</f>
        <v>666.79735518876464</v>
      </c>
      <c r="AN13" s="35">
        <f>'Intermediate calculations'!AX34/1000</f>
        <v>684.96310505899453</v>
      </c>
      <c r="AO13" s="35">
        <f>'Intermediate calculations'!AY34/1000</f>
        <v>703.95682438438212</v>
      </c>
      <c r="AP13" s="35">
        <f>'Intermediate calculations'!AZ34/1000</f>
        <v>722.74778617048321</v>
      </c>
      <c r="AQ13" s="35">
        <f>'Intermediate calculations'!BA34/1000</f>
        <v>741.90314477863592</v>
      </c>
      <c r="AR13" s="35">
        <f>'Intermediate calculations'!BB34/1000</f>
        <v>761.5320007493691</v>
      </c>
      <c r="AS13" s="35">
        <f>'Intermediate calculations'!BC34/1000</f>
        <v>782.08936138876732</v>
      </c>
      <c r="AT13" s="35">
        <f>'Intermediate calculations'!BD34/1000</f>
        <v>803.78297219275032</v>
      </c>
      <c r="AU13" s="35">
        <f>'Intermediate calculations'!BE34/1000</f>
        <v>826.54940739858</v>
      </c>
      <c r="AV13" s="35">
        <f>'Intermediate calculations'!BF34/1000</f>
        <v>850.82055596537157</v>
      </c>
      <c r="AW13" s="35">
        <f>'Intermediate calculations'!BG34/1000</f>
        <v>876.13422684693592</v>
      </c>
      <c r="AX13" s="35">
        <f>'Intermediate calculations'!BH34/1000</f>
        <v>902.5664607174059</v>
      </c>
      <c r="AY13" s="35">
        <f>'Intermediate calculations'!BI34/1000</f>
        <v>929.05819500221128</v>
      </c>
      <c r="AZ13" s="35">
        <f>'Intermediate calculations'!BJ34/1000</f>
        <v>956.77475071064339</v>
      </c>
      <c r="BA13" s="35">
        <f>'Intermediate calculations'!BK34/1000</f>
        <v>986.00032541334997</v>
      </c>
    </row>
    <row r="14" spans="1:53" x14ac:dyDescent="0.25">
      <c r="A14" s="32"/>
      <c r="B14" s="32"/>
      <c r="C14" s="35"/>
      <c r="D14" s="35"/>
      <c r="E14" s="35"/>
      <c r="F14" s="35"/>
      <c r="G14" s="35"/>
      <c r="H14" s="35"/>
      <c r="I14" s="35"/>
      <c r="J14" s="35"/>
      <c r="K14" s="35"/>
      <c r="L14" s="35"/>
      <c r="M14" s="35"/>
      <c r="N14" s="35"/>
      <c r="O14" s="35"/>
      <c r="P14" s="35"/>
      <c r="Q14" s="35"/>
      <c r="R14" s="36"/>
      <c r="S14" s="36"/>
      <c r="T14" s="36"/>
      <c r="U14" s="36"/>
      <c r="V14" s="36"/>
      <c r="W14" s="36"/>
      <c r="X14" s="36"/>
      <c r="Y14" s="36"/>
      <c r="Z14" s="36"/>
      <c r="AA14" s="36"/>
    </row>
    <row r="15" spans="1:53" x14ac:dyDescent="0.25">
      <c r="A15" s="31"/>
      <c r="B15" s="32"/>
      <c r="C15" s="33">
        <v>2000</v>
      </c>
      <c r="D15" s="33">
        <v>2001</v>
      </c>
      <c r="E15" s="33">
        <v>2002</v>
      </c>
      <c r="F15" s="33">
        <v>2003</v>
      </c>
      <c r="G15" s="33">
        <v>2004</v>
      </c>
      <c r="H15" s="33">
        <v>2005</v>
      </c>
      <c r="I15" s="33">
        <v>2006</v>
      </c>
      <c r="J15" s="33">
        <v>2007</v>
      </c>
      <c r="K15" s="33">
        <v>2008</v>
      </c>
      <c r="L15" s="33">
        <v>2009</v>
      </c>
      <c r="M15" s="33">
        <v>2010</v>
      </c>
      <c r="N15" s="33">
        <v>2011</v>
      </c>
      <c r="O15" s="33">
        <v>2012</v>
      </c>
      <c r="P15" s="33">
        <v>2013</v>
      </c>
      <c r="Q15" s="33">
        <v>2014</v>
      </c>
      <c r="R15" s="34">
        <v>2015</v>
      </c>
      <c r="S15" s="34">
        <v>2016</v>
      </c>
      <c r="T15" s="34">
        <v>2017</v>
      </c>
      <c r="U15" s="34">
        <v>2018</v>
      </c>
      <c r="V15" s="34">
        <v>2019</v>
      </c>
      <c r="W15" s="34">
        <v>2020</v>
      </c>
      <c r="X15" s="34">
        <v>2021</v>
      </c>
      <c r="Y15" s="34">
        <v>2022</v>
      </c>
      <c r="Z15" s="34">
        <v>2023</v>
      </c>
      <c r="AA15" s="34">
        <v>2024</v>
      </c>
      <c r="AB15" s="34">
        <v>2025</v>
      </c>
      <c r="AC15" s="34">
        <v>2026</v>
      </c>
      <c r="AD15" s="34">
        <v>2027</v>
      </c>
      <c r="AE15" s="34">
        <v>2028</v>
      </c>
      <c r="AF15" s="34">
        <v>2029</v>
      </c>
      <c r="AG15" s="34">
        <v>2030</v>
      </c>
      <c r="AH15" s="34">
        <v>2031</v>
      </c>
      <c r="AI15" s="34">
        <v>2032</v>
      </c>
      <c r="AJ15" s="34">
        <v>2033</v>
      </c>
      <c r="AK15" s="34">
        <v>2034</v>
      </c>
      <c r="AL15" s="34">
        <v>2035</v>
      </c>
      <c r="AM15" s="34">
        <v>2036</v>
      </c>
      <c r="AN15" s="34">
        <v>2037</v>
      </c>
      <c r="AO15" s="34">
        <v>2038</v>
      </c>
      <c r="AP15" s="34">
        <v>2039</v>
      </c>
      <c r="AQ15" s="34">
        <v>2040</v>
      </c>
      <c r="AR15" s="34">
        <v>2041</v>
      </c>
      <c r="AS15" s="34">
        <v>2042</v>
      </c>
      <c r="AT15" s="34">
        <v>2043</v>
      </c>
      <c r="AU15" s="34">
        <v>2044</v>
      </c>
      <c r="AV15" s="34">
        <v>2045</v>
      </c>
      <c r="AW15" s="34">
        <v>2046</v>
      </c>
      <c r="AX15" s="34">
        <v>2047</v>
      </c>
      <c r="AY15" s="34">
        <v>2048</v>
      </c>
      <c r="AZ15" s="34">
        <v>2049</v>
      </c>
      <c r="BA15" s="34">
        <v>2050</v>
      </c>
    </row>
    <row r="16" spans="1:53" x14ac:dyDescent="0.25">
      <c r="A16" s="37"/>
      <c r="B16" s="37" t="s">
        <v>674</v>
      </c>
      <c r="C16" s="38">
        <v>610.16713705625</v>
      </c>
      <c r="D16" s="38">
        <v>610.16713705625</v>
      </c>
      <c r="E16" s="38">
        <v>610.16713705625</v>
      </c>
      <c r="F16" s="38">
        <v>536</v>
      </c>
      <c r="G16" s="38">
        <v>559.68422552599998</v>
      </c>
      <c r="H16" s="38">
        <v>575.65290859000004</v>
      </c>
      <c r="I16" s="38">
        <v>579.69497297999999</v>
      </c>
      <c r="J16" s="38">
        <v>601.65087453649994</v>
      </c>
      <c r="K16" s="38">
        <v>631</v>
      </c>
      <c r="L16" s="38">
        <v>612.06999999999994</v>
      </c>
      <c r="M16" s="38">
        <v>654.91489999999999</v>
      </c>
      <c r="N16" s="38">
        <v>622.16915499999993</v>
      </c>
      <c r="O16" s="38">
        <v>613.14770225249993</v>
      </c>
      <c r="P16" s="38">
        <v>665.92799245872072</v>
      </c>
      <c r="Q16" s="38">
        <v>698.08925804689954</v>
      </c>
      <c r="R16" s="39">
        <v>699.22078053934399</v>
      </c>
      <c r="S16" s="39">
        <v>710.39885911430974</v>
      </c>
      <c r="T16" s="39">
        <v>739.18964380980105</v>
      </c>
      <c r="U16" s="39">
        <v>753.56215690376871</v>
      </c>
      <c r="V16" s="39">
        <v>770.46731576083528</v>
      </c>
      <c r="W16" s="39">
        <v>785.71589617587529</v>
      </c>
      <c r="X16" s="39">
        <v>803.32741953910943</v>
      </c>
      <c r="Y16" s="39">
        <v>821.94908336777723</v>
      </c>
      <c r="Z16" s="39">
        <v>844.55586695223269</v>
      </c>
      <c r="AA16" s="39">
        <v>859.84984588505426</v>
      </c>
      <c r="AB16" s="39">
        <v>875</v>
      </c>
      <c r="AC16" s="39">
        <v>890</v>
      </c>
      <c r="AD16" s="39">
        <v>910</v>
      </c>
      <c r="AE16" s="39">
        <v>925</v>
      </c>
    </row>
    <row r="17" spans="1:53" x14ac:dyDescent="0.25">
      <c r="A17" s="37"/>
      <c r="B17" s="37" t="s">
        <v>675</v>
      </c>
      <c r="C17" s="38">
        <v>649.892624710375</v>
      </c>
      <c r="D17" s="38">
        <v>649.892624710375</v>
      </c>
      <c r="E17" s="38">
        <v>649.892624710375</v>
      </c>
      <c r="F17" s="38">
        <v>574.19949799999995</v>
      </c>
      <c r="G17" s="38">
        <v>612.06163379999998</v>
      </c>
      <c r="H17" s="38">
        <v>642.21783919999996</v>
      </c>
      <c r="I17" s="38">
        <v>636.26177159999997</v>
      </c>
      <c r="J17" s="38">
        <v>658.9</v>
      </c>
      <c r="K17" s="38">
        <v>671.91341149238087</v>
      </c>
      <c r="L17" s="38">
        <v>649.94999999999993</v>
      </c>
      <c r="M17" s="38">
        <v>695.36469999999997</v>
      </c>
      <c r="N17" s="38">
        <v>663.10915499999999</v>
      </c>
      <c r="O17" s="38">
        <v>670.91943283249987</v>
      </c>
      <c r="P17" s="38">
        <v>716.42099245872066</v>
      </c>
      <c r="Q17" s="38">
        <v>729.84874533689958</v>
      </c>
      <c r="R17" s="39">
        <v>740.51634422626432</v>
      </c>
      <c r="S17" s="39">
        <v>752.08174895984371</v>
      </c>
      <c r="T17" s="39">
        <v>781.10112686931438</v>
      </c>
      <c r="U17" s="39">
        <v>797.63162045872559</v>
      </c>
      <c r="V17" s="39">
        <v>815.73258961364343</v>
      </c>
      <c r="W17" s="39">
        <v>831.42566617367947</v>
      </c>
      <c r="X17" s="39">
        <v>848.73455405867912</v>
      </c>
      <c r="Y17" s="39">
        <v>866.8135090431233</v>
      </c>
      <c r="Z17" s="39">
        <v>888.81185294880709</v>
      </c>
      <c r="AA17" s="39">
        <v>904.54032017152463</v>
      </c>
    </row>
    <row r="18" spans="1:53" x14ac:dyDescent="0.25">
      <c r="A18" s="37"/>
      <c r="B18" s="37" t="s">
        <v>676</v>
      </c>
      <c r="C18" s="38">
        <f>'Intermediate calculations'!M8/1000</f>
        <v>624.6</v>
      </c>
      <c r="D18" s="38">
        <f>'Intermediate calculations'!N8/1000</f>
        <v>524.29999999999995</v>
      </c>
      <c r="E18" s="38">
        <f>'Intermediate calculations'!O8/1000</f>
        <v>573.4</v>
      </c>
      <c r="F18" s="38">
        <f>'Intermediate calculations'!P8/1000</f>
        <v>609.70000000000005</v>
      </c>
      <c r="G18" s="38">
        <f>'Intermediate calculations'!Q8/1000</f>
        <v>631.70000000000005</v>
      </c>
      <c r="H18" s="38">
        <f>'Intermediate calculations'!R8/1000</f>
        <v>672.3</v>
      </c>
      <c r="I18" s="38">
        <f>'Intermediate calculations'!S8/1000</f>
        <v>808.1</v>
      </c>
      <c r="J18" s="38">
        <f>'Intermediate calculations'!T8/1000</f>
        <v>861.4</v>
      </c>
      <c r="K18" s="38">
        <f>'Intermediate calculations'!U8/1000</f>
        <v>770.2</v>
      </c>
      <c r="L18" s="38">
        <f>'Intermediate calculations'!V8/1000</f>
        <v>796.7</v>
      </c>
      <c r="M18" s="38">
        <f>'Intermediate calculations'!W8/1000</f>
        <v>885.8</v>
      </c>
      <c r="N18" s="38">
        <f>'Intermediate calculations'!X8/1000</f>
        <v>869.5</v>
      </c>
      <c r="O18" s="38">
        <f>'Intermediate calculations'!Y8/1000</f>
        <v>919.84220608981605</v>
      </c>
      <c r="P18" s="38">
        <f>'Intermediate calculations'!Z8/1000</f>
        <v>949.14056199881315</v>
      </c>
      <c r="Q18" s="38">
        <f>'Intermediate calculations'!AA8/1000</f>
        <v>971.73762739106826</v>
      </c>
      <c r="R18" s="38">
        <f>'Intermediate calculations'!AB8/1000</f>
        <v>989.16932703874375</v>
      </c>
      <c r="S18" s="38">
        <f>'Intermediate calculations'!AC8/1000</f>
        <v>1001.0086129340765</v>
      </c>
      <c r="T18" s="38">
        <f>'Intermediate calculations'!AD8/1000</f>
        <v>1020.0462731800243</v>
      </c>
      <c r="U18" s="38">
        <f>'Intermediate calculations'!AE8/1000</f>
        <v>1037.6090304737545</v>
      </c>
      <c r="V18" s="38">
        <f>'Intermediate calculations'!AF8/1000</f>
        <v>1054.6596869972914</v>
      </c>
      <c r="W18" s="38">
        <f>'Intermediate calculations'!AG8/1000</f>
        <v>954.85902198393967</v>
      </c>
      <c r="X18" s="38">
        <f>'Intermediate calculations'!AH8/1000</f>
        <v>986.80030290455886</v>
      </c>
      <c r="Y18" s="38">
        <f>'Intermediate calculations'!AI8/1000</f>
        <v>1017.5005319086041</v>
      </c>
      <c r="Z18" s="38">
        <f>'Intermediate calculations'!AJ8/1000</f>
        <v>1049.0296288636273</v>
      </c>
      <c r="AA18" s="38">
        <f>'Intermediate calculations'!AK8/1000</f>
        <v>1082.9347986902421</v>
      </c>
      <c r="AB18" s="38">
        <f>'Intermediate calculations'!AL8/1000</f>
        <v>1120.3587658020861</v>
      </c>
      <c r="AC18" s="38">
        <f>'Intermediate calculations'!AM8/1000</f>
        <v>1159.3171316485068</v>
      </c>
      <c r="AD18" s="38">
        <f>'Intermediate calculations'!AN8/1000</f>
        <v>1200.8181228542289</v>
      </c>
      <c r="AE18" s="38">
        <f>'Intermediate calculations'!AO8/1000</f>
        <v>1245.1589471939503</v>
      </c>
      <c r="AF18" s="38">
        <f>'Intermediate calculations'!AP8/1000</f>
        <v>1294.7729124501623</v>
      </c>
      <c r="AG18" s="38">
        <f>'Intermediate calculations'!AQ8/1000</f>
        <v>1344.4363739626299</v>
      </c>
      <c r="AH18" s="38">
        <f>'Intermediate calculations'!AR8/1000</f>
        <v>1401.9562542796616</v>
      </c>
      <c r="AI18" s="38">
        <f>'Intermediate calculations'!AS8/1000</f>
        <v>1461.7411222284452</v>
      </c>
      <c r="AJ18" s="38">
        <f>'Intermediate calculations'!AT8/1000</f>
        <v>1523.5780278789148</v>
      </c>
      <c r="AK18" s="38">
        <f>'Intermediate calculations'!AU8/1000</f>
        <v>1587.2322414347816</v>
      </c>
      <c r="AL18" s="38">
        <f>'Intermediate calculations'!AV8/1000</f>
        <v>1647.1484970919098</v>
      </c>
      <c r="AM18" s="38">
        <f>'Intermediate calculations'!AW8/1000</f>
        <v>1709.7941876854777</v>
      </c>
      <c r="AN18" s="38">
        <f>'Intermediate calculations'!AX8/1000</f>
        <v>1776.8088216859369</v>
      </c>
      <c r="AO18" s="38">
        <f>'Intermediate calculations'!AY8/1000</f>
        <v>1847.1147195796245</v>
      </c>
      <c r="AP18" s="38">
        <f>'Intermediate calculations'!AZ8/1000</f>
        <v>1916.5578838294839</v>
      </c>
      <c r="AQ18" s="38">
        <f>'Intermediate calculations'!BA8/1000</f>
        <v>1987.423522008311</v>
      </c>
      <c r="AR18" s="38">
        <f>'Intermediate calculations'!BB8/1000</f>
        <v>2061.1175086962794</v>
      </c>
      <c r="AS18" s="38">
        <f>'Intermediate calculations'!BC8/1000</f>
        <v>2138.5196378090709</v>
      </c>
      <c r="AT18" s="38">
        <f>'Intermediate calculations'!BD8/1000</f>
        <v>2220.4668820442862</v>
      </c>
      <c r="AU18" s="38">
        <f>'Intermediate calculations'!BE8/1000</f>
        <v>2306.7034357922535</v>
      </c>
      <c r="AV18" s="38">
        <f>'Intermediate calculations'!BF8/1000</f>
        <v>2398.969531632677</v>
      </c>
      <c r="AW18" s="38">
        <f>'Intermediate calculations'!BG8/1000</f>
        <v>2496.3956300932105</v>
      </c>
      <c r="AX18" s="38">
        <f>'Intermediate calculations'!BH8/1000</f>
        <v>2598.3059589505765</v>
      </c>
      <c r="AY18" s="38">
        <f>'Intermediate calculations'!BI8/1000</f>
        <v>2700.432545138247</v>
      </c>
      <c r="AZ18" s="38">
        <f>'Intermediate calculations'!BJ8/1000</f>
        <v>2807.4713267816501</v>
      </c>
      <c r="BA18" s="38">
        <f>'Intermediate calculations'!BK8/1000</f>
        <v>2920.5674541784715</v>
      </c>
    </row>
    <row r="19" spans="1:53" x14ac:dyDescent="0.25">
      <c r="A19" s="37"/>
      <c r="B19" s="37" t="s">
        <v>677</v>
      </c>
      <c r="C19" s="38">
        <f>'Intermediate calculations'!M5/1000</f>
        <v>671</v>
      </c>
      <c r="D19" s="38">
        <f>'Intermediate calculations'!N5/1000</f>
        <v>554</v>
      </c>
      <c r="E19" s="38">
        <f>'Intermediate calculations'!O5/1000</f>
        <v>602</v>
      </c>
      <c r="F19" s="38">
        <f>'Intermediate calculations'!P5/1000</f>
        <v>643</v>
      </c>
      <c r="G19" s="38">
        <f>'Intermediate calculations'!Q5/1000</f>
        <v>675</v>
      </c>
      <c r="H19" s="38">
        <f>'Intermediate calculations'!R5/1000</f>
        <v>723</v>
      </c>
      <c r="I19" s="38">
        <f>'Intermediate calculations'!S5/1000</f>
        <v>825</v>
      </c>
      <c r="J19" s="38">
        <f>'Intermediate calculations'!T5/1000</f>
        <v>865</v>
      </c>
      <c r="K19" s="38">
        <f>'Intermediate calculations'!U5/1000</f>
        <v>767</v>
      </c>
      <c r="L19" s="38">
        <f>'Intermediate calculations'!V5/1000</f>
        <v>784</v>
      </c>
      <c r="M19" s="38">
        <f>'Intermediate calculations'!W5/1000</f>
        <v>880</v>
      </c>
      <c r="N19" s="38">
        <f>'Intermediate calculations'!X5/1000</f>
        <v>879</v>
      </c>
      <c r="O19" s="38">
        <f>'Intermediate calculations'!Y5/1000</f>
        <v>920.36578982954904</v>
      </c>
      <c r="P19" s="38">
        <f>'Intermediate calculations'!Z5/1000</f>
        <v>946.00836609265002</v>
      </c>
      <c r="Q19" s="38">
        <f>'Intermediate calculations'!AA5/1000</f>
        <v>965.78582304084841</v>
      </c>
      <c r="R19" s="38">
        <f>'Intermediate calculations'!AB5/1000</f>
        <v>981.0424363811801</v>
      </c>
      <c r="S19" s="38">
        <f>'Intermediate calculations'!AC5/1000</f>
        <v>991.40444414757837</v>
      </c>
      <c r="T19" s="38">
        <f>'Intermediate calculations'!AD5/1000</f>
        <v>1008.0666301161026</v>
      </c>
      <c r="U19" s="38">
        <f>'Intermediate calculations'!AE5/1000</f>
        <v>1023.4379480389803</v>
      </c>
      <c r="V19" s="38">
        <f>'Intermediate calculations'!AF5/1000</f>
        <v>1038.361063916157</v>
      </c>
      <c r="W19" s="38">
        <f>'Intermediate calculations'!AG5/1000</f>
        <v>951.01329014816918</v>
      </c>
      <c r="X19" s="38">
        <f>'Intermediate calculations'!AH5/1000</f>
        <v>978.96901348268545</v>
      </c>
      <c r="Y19" s="38">
        <f>'Intermediate calculations'!AI5/1000</f>
        <v>1005.8385404273406</v>
      </c>
      <c r="Z19" s="38">
        <f>'Intermediate calculations'!AJ5/1000</f>
        <v>1033.4335111378855</v>
      </c>
      <c r="AA19" s="38">
        <f>'Intermediate calculations'!AK5/1000</f>
        <v>1063.1080739595275</v>
      </c>
      <c r="AB19" s="38">
        <f>'Intermediate calculations'!AL5/1000</f>
        <v>1095.8623668527525</v>
      </c>
      <c r="AC19" s="38">
        <f>'Intermediate calculations'!AM5/1000</f>
        <v>1129.9595998307934</v>
      </c>
      <c r="AD19" s="38">
        <f>'Intermediate calculations'!AN5/1000</f>
        <v>1166.2821953816317</v>
      </c>
      <c r="AE19" s="38">
        <f>'Intermediate calculations'!AO5/1000</f>
        <v>1205.0902763958609</v>
      </c>
      <c r="AF19" s="38">
        <f>'Intermediate calculations'!AP5/1000</f>
        <v>1248.5135282584877</v>
      </c>
      <c r="AG19" s="38">
        <f>'Intermediate calculations'!AQ5/1000</f>
        <v>1291.9801003514274</v>
      </c>
      <c r="AH19" s="38">
        <f>'Intermediate calculations'!AR5/1000</f>
        <v>1342.3227858678183</v>
      </c>
      <c r="AI19" s="38">
        <f>'Intermediate calculations'!AS5/1000</f>
        <v>1394.6478392093043</v>
      </c>
      <c r="AJ19" s="38">
        <f>'Intermediate calculations'!AT5/1000</f>
        <v>1448.7688818350923</v>
      </c>
      <c r="AK19" s="38">
        <f>'Intermediate calculations'!AU5/1000</f>
        <v>1504.48047297843</v>
      </c>
      <c r="AL19" s="38">
        <f>'Intermediate calculations'!AV5/1000</f>
        <v>1556.9205197803587</v>
      </c>
      <c r="AM19" s="38">
        <f>'Intermediate calculations'!AW5/1000</f>
        <v>1611.749429074443</v>
      </c>
      <c r="AN19" s="38">
        <f>'Intermediate calculations'!AX5/1000</f>
        <v>1670.4021353368062</v>
      </c>
      <c r="AO19" s="38">
        <f>'Intermediate calculations'!AY5/1000</f>
        <v>1731.9354293579584</v>
      </c>
      <c r="AP19" s="38">
        <f>'Intermediate calculations'!AZ5/1000</f>
        <v>1792.7136396015319</v>
      </c>
      <c r="AQ19" s="38">
        <f>'Intermediate calculations'!BA5/1000</f>
        <v>1854.7368308371831</v>
      </c>
      <c r="AR19" s="38">
        <f>'Intermediate calculations'!BB5/1000</f>
        <v>1919.2354559357295</v>
      </c>
      <c r="AS19" s="38">
        <f>'Intermediate calculations'!BC5/1000</f>
        <v>1986.9795302061787</v>
      </c>
      <c r="AT19" s="38">
        <f>'Intermediate calculations'!BD5/1000</f>
        <v>2058.7015908699027</v>
      </c>
      <c r="AU19" s="38">
        <f>'Intermediate calculations'!BE5/1000</f>
        <v>2134.1777511369778</v>
      </c>
      <c r="AV19" s="38">
        <f>'Intermediate calculations'!BF5/1000</f>
        <v>2214.931101476343</v>
      </c>
      <c r="AW19" s="38">
        <f>'Intermediate calculations'!BG5/1000</f>
        <v>2300.200601497108</v>
      </c>
      <c r="AX19" s="38">
        <f>'Intermediate calculations'!BH5/1000</f>
        <v>2389.3948002378038</v>
      </c>
      <c r="AY19" s="38">
        <f>'Intermediate calculations'!BI5/1000</f>
        <v>2478.7782722299407</v>
      </c>
      <c r="AZ19" s="38">
        <f>'Intermediate calculations'!BJ5/1000</f>
        <v>2572.4610075317364</v>
      </c>
      <c r="BA19" s="38">
        <f>'Intermediate calculations'!BK5/1000</f>
        <v>2671.4452672916441</v>
      </c>
    </row>
    <row r="20" spans="1:53" x14ac:dyDescent="0.25">
      <c r="A20" s="37"/>
      <c r="B20" s="37"/>
      <c r="C20" s="38"/>
      <c r="D20" s="38"/>
      <c r="E20" s="38"/>
      <c r="F20" s="38"/>
      <c r="G20" s="38"/>
      <c r="H20" s="38"/>
      <c r="I20" s="38"/>
      <c r="J20" s="38"/>
      <c r="K20" s="38"/>
      <c r="L20" s="38"/>
      <c r="M20" s="38"/>
      <c r="N20" s="38"/>
      <c r="O20" s="38"/>
      <c r="P20" s="38"/>
      <c r="Q20" s="38"/>
      <c r="R20" s="39"/>
      <c r="S20" s="39"/>
      <c r="T20" s="39"/>
      <c r="U20" s="39"/>
      <c r="V20" s="39"/>
      <c r="W20" s="39"/>
      <c r="X20" s="39"/>
      <c r="Y20" s="39"/>
      <c r="Z20" s="39"/>
      <c r="AA20" s="39"/>
    </row>
    <row r="21" spans="1:53" x14ac:dyDescent="0.25">
      <c r="A21" s="31"/>
      <c r="B21" s="32"/>
      <c r="C21" s="33">
        <v>2000</v>
      </c>
      <c r="D21" s="33">
        <v>2001</v>
      </c>
      <c r="E21" s="33">
        <v>2002</v>
      </c>
      <c r="F21" s="33">
        <v>2003</v>
      </c>
      <c r="G21" s="33">
        <v>2004</v>
      </c>
      <c r="H21" s="33">
        <v>2005</v>
      </c>
      <c r="I21" s="33">
        <v>2006</v>
      </c>
      <c r="J21" s="33">
        <v>2007</v>
      </c>
      <c r="K21" s="33">
        <v>2008</v>
      </c>
      <c r="L21" s="33">
        <v>2009</v>
      </c>
      <c r="M21" s="33">
        <v>2010</v>
      </c>
      <c r="N21" s="33">
        <v>2011</v>
      </c>
      <c r="O21" s="33">
        <v>2012</v>
      </c>
      <c r="P21" s="33">
        <v>2013</v>
      </c>
      <c r="Q21" s="33">
        <v>2014</v>
      </c>
      <c r="R21" s="34">
        <v>2015</v>
      </c>
      <c r="S21" s="34">
        <v>2016</v>
      </c>
      <c r="T21" s="34">
        <v>2017</v>
      </c>
      <c r="U21" s="34">
        <v>2018</v>
      </c>
      <c r="V21" s="34">
        <v>2019</v>
      </c>
      <c r="W21" s="34">
        <v>2020</v>
      </c>
      <c r="X21" s="34">
        <v>2021</v>
      </c>
      <c r="Y21" s="34">
        <v>2022</v>
      </c>
      <c r="Z21" s="34">
        <v>2023</v>
      </c>
      <c r="AA21" s="34">
        <v>2024</v>
      </c>
      <c r="AB21" s="34">
        <v>2025</v>
      </c>
      <c r="AC21" s="34">
        <v>2026</v>
      </c>
      <c r="AD21" s="34">
        <v>2027</v>
      </c>
      <c r="AE21" s="34">
        <v>2028</v>
      </c>
      <c r="AF21" s="34">
        <v>2029</v>
      </c>
      <c r="AG21" s="34">
        <v>2030</v>
      </c>
      <c r="AH21" s="34">
        <v>2031</v>
      </c>
      <c r="AI21" s="34">
        <v>2032</v>
      </c>
      <c r="AJ21" s="34">
        <v>2033</v>
      </c>
      <c r="AK21" s="34">
        <v>2034</v>
      </c>
      <c r="AL21" s="34">
        <v>2035</v>
      </c>
      <c r="AM21" s="34">
        <v>2036</v>
      </c>
      <c r="AN21" s="34">
        <v>2037</v>
      </c>
      <c r="AO21" s="34">
        <v>2038</v>
      </c>
      <c r="AP21" s="34">
        <v>2039</v>
      </c>
      <c r="AQ21" s="34">
        <v>2040</v>
      </c>
      <c r="AR21" s="34">
        <v>2041</v>
      </c>
      <c r="AS21" s="34">
        <v>2042</v>
      </c>
      <c r="AT21" s="34">
        <v>2043</v>
      </c>
      <c r="AU21" s="34">
        <v>2044</v>
      </c>
      <c r="AV21" s="34">
        <v>2045</v>
      </c>
      <c r="AW21" s="34">
        <v>2046</v>
      </c>
      <c r="AX21" s="34">
        <v>2047</v>
      </c>
      <c r="AY21" s="34">
        <v>2048</v>
      </c>
      <c r="AZ21" s="34">
        <v>2049</v>
      </c>
      <c r="BA21" s="34">
        <v>2050</v>
      </c>
    </row>
    <row r="22" spans="1:53" x14ac:dyDescent="0.25">
      <c r="A22" s="32"/>
      <c r="B22" s="32" t="s">
        <v>678</v>
      </c>
      <c r="C22" s="35">
        <v>129.63</v>
      </c>
      <c r="D22" s="35">
        <v>129.63</v>
      </c>
      <c r="E22" s="35">
        <v>129.63</v>
      </c>
      <c r="F22" s="35">
        <v>143.13999999999999</v>
      </c>
      <c r="G22" s="35">
        <v>146.053</v>
      </c>
      <c r="H22" s="35">
        <v>149.999</v>
      </c>
      <c r="I22" s="35">
        <v>157.24799999999999</v>
      </c>
      <c r="J22" s="35">
        <v>152.83564942134379</v>
      </c>
      <c r="K22" s="35">
        <v>162.80000000000001</v>
      </c>
      <c r="L22" s="35">
        <v>165.18375564550669</v>
      </c>
      <c r="M22" s="35">
        <v>169.66697423006443</v>
      </c>
      <c r="N22" s="35">
        <v>186.75616508255388</v>
      </c>
      <c r="O22" s="35">
        <v>191.25698866104344</v>
      </c>
      <c r="P22" s="35">
        <v>197.47194670605705</v>
      </c>
      <c r="Q22" s="35">
        <v>204.80493212570124</v>
      </c>
      <c r="R22" s="36">
        <v>208.64102609863633</v>
      </c>
      <c r="S22" s="36">
        <v>213.80677245749976</v>
      </c>
      <c r="T22" s="36">
        <v>217.57407311191287</v>
      </c>
      <c r="U22" s="36">
        <v>225.22145508819884</v>
      </c>
      <c r="V22" s="36">
        <v>232.86299528535966</v>
      </c>
      <c r="W22" s="36">
        <v>241.53716288131423</v>
      </c>
      <c r="X22" s="36">
        <v>245</v>
      </c>
      <c r="Y22" s="36">
        <v>250</v>
      </c>
      <c r="Z22" s="36">
        <v>255</v>
      </c>
      <c r="AA22" s="36">
        <v>260</v>
      </c>
      <c r="AB22" s="36">
        <v>265</v>
      </c>
      <c r="AC22" s="36">
        <v>270</v>
      </c>
      <c r="AD22" s="36">
        <v>275</v>
      </c>
      <c r="AE22" s="36">
        <v>280</v>
      </c>
    </row>
    <row r="23" spans="1:53" x14ac:dyDescent="0.25">
      <c r="A23" s="32"/>
      <c r="B23" s="32" t="s">
        <v>679</v>
      </c>
      <c r="C23" s="35">
        <v>137.82499999999999</v>
      </c>
      <c r="D23" s="35">
        <v>137.82499999999999</v>
      </c>
      <c r="E23" s="35">
        <v>137.82499999999999</v>
      </c>
      <c r="F23" s="35">
        <v>156.29499999999999</v>
      </c>
      <c r="G23" s="35">
        <v>167.84399999999999</v>
      </c>
      <c r="H23" s="35">
        <v>176.53800000000001</v>
      </c>
      <c r="I23" s="35">
        <v>177.79399999999998</v>
      </c>
      <c r="J23" s="35">
        <v>173.29521483689047</v>
      </c>
      <c r="K23" s="35">
        <v>179.18</v>
      </c>
      <c r="L23" s="35">
        <v>188.69627164870266</v>
      </c>
      <c r="M23" s="35">
        <v>192.2214902332604</v>
      </c>
      <c r="N23" s="35">
        <v>215.34616508255388</v>
      </c>
      <c r="O23" s="35">
        <v>223.20098866104343</v>
      </c>
      <c r="P23" s="35">
        <v>219.00718870605706</v>
      </c>
      <c r="Q23" s="35">
        <v>215.58134712570126</v>
      </c>
      <c r="R23" s="36">
        <v>221.42544983376598</v>
      </c>
      <c r="S23" s="36">
        <v>226.46723800236197</v>
      </c>
      <c r="T23" s="36">
        <v>230.37779215363364</v>
      </c>
      <c r="U23" s="36">
        <v>237.99020308913876</v>
      </c>
      <c r="V23" s="36">
        <v>245.3694152709713</v>
      </c>
      <c r="W23" s="36">
        <v>253.78761345428606</v>
      </c>
      <c r="X23" s="36">
        <v>263.23358248496942</v>
      </c>
      <c r="Y23" s="36">
        <v>274.0317887557747</v>
      </c>
      <c r="Z23" s="36">
        <v>283.56552384740866</v>
      </c>
      <c r="AA23" s="36">
        <v>293.35792027883537</v>
      </c>
    </row>
    <row r="24" spans="1:53" x14ac:dyDescent="0.25">
      <c r="A24" s="32"/>
      <c r="B24" s="32" t="s">
        <v>680</v>
      </c>
      <c r="C24" s="35">
        <f>'Intermediate calculations'!M32/1000</f>
        <v>123</v>
      </c>
      <c r="D24" s="35">
        <f>'Intermediate calculations'!N32/1000</f>
        <v>106.9</v>
      </c>
      <c r="E24" s="35">
        <f>'Intermediate calculations'!O32/1000</f>
        <v>116.6</v>
      </c>
      <c r="F24" s="35">
        <f>'Intermediate calculations'!P32/1000</f>
        <v>135</v>
      </c>
      <c r="G24" s="35">
        <f>'Intermediate calculations'!Q32/1000</f>
        <v>156.80000000000001</v>
      </c>
      <c r="H24" s="35">
        <f>'Intermediate calculations'!R32/1000</f>
        <v>159.69999999999999</v>
      </c>
      <c r="I24" s="35">
        <f>'Intermediate calculations'!S32/1000</f>
        <v>171.4</v>
      </c>
      <c r="J24" s="35">
        <f>'Intermediate calculations'!T32/1000</f>
        <v>187.1</v>
      </c>
      <c r="K24" s="35">
        <f>'Intermediate calculations'!U32/1000</f>
        <v>181.7</v>
      </c>
      <c r="L24" s="35">
        <f>'Intermediate calculations'!V32/1000</f>
        <v>180.7</v>
      </c>
      <c r="M24" s="35">
        <f>'Intermediate calculations'!W32/1000</f>
        <v>191.9</v>
      </c>
      <c r="N24" s="35">
        <f>'Intermediate calculations'!X32/1000</f>
        <v>205.1</v>
      </c>
      <c r="O24" s="35">
        <f>'Intermediate calculations'!Y32/1000</f>
        <v>210.30378974335389</v>
      </c>
      <c r="P24" s="35">
        <f>'Intermediate calculations'!Z32/1000</f>
        <v>216.37098562679941</v>
      </c>
      <c r="Q24" s="35">
        <f>'Intermediate calculations'!AA32/1000</f>
        <v>220.87790947711304</v>
      </c>
      <c r="R24" s="35">
        <f>'Intermediate calculations'!AB32/1000</f>
        <v>224.17569938414897</v>
      </c>
      <c r="S24" s="35">
        <f>'Intermediate calculations'!AC32/1000</f>
        <v>226.16548553948178</v>
      </c>
      <c r="T24" s="35">
        <f>'Intermediate calculations'!AD32/1000</f>
        <v>229.77820082663408</v>
      </c>
      <c r="U24" s="35">
        <f>'Intermediate calculations'!AE32/1000</f>
        <v>233.04280131341147</v>
      </c>
      <c r="V24" s="35">
        <f>'Intermediate calculations'!AF32/1000</f>
        <v>236.17770570531965</v>
      </c>
      <c r="W24" s="35">
        <f>'Intermediate calculations'!AG32/1000</f>
        <v>212.5149185712504</v>
      </c>
      <c r="X24" s="35">
        <f>'Intermediate calculations'!AH32/1000</f>
        <v>219.26793789372923</v>
      </c>
      <c r="Y24" s="35">
        <f>'Intermediate calculations'!AI32/1000</f>
        <v>225.72992959243123</v>
      </c>
      <c r="Z24" s="35">
        <f>'Intermediate calculations'!AJ32/1000</f>
        <v>232.37529455779418</v>
      </c>
      <c r="AA24" s="35">
        <f>'Intermediate calculations'!AK32/1000</f>
        <v>239.55861375483966</v>
      </c>
      <c r="AB24" s="35">
        <f>'Intermediate calculations'!AL32/1000</f>
        <v>247.54175044015196</v>
      </c>
      <c r="AC24" s="35">
        <f>'Intermediate calculations'!AM32/1000</f>
        <v>255.95697817693443</v>
      </c>
      <c r="AD24" s="35">
        <f>'Intermediate calculations'!AN32/1000</f>
        <v>264.94996711306214</v>
      </c>
      <c r="AE24" s="35">
        <f>'Intermediate calculations'!AO32/1000</f>
        <v>274.58879461460327</v>
      </c>
      <c r="AF24" s="35">
        <f>'Intermediate calculations'!AP32/1000</f>
        <v>285.43118395066682</v>
      </c>
      <c r="AG24" s="35">
        <f>'Intermediate calculations'!AQ32/1000</f>
        <v>296.2796970194031</v>
      </c>
      <c r="AH24" s="35">
        <f>'Intermediate calculations'!AR32/1000</f>
        <v>308.99589469966594</v>
      </c>
      <c r="AI24" s="35">
        <f>'Intermediate calculations'!AS32/1000</f>
        <v>322.22728239164945</v>
      </c>
      <c r="AJ24" s="35">
        <f>'Intermediate calculations'!AT32/1000</f>
        <v>335.92501261820746</v>
      </c>
      <c r="AK24" s="35">
        <f>'Intermediate calculations'!AU32/1000</f>
        <v>350.0352451324996</v>
      </c>
      <c r="AL24" s="35">
        <f>'Intermediate calculations'!AV32/1000</f>
        <v>363.28454234105533</v>
      </c>
      <c r="AM24" s="35">
        <f>'Intermediate calculations'!AW32/1000</f>
        <v>377.22487963306276</v>
      </c>
      <c r="AN24" s="35">
        <f>'Intermediate calculations'!AX32/1000</f>
        <v>392.16361379767756</v>
      </c>
      <c r="AO24" s="35">
        <f>'Intermediate calculations'!AY32/1000</f>
        <v>407.85369182864775</v>
      </c>
      <c r="AP24" s="35">
        <f>'Intermediate calculations'!AZ32/1000</f>
        <v>423.34289318299295</v>
      </c>
      <c r="AQ24" s="35">
        <f>'Intermediate calculations'!BA32/1000</f>
        <v>439.15502053796956</v>
      </c>
      <c r="AR24" s="35">
        <f>'Intermediate calculations'!BB32/1000</f>
        <v>455.67830431340178</v>
      </c>
      <c r="AS24" s="35">
        <f>'Intermediate calculations'!BC32/1000</f>
        <v>473.0492921158492</v>
      </c>
      <c r="AT24" s="35">
        <f>'Intermediate calculations'!BD32/1000</f>
        <v>491.4598243278981</v>
      </c>
      <c r="AU24" s="35">
        <f>'Intermediate calculations'!BE32/1000</f>
        <v>510.85124971408641</v>
      </c>
      <c r="AV24" s="35">
        <f>'Intermediate calculations'!BF32/1000</f>
        <v>531.62245774835537</v>
      </c>
      <c r="AW24" s="35">
        <f>'Intermediate calculations'!BG32/1000</f>
        <v>553.64192807622317</v>
      </c>
      <c r="AX24" s="35">
        <f>'Intermediate calculations'!BH32/1000</f>
        <v>576.68769605522721</v>
      </c>
      <c r="AY24" s="35">
        <f>'Intermediate calculations'!BI32/1000</f>
        <v>599.78142966024984</v>
      </c>
      <c r="AZ24" s="35">
        <f>'Intermediate calculations'!BJ32/1000</f>
        <v>623.99954462717574</v>
      </c>
      <c r="BA24" s="35">
        <f>'Intermediate calculations'!BK32/1000</f>
        <v>649.60452918797239</v>
      </c>
    </row>
    <row r="25" spans="1:53" x14ac:dyDescent="0.25">
      <c r="A25" s="32"/>
      <c r="B25" s="32" t="s">
        <v>681</v>
      </c>
      <c r="C25" s="35">
        <f>'Intermediate calculations'!M29/1000</f>
        <v>131</v>
      </c>
      <c r="D25" s="35">
        <f>'Intermediate calculations'!N29/1000</f>
        <v>115</v>
      </c>
      <c r="E25" s="35">
        <f>'Intermediate calculations'!O29/1000</f>
        <v>123</v>
      </c>
      <c r="F25" s="35">
        <f>'Intermediate calculations'!P29/1000</f>
        <v>146</v>
      </c>
      <c r="G25" s="35">
        <f>'Intermediate calculations'!Q29/1000</f>
        <v>174</v>
      </c>
      <c r="H25" s="35">
        <f>'Intermediate calculations'!R29/1000</f>
        <v>182</v>
      </c>
      <c r="I25" s="35">
        <f>'Intermediate calculations'!S29/1000</f>
        <v>193</v>
      </c>
      <c r="J25" s="35">
        <f>'Intermediate calculations'!T29/1000</f>
        <v>206</v>
      </c>
      <c r="K25" s="35">
        <f>'Intermediate calculations'!U29/1000</f>
        <v>198</v>
      </c>
      <c r="L25" s="35">
        <f>'Intermediate calculations'!V29/1000</f>
        <v>199</v>
      </c>
      <c r="M25" s="35">
        <f>'Intermediate calculations'!W29/1000</f>
        <v>215</v>
      </c>
      <c r="N25" s="35">
        <f>'Intermediate calculations'!X29/1000</f>
        <v>231</v>
      </c>
      <c r="O25" s="35">
        <f>'Intermediate calculations'!Y29/1000</f>
        <v>232.86503365763303</v>
      </c>
      <c r="P25" s="35">
        <f>'Intermediate calculations'!Z29/1000</f>
        <v>240.01966916020311</v>
      </c>
      <c r="Q25" s="35">
        <f>'Intermediate calculations'!AA29/1000</f>
        <v>245.33438093254196</v>
      </c>
      <c r="R25" s="35">
        <f>'Intermediate calculations'!AB29/1000</f>
        <v>249.22324247618758</v>
      </c>
      <c r="S25" s="35">
        <f>'Intermediate calculations'!AC29/1000</f>
        <v>251.56966328457295</v>
      </c>
      <c r="T25" s="35">
        <f>'Intermediate calculations'!AD29/1000</f>
        <v>255.82989511995237</v>
      </c>
      <c r="U25" s="35">
        <f>'Intermediate calculations'!AE29/1000</f>
        <v>259.67961861546951</v>
      </c>
      <c r="V25" s="35">
        <f>'Intermediate calculations'!AF29/1000</f>
        <v>263.37640024085056</v>
      </c>
      <c r="W25" s="35">
        <f>'Intermediate calculations'!AG29/1000</f>
        <v>235.47246897317791</v>
      </c>
      <c r="X25" s="35">
        <f>'Intermediate calculations'!AH29/1000</f>
        <v>243.43584986977606</v>
      </c>
      <c r="Y25" s="35">
        <f>'Intermediate calculations'!AI29/1000</f>
        <v>251.05604148926781</v>
      </c>
      <c r="Z25" s="35">
        <f>'Intermediate calculations'!AJ29/1000</f>
        <v>258.8924728526344</v>
      </c>
      <c r="AA25" s="35">
        <f>'Intermediate calculations'!AK29/1000</f>
        <v>267.36327741223403</v>
      </c>
      <c r="AB25" s="35">
        <f>'Intermediate calculations'!AL29/1000</f>
        <v>276.77725287105324</v>
      </c>
      <c r="AC25" s="35">
        <f>'Intermediate calculations'!AM29/1000</f>
        <v>286.70076420716731</v>
      </c>
      <c r="AD25" s="35">
        <f>'Intermediate calculations'!AN29/1000</f>
        <v>297.30559041562987</v>
      </c>
      <c r="AE25" s="35">
        <f>'Intermediate calculations'!AO29/1000</f>
        <v>308.67201054949112</v>
      </c>
      <c r="AF25" s="35">
        <f>'Intermediate calculations'!AP29/1000</f>
        <v>321.45771009945082</v>
      </c>
      <c r="AG25" s="35">
        <f>'Intermediate calculations'!AQ29/1000</f>
        <v>334.25063095494124</v>
      </c>
      <c r="AH25" s="35">
        <f>'Intermediate calculations'!AR29/1000</f>
        <v>349.24598649128518</v>
      </c>
      <c r="AI25" s="35">
        <f>'Intermediate calculations'!AS29/1000</f>
        <v>364.8488709123456</v>
      </c>
      <c r="AJ25" s="35">
        <f>'Intermediate calculations'!AT29/1000</f>
        <v>381.00168167801752</v>
      </c>
      <c r="AK25" s="35">
        <f>'Intermediate calculations'!AU29/1000</f>
        <v>397.64092861113988</v>
      </c>
      <c r="AL25" s="35">
        <f>'Intermediate calculations'!AV29/1000</f>
        <v>413.26493251895545</v>
      </c>
      <c r="AM25" s="35">
        <f>'Intermediate calculations'!AW29/1000</f>
        <v>429.7038334582403</v>
      </c>
      <c r="AN25" s="35">
        <f>'Intermediate calculations'!AX29/1000</f>
        <v>447.32007659112429</v>
      </c>
      <c r="AO25" s="35">
        <f>'Intermediate calculations'!AY29/1000</f>
        <v>465.82232894542346</v>
      </c>
      <c r="AP25" s="35">
        <f>'Intermediate calculations'!AZ29/1000</f>
        <v>484.08770096326583</v>
      </c>
      <c r="AQ25" s="35">
        <f>'Intermediate calculations'!BA29/1000</f>
        <v>502.73387786580383</v>
      </c>
      <c r="AR25" s="35">
        <f>'Intermediate calculations'!BB29/1000</f>
        <v>522.21867364128036</v>
      </c>
      <c r="AS25" s="35">
        <f>'Intermediate calculations'!BC29/1000</f>
        <v>542.70310968614433</v>
      </c>
      <c r="AT25" s="35">
        <f>'Intermediate calculations'!BD29/1000</f>
        <v>564.41341044385297</v>
      </c>
      <c r="AU25" s="35">
        <f>'Intermediate calculations'!BE29/1000</f>
        <v>587.28041246236592</v>
      </c>
      <c r="AV25" s="35">
        <f>'Intermediate calculations'!BF29/1000</f>
        <v>611.77449923459881</v>
      </c>
      <c r="AW25" s="35">
        <f>'Intermediate calculations'!BG29/1000</f>
        <v>637.74057766391184</v>
      </c>
      <c r="AX25" s="35">
        <f>'Intermediate calculations'!BH29/1000</f>
        <v>664.91689979593082</v>
      </c>
      <c r="AY25" s="35">
        <f>'Intermediate calculations'!BI29/1000</f>
        <v>692.14978456040933</v>
      </c>
      <c r="AZ25" s="35">
        <f>'Intermediate calculations'!BJ29/1000</f>
        <v>720.70857654213319</v>
      </c>
      <c r="BA25" s="35">
        <f>'Intermediate calculations'!BK29/1000</f>
        <v>750.9028104354685</v>
      </c>
    </row>
    <row r="26" spans="1:53" x14ac:dyDescent="0.25">
      <c r="A26" s="32"/>
      <c r="B26" s="32"/>
      <c r="C26" s="35"/>
      <c r="D26" s="35"/>
      <c r="E26" s="35"/>
      <c r="F26" s="35"/>
      <c r="G26" s="35"/>
      <c r="H26" s="35"/>
      <c r="I26" s="35"/>
      <c r="J26" s="35"/>
      <c r="K26" s="35"/>
      <c r="L26" s="35"/>
      <c r="M26" s="35"/>
      <c r="N26" s="35"/>
      <c r="O26" s="35"/>
      <c r="P26" s="35"/>
      <c r="Q26" s="35"/>
      <c r="R26" s="36"/>
      <c r="S26" s="36"/>
      <c r="T26" s="36"/>
      <c r="U26" s="36"/>
      <c r="V26" s="36"/>
      <c r="W26" s="36"/>
      <c r="X26" s="36"/>
      <c r="Y26" s="36"/>
      <c r="Z26" s="36"/>
      <c r="AA26" s="36"/>
    </row>
    <row r="27" spans="1:53" x14ac:dyDescent="0.25">
      <c r="A27" s="31"/>
      <c r="B27" s="32"/>
      <c r="C27" s="33">
        <v>2000</v>
      </c>
      <c r="D27" s="33">
        <v>2001</v>
      </c>
      <c r="E27" s="33">
        <v>2002</v>
      </c>
      <c r="F27" s="33">
        <v>2003</v>
      </c>
      <c r="G27" s="33">
        <v>2004</v>
      </c>
      <c r="H27" s="33">
        <v>2005</v>
      </c>
      <c r="I27" s="33">
        <v>2006</v>
      </c>
      <c r="J27" s="33">
        <v>2007</v>
      </c>
      <c r="K27" s="33">
        <v>2008</v>
      </c>
      <c r="L27" s="33">
        <v>2009</v>
      </c>
      <c r="M27" s="33">
        <v>2010</v>
      </c>
      <c r="N27" s="33">
        <v>2011</v>
      </c>
      <c r="O27" s="33">
        <v>2012</v>
      </c>
      <c r="P27" s="33">
        <v>2013</v>
      </c>
      <c r="Q27" s="33">
        <v>2014</v>
      </c>
      <c r="R27" s="34">
        <v>2015</v>
      </c>
      <c r="S27" s="34">
        <v>2016</v>
      </c>
      <c r="T27" s="34">
        <v>2017</v>
      </c>
      <c r="U27" s="34">
        <v>2018</v>
      </c>
      <c r="V27" s="34">
        <v>2019</v>
      </c>
      <c r="W27" s="34">
        <v>2020</v>
      </c>
      <c r="X27" s="34">
        <v>2021</v>
      </c>
      <c r="Y27" s="34">
        <v>2022</v>
      </c>
      <c r="Z27" s="34">
        <v>2023</v>
      </c>
      <c r="AA27" s="34">
        <v>2024</v>
      </c>
      <c r="AB27" s="34">
        <v>2025</v>
      </c>
      <c r="AC27" s="34">
        <v>2026</v>
      </c>
      <c r="AD27" s="34">
        <v>2027</v>
      </c>
      <c r="AE27" s="34">
        <v>2028</v>
      </c>
      <c r="AF27" s="34">
        <v>2029</v>
      </c>
      <c r="AG27" s="34">
        <v>2030</v>
      </c>
      <c r="AH27" s="34">
        <v>2031</v>
      </c>
      <c r="AI27" s="34">
        <v>2032</v>
      </c>
      <c r="AJ27" s="34">
        <v>2033</v>
      </c>
      <c r="AK27" s="34">
        <v>2034</v>
      </c>
      <c r="AL27" s="34">
        <v>2035</v>
      </c>
      <c r="AM27" s="34">
        <v>2036</v>
      </c>
      <c r="AN27" s="34">
        <v>2037</v>
      </c>
      <c r="AO27" s="34">
        <v>2038</v>
      </c>
      <c r="AP27" s="34">
        <v>2039</v>
      </c>
      <c r="AQ27" s="34">
        <v>2040</v>
      </c>
      <c r="AR27" s="34">
        <v>2041</v>
      </c>
      <c r="AS27" s="34">
        <v>2042</v>
      </c>
      <c r="AT27" s="34">
        <v>2043</v>
      </c>
      <c r="AU27" s="34">
        <v>2044</v>
      </c>
      <c r="AV27" s="34">
        <v>2045</v>
      </c>
      <c r="AW27" s="34">
        <v>2046</v>
      </c>
      <c r="AX27" s="34">
        <v>2047</v>
      </c>
      <c r="AY27" s="34">
        <v>2048</v>
      </c>
      <c r="AZ27" s="34">
        <v>2049</v>
      </c>
      <c r="BA27" s="34">
        <v>2050</v>
      </c>
    </row>
    <row r="28" spans="1:53" x14ac:dyDescent="0.25">
      <c r="A28" s="32"/>
      <c r="B28" s="32" t="s">
        <v>682</v>
      </c>
      <c r="C28" s="40">
        <v>2024.0540449999999</v>
      </c>
      <c r="D28" s="40">
        <v>2024.0540449999999</v>
      </c>
      <c r="E28" s="40">
        <v>2024.0540449999999</v>
      </c>
      <c r="F28" s="40">
        <v>2113.8015639999999</v>
      </c>
      <c r="G28" s="40">
        <v>2290.0087429999999</v>
      </c>
      <c r="H28" s="40">
        <v>2393.5830030000002</v>
      </c>
      <c r="I28" s="40">
        <v>2495.02</v>
      </c>
      <c r="J28" s="40">
        <v>2546.5700000000002</v>
      </c>
      <c r="K28" s="40">
        <v>2673.6727109999997</v>
      </c>
      <c r="L28" s="40">
        <v>2586.3408249999998</v>
      </c>
      <c r="M28" s="40">
        <v>2706.3017989999998</v>
      </c>
      <c r="N28" s="40">
        <v>2720.4017549999999</v>
      </c>
      <c r="O28" s="40">
        <v>2842.8103229999997</v>
      </c>
      <c r="P28" s="40">
        <v>2904.1207999999997</v>
      </c>
      <c r="Q28" s="40">
        <v>2969.867827</v>
      </c>
      <c r="R28" s="41">
        <v>3150</v>
      </c>
      <c r="S28" s="41">
        <v>3100</v>
      </c>
      <c r="T28" s="41">
        <v>3200</v>
      </c>
      <c r="U28" s="41">
        <v>3400</v>
      </c>
      <c r="V28" s="41">
        <v>3250</v>
      </c>
      <c r="W28" s="41">
        <v>3300</v>
      </c>
      <c r="X28" s="41">
        <v>3400</v>
      </c>
      <c r="Y28" s="41">
        <v>3500</v>
      </c>
      <c r="Z28" s="41">
        <f>Y28+50</f>
        <v>3550</v>
      </c>
      <c r="AA28" s="41">
        <f t="shared" ref="AA28:AE28" si="1">Z28+50</f>
        <v>3600</v>
      </c>
      <c r="AB28" s="41">
        <f t="shared" si="1"/>
        <v>3650</v>
      </c>
      <c r="AC28" s="41">
        <f t="shared" si="1"/>
        <v>3700</v>
      </c>
      <c r="AD28" s="41">
        <f t="shared" si="1"/>
        <v>3750</v>
      </c>
      <c r="AE28" s="41">
        <f t="shared" si="1"/>
        <v>3800</v>
      </c>
    </row>
    <row r="29" spans="1:53" x14ac:dyDescent="0.25">
      <c r="A29" s="32"/>
      <c r="B29" s="32" t="s">
        <v>683</v>
      </c>
      <c r="C29" s="40">
        <v>1273.2</v>
      </c>
      <c r="D29" s="40">
        <v>1273.2</v>
      </c>
      <c r="E29" s="40">
        <v>1273.2</v>
      </c>
      <c r="F29" s="40">
        <v>1259</v>
      </c>
      <c r="G29" s="40">
        <v>1347</v>
      </c>
      <c r="H29" s="40">
        <v>1396.6</v>
      </c>
      <c r="I29" s="40">
        <v>1442.9</v>
      </c>
      <c r="J29" s="40">
        <v>1402.61000533527</v>
      </c>
      <c r="K29" s="40">
        <v>1458.4151718048199</v>
      </c>
      <c r="L29" s="40">
        <v>1493.2</v>
      </c>
      <c r="M29" s="40">
        <v>1545.3558772633801</v>
      </c>
      <c r="N29" s="40">
        <v>1571</v>
      </c>
      <c r="O29" s="40">
        <v>1661.1</v>
      </c>
      <c r="P29" s="40">
        <v>1681.39</v>
      </c>
      <c r="Q29" s="40">
        <v>1722.5233396599999</v>
      </c>
      <c r="R29" s="41">
        <v>1775.8304373666449</v>
      </c>
      <c r="S29" s="41">
        <v>1820.2326820256628</v>
      </c>
      <c r="T29" s="41">
        <v>1859.0411448844859</v>
      </c>
      <c r="U29" s="41">
        <v>1893.2454556799651</v>
      </c>
      <c r="V29" s="41">
        <v>1928.6136766918191</v>
      </c>
      <c r="W29" s="41">
        <v>1965.2479914611308</v>
      </c>
      <c r="X29" s="41">
        <v>2003.0736716496317</v>
      </c>
      <c r="Y29" s="41">
        <v>2044.3832164581972</v>
      </c>
      <c r="Z29" s="41">
        <v>2085.024175882957</v>
      </c>
      <c r="AA29" s="41">
        <v>2123.3681095603265</v>
      </c>
    </row>
    <row r="30" spans="1:53" x14ac:dyDescent="0.25">
      <c r="A30" s="32"/>
      <c r="B30" s="32" t="s">
        <v>684</v>
      </c>
      <c r="C30" s="40">
        <v>866.94927349604279</v>
      </c>
      <c r="D30" s="40">
        <v>866.94927349604279</v>
      </c>
      <c r="E30" s="40">
        <v>866.94927349604279</v>
      </c>
      <c r="F30" s="40">
        <v>846.1138215167158</v>
      </c>
      <c r="G30" s="40">
        <v>935.18533488170215</v>
      </c>
      <c r="H30" s="40">
        <v>990.02288429185</v>
      </c>
      <c r="I30" s="40">
        <v>1044.5425069013627</v>
      </c>
      <c r="J30" s="40">
        <v>1150.5392931285598</v>
      </c>
      <c r="K30" s="40">
        <v>1208.3756288442755</v>
      </c>
      <c r="L30" s="40">
        <v>1092.2210617160124</v>
      </c>
      <c r="M30" s="40">
        <v>1154.6007305262117</v>
      </c>
      <c r="N30" s="40">
        <v>1140</v>
      </c>
      <c r="O30" s="40">
        <v>1171</v>
      </c>
      <c r="P30" s="40">
        <v>1200</v>
      </c>
      <c r="Q30" s="40">
        <v>1223.1384873399998</v>
      </c>
      <c r="R30" s="41">
        <v>1297.1574685139426</v>
      </c>
      <c r="S30" s="41">
        <v>1339.9486902058916</v>
      </c>
      <c r="T30" s="41">
        <v>1382.183609812364</v>
      </c>
      <c r="U30" s="41">
        <v>1416.4086784270767</v>
      </c>
      <c r="V30" s="41">
        <v>1452.170708036087</v>
      </c>
      <c r="W30" s="41">
        <v>1490.0278167036406</v>
      </c>
      <c r="X30" s="41">
        <v>1529.1035404245388</v>
      </c>
      <c r="Y30" s="41">
        <v>1572.8770953399192</v>
      </c>
      <c r="Z30" s="41">
        <v>1615.0807207181326</v>
      </c>
      <c r="AA30" s="41">
        <v>1653.5952554033502</v>
      </c>
    </row>
    <row r="31" spans="1:53" x14ac:dyDescent="0.25">
      <c r="A31" s="32"/>
      <c r="B31" s="32" t="s">
        <v>685</v>
      </c>
      <c r="C31" s="40">
        <f>'Intermediate calculations'!M15/1000</f>
        <v>2370</v>
      </c>
      <c r="D31" s="40">
        <f>'Intermediate calculations'!N15/1000</f>
        <v>2358</v>
      </c>
      <c r="E31" s="40">
        <f>'Intermediate calculations'!O15/1000</f>
        <v>2457</v>
      </c>
      <c r="F31" s="40">
        <f>'Intermediate calculations'!P15/1000</f>
        <v>2354</v>
      </c>
      <c r="G31" s="40">
        <f>'Intermediate calculations'!Q15/1000</f>
        <v>2505</v>
      </c>
      <c r="H31" s="40">
        <f>'Intermediate calculations'!R15/1000</f>
        <v>2657</v>
      </c>
      <c r="I31" s="40">
        <f>'Intermediate calculations'!S15/1000</f>
        <v>2513</v>
      </c>
      <c r="J31" s="40">
        <f>'Intermediate calculations'!T15/1000</f>
        <v>2559</v>
      </c>
      <c r="K31" s="40">
        <f>'Intermediate calculations'!U15/1000</f>
        <v>2625</v>
      </c>
      <c r="L31" s="40">
        <f>'Intermediate calculations'!V15/1000</f>
        <v>2587</v>
      </c>
      <c r="M31" s="40">
        <f>'Intermediate calculations'!W15/1000</f>
        <v>2711</v>
      </c>
      <c r="N31" s="40">
        <f>'Intermediate calculations'!X15/1000</f>
        <v>2720</v>
      </c>
      <c r="O31" s="40">
        <f>'Intermediate calculations'!Y15/1000</f>
        <v>2855.8543142151339</v>
      </c>
      <c r="P31" s="40">
        <f>'Intermediate calculations'!Z15/1000</f>
        <v>2901.3072856167119</v>
      </c>
      <c r="Q31" s="40">
        <f>'Intermediate calculations'!AA15/1000</f>
        <v>2940.6568667234778</v>
      </c>
      <c r="R31" s="40">
        <f>'Intermediate calculations'!AB15/1000</f>
        <v>2975.4630060496584</v>
      </c>
      <c r="S31" s="40">
        <f>'Intermediate calculations'!AC15/1000</f>
        <v>3005.3228138148961</v>
      </c>
      <c r="T31" s="40">
        <f>'Intermediate calculations'!AD15/1000</f>
        <v>3043.0593350741688</v>
      </c>
      <c r="U31" s="40">
        <f>'Intermediate calculations'!AE15/1000</f>
        <v>3079.5697489443673</v>
      </c>
      <c r="V31" s="40">
        <f>'Intermediate calculations'!AF15/1000</f>
        <v>3115.8740620546555</v>
      </c>
      <c r="W31" s="40">
        <f>'Intermediate calculations'!AG15/1000</f>
        <v>3035.5774104326097</v>
      </c>
      <c r="X31" s="40">
        <f>'Intermediate calculations'!AH15/1000</f>
        <v>3081.6843248483929</v>
      </c>
      <c r="Y31" s="40">
        <f>'Intermediate calculations'!AI15/1000</f>
        <v>3126.7124549168825</v>
      </c>
      <c r="Z31" s="40">
        <f>'Intermediate calculations'!AJ15/1000</f>
        <v>3172.7346744564352</v>
      </c>
      <c r="AA31" s="40">
        <f>'Intermediate calculations'!AK15/1000</f>
        <v>3221.3008916774884</v>
      </c>
      <c r="AB31" s="40">
        <f>'Intermediate calculations'!AL15/1000</f>
        <v>3273.5563454543985</v>
      </c>
      <c r="AC31" s="40">
        <f>'Intermediate calculations'!AM15/1000</f>
        <v>3325.3474590401629</v>
      </c>
      <c r="AD31" s="40">
        <f>'Intermediate calculations'!AN15/1000</f>
        <v>3379.8086795100571</v>
      </c>
      <c r="AE31" s="40">
        <f>'Intermediate calculations'!AO15/1000</f>
        <v>3437.2386116415141</v>
      </c>
      <c r="AF31" s="40">
        <f>'Intermediate calculations'!AP15/1000</f>
        <v>3500.0730850526252</v>
      </c>
      <c r="AG31" s="40">
        <f>'Intermediate calculations'!AQ15/1000</f>
        <v>3563.0870010968838</v>
      </c>
      <c r="AH31" s="40">
        <f>'Intermediate calculations'!AR15/1000</f>
        <v>3632.299456883597</v>
      </c>
      <c r="AI31" s="40">
        <f>'Intermediate calculations'!AS15/1000</f>
        <v>3703.8776119678637</v>
      </c>
      <c r="AJ31" s="40">
        <f>'Intermediate calculations'!AT15/1000</f>
        <v>3777.6092549358077</v>
      </c>
      <c r="AK31" s="40">
        <f>'Intermediate calculations'!AU15/1000</f>
        <v>3853.2603904124376</v>
      </c>
      <c r="AL31" s="40">
        <f>'Intermediate calculations'!AV15/1000</f>
        <v>3925.273723090223</v>
      </c>
      <c r="AM31" s="40">
        <f>'Intermediate calculations'!AW15/1000</f>
        <v>3998.391129663878</v>
      </c>
      <c r="AN31" s="40">
        <f>'Intermediate calculations'!AX15/1000</f>
        <v>4075.956181422896</v>
      </c>
      <c r="AO31" s="40">
        <f>'Intermediate calculations'!AY15/1000</f>
        <v>4156.8911970652789</v>
      </c>
      <c r="AP31" s="40">
        <f>'Intermediate calculations'!AZ15/1000</f>
        <v>4237.0405790417462</v>
      </c>
      <c r="AQ31" s="40">
        <f>'Intermediate calculations'!BA15/1000</f>
        <v>4318.6912929411828</v>
      </c>
      <c r="AR31" s="40">
        <f>'Intermediate calculations'!BB15/1000</f>
        <v>4401.6086642369164</v>
      </c>
      <c r="AS31" s="40">
        <f>'Intermediate calculations'!BC15/1000</f>
        <v>4488.2931567590613</v>
      </c>
      <c r="AT31" s="40">
        <f>'Intermediate calculations'!BD15/1000</f>
        <v>4579.5825334652282</v>
      </c>
      <c r="AU31" s="40">
        <f>'Intermediate calculations'!BE15/1000</f>
        <v>4675.2212120256954</v>
      </c>
      <c r="AV31" s="40">
        <f>'Intermediate calculations'!BF15/1000</f>
        <v>4776.9506901639188</v>
      </c>
      <c r="AW31" s="40">
        <f>'Intermediate calculations'!BG15/1000</f>
        <v>4882.2141696458284</v>
      </c>
      <c r="AX31" s="40">
        <f>'Intermediate calculations'!BH15/1000</f>
        <v>4992.0039646959731</v>
      </c>
      <c r="AY31" s="40">
        <f>'Intermediate calculations'!BI15/1000</f>
        <v>5102.0500821612395</v>
      </c>
      <c r="AZ31" s="40">
        <f>'Intermediate calculations'!BJ15/1000</f>
        <v>5217.0511100278663</v>
      </c>
      <c r="BA31" s="40">
        <f>'Intermediate calculations'!BK15/1000</f>
        <v>5338.1530000445136</v>
      </c>
    </row>
    <row r="32" spans="1:53" x14ac:dyDescent="0.25">
      <c r="A32" s="32"/>
      <c r="B32" s="32" t="s">
        <v>686</v>
      </c>
      <c r="C32" s="40">
        <f>'Intermediate calculations'!M12/1000</f>
        <v>1284</v>
      </c>
      <c r="D32" s="40">
        <f>'Intermediate calculations'!N12/1000</f>
        <v>1575</v>
      </c>
      <c r="E32" s="40">
        <f>'Intermediate calculations'!O12/1000</f>
        <v>1611</v>
      </c>
      <c r="F32" s="40">
        <f>'Intermediate calculations'!P12/1000</f>
        <v>1528</v>
      </c>
      <c r="G32" s="40">
        <f>'Intermediate calculations'!Q12/1000</f>
        <v>1626</v>
      </c>
      <c r="H32" s="40">
        <f>'Intermediate calculations'!R12/1000</f>
        <v>1835</v>
      </c>
      <c r="I32" s="40">
        <f>'Intermediate calculations'!S12/1000</f>
        <v>1697</v>
      </c>
      <c r="J32" s="40">
        <f>'Intermediate calculations'!T12/1000</f>
        <v>1799</v>
      </c>
      <c r="K32" s="40">
        <f>'Intermediate calculations'!U12/1000</f>
        <v>1819</v>
      </c>
      <c r="L32" s="40">
        <f>'Intermediate calculations'!V12/1000</f>
        <v>1788</v>
      </c>
      <c r="M32" s="40">
        <f>'Intermediate calculations'!W12/1000</f>
        <v>1868</v>
      </c>
      <c r="N32" s="40">
        <f>'Intermediate calculations'!X12/1000</f>
        <v>1852</v>
      </c>
      <c r="O32" s="40">
        <f>'Intermediate calculations'!Y12/1000</f>
        <v>1952.4447982010768</v>
      </c>
      <c r="P32" s="40">
        <f>'Intermediate calculations'!Z12/1000</f>
        <v>1993.9865150921516</v>
      </c>
      <c r="Q32" s="40">
        <f>'Intermediate calculations'!AA12/1000</f>
        <v>2029.9500419577007</v>
      </c>
      <c r="R32" s="40">
        <f>'Intermediate calculations'!AB12/1000</f>
        <v>2061.7610928389486</v>
      </c>
      <c r="S32" s="40">
        <f>'Intermediate calculations'!AC12/1000</f>
        <v>2089.0514468544479</v>
      </c>
      <c r="T32" s="40">
        <f>'Intermediate calculations'!AD12/1000</f>
        <v>2123.5407186064876</v>
      </c>
      <c r="U32" s="40">
        <f>'Intermediate calculations'!AE12/1000</f>
        <v>2156.9093902203113</v>
      </c>
      <c r="V32" s="40">
        <f>'Intermediate calculations'!AF12/1000</f>
        <v>2190.089696163966</v>
      </c>
      <c r="W32" s="40">
        <f>'Intermediate calculations'!AG12/1000</f>
        <v>2116.7026179130489</v>
      </c>
      <c r="X32" s="40">
        <f>'Intermediate calculations'!AH12/1000</f>
        <v>2158.8420056432642</v>
      </c>
      <c r="Y32" s="40">
        <f>'Intermediate calculations'!AI12/1000</f>
        <v>2199.9954390439852</v>
      </c>
      <c r="Z32" s="40">
        <f>'Intermediate calculations'!AJ12/1000</f>
        <v>2242.0574199411158</v>
      </c>
      <c r="AA32" s="40">
        <f>'Intermediate calculations'!AK12/1000</f>
        <v>2286.4444860460485</v>
      </c>
      <c r="AB32" s="40">
        <f>'Intermediate calculations'!AL12/1000</f>
        <v>2334.2033277648034</v>
      </c>
      <c r="AC32" s="40">
        <f>'Intermediate calculations'!AM12/1000</f>
        <v>2381.5377860347562</v>
      </c>
      <c r="AD32" s="40">
        <f>'Intermediate calculations'!AN12/1000</f>
        <v>2431.3125869452242</v>
      </c>
      <c r="AE32" s="40">
        <f>'Intermediate calculations'!AO12/1000</f>
        <v>2483.8006401596244</v>
      </c>
      <c r="AF32" s="40">
        <f>'Intermediate calculations'!AP12/1000</f>
        <v>2541.2281707468451</v>
      </c>
      <c r="AG32" s="40">
        <f>'Intermediate calculations'!AQ12/1000</f>
        <v>2598.8197028247164</v>
      </c>
      <c r="AH32" s="40">
        <f>'Intermediate calculations'!AR12/1000</f>
        <v>2662.0763867106875</v>
      </c>
      <c r="AI32" s="40">
        <f>'Intermediate calculations'!AS12/1000</f>
        <v>2727.4952000997023</v>
      </c>
      <c r="AJ32" s="40">
        <f>'Intermediate calculations'!AT12/1000</f>
        <v>2794.8821924929398</v>
      </c>
      <c r="AK32" s="40">
        <f>'Intermediate calculations'!AU12/1000</f>
        <v>2864.0235039529298</v>
      </c>
      <c r="AL32" s="40">
        <f>'Intermediate calculations'!AV12/1000</f>
        <v>2929.840047651534</v>
      </c>
      <c r="AM32" s="40">
        <f>'Intermediate calculations'!AW12/1000</f>
        <v>2996.6656590479097</v>
      </c>
      <c r="AN32" s="40">
        <f>'Intermediate calculations'!AX12/1000</f>
        <v>3067.556193185857</v>
      </c>
      <c r="AO32" s="40">
        <f>'Intermediate calculations'!AY12/1000</f>
        <v>3141.5267038634906</v>
      </c>
      <c r="AP32" s="40">
        <f>'Intermediate calculations'!AZ12/1000</f>
        <v>3214.7791851071142</v>
      </c>
      <c r="AQ32" s="40">
        <f>'Intermediate calculations'!BA12/1000</f>
        <v>3289.4038077923278</v>
      </c>
      <c r="AR32" s="40">
        <f>'Intermediate calculations'!BB12/1000</f>
        <v>3365.1860912713773</v>
      </c>
      <c r="AS32" s="40">
        <f>'Intermediate calculations'!BC12/1000</f>
        <v>3444.4113330138002</v>
      </c>
      <c r="AT32" s="40">
        <f>'Intermediate calculations'!BD12/1000</f>
        <v>3527.8452059895644</v>
      </c>
      <c r="AU32" s="40">
        <f>'Intermediate calculations'!BE12/1000</f>
        <v>3615.2541208764255</v>
      </c>
      <c r="AV32" s="40">
        <f>'Intermediate calculations'!BF12/1000</f>
        <v>3708.2297185102511</v>
      </c>
      <c r="AW32" s="40">
        <f>'Intermediate calculations'!BG12/1000</f>
        <v>3804.4352146256306</v>
      </c>
      <c r="AX32" s="40">
        <f>'Intermediate calculations'!BH12/1000</f>
        <v>3904.7775342334517</v>
      </c>
      <c r="AY32" s="40">
        <f>'Intermediate calculations'!BI12/1000</f>
        <v>4005.3541195641387</v>
      </c>
      <c r="AZ32" s="40">
        <f>'Intermediate calculations'!BJ12/1000</f>
        <v>4110.4592423868071</v>
      </c>
      <c r="BA32" s="40">
        <f>'Intermediate calculations'!BK12/1000</f>
        <v>4221.1402446385318</v>
      </c>
    </row>
    <row r="33" spans="1:53" x14ac:dyDescent="0.25">
      <c r="A33" s="32"/>
      <c r="B33" s="32"/>
      <c r="C33" s="40"/>
      <c r="D33" s="40"/>
      <c r="E33" s="40"/>
      <c r="F33" s="40"/>
      <c r="G33" s="40"/>
      <c r="H33" s="40"/>
      <c r="I33" s="40"/>
      <c r="J33" s="40"/>
      <c r="K33" s="40"/>
      <c r="L33" s="40"/>
      <c r="M33" s="40"/>
      <c r="N33" s="40"/>
      <c r="O33" s="40"/>
      <c r="P33" s="40"/>
      <c r="Q33" s="40"/>
      <c r="R33" s="41"/>
      <c r="S33" s="41"/>
      <c r="T33" s="41"/>
      <c r="U33" s="41"/>
      <c r="V33" s="41"/>
      <c r="W33" s="41"/>
      <c r="X33" s="41"/>
      <c r="Y33" s="41"/>
      <c r="Z33" s="41"/>
      <c r="AA33" s="41"/>
    </row>
    <row r="34" spans="1:53" x14ac:dyDescent="0.25">
      <c r="A34" s="31"/>
      <c r="B34" s="32"/>
      <c r="C34" s="33">
        <v>2000</v>
      </c>
      <c r="D34" s="33">
        <v>2001</v>
      </c>
      <c r="E34" s="33">
        <v>2002</v>
      </c>
      <c r="F34" s="33">
        <v>2003</v>
      </c>
      <c r="G34" s="33">
        <v>2004</v>
      </c>
      <c r="H34" s="33">
        <v>2005</v>
      </c>
      <c r="I34" s="33">
        <v>2006</v>
      </c>
      <c r="J34" s="33">
        <v>2007</v>
      </c>
      <c r="K34" s="33">
        <v>2008</v>
      </c>
      <c r="L34" s="33">
        <v>2009</v>
      </c>
      <c r="M34" s="33">
        <v>2010</v>
      </c>
      <c r="N34" s="33">
        <v>2011</v>
      </c>
      <c r="O34" s="33">
        <v>2012</v>
      </c>
      <c r="P34" s="33">
        <v>2013</v>
      </c>
      <c r="Q34" s="33">
        <v>2014</v>
      </c>
      <c r="R34" s="34">
        <v>2015</v>
      </c>
      <c r="S34" s="34">
        <v>2016</v>
      </c>
      <c r="T34" s="34">
        <v>2017</v>
      </c>
      <c r="U34" s="34">
        <v>2018</v>
      </c>
      <c r="V34" s="34">
        <v>2019</v>
      </c>
      <c r="W34" s="34">
        <v>2020</v>
      </c>
      <c r="X34" s="34">
        <v>2021</v>
      </c>
      <c r="Y34" s="34">
        <v>2022</v>
      </c>
      <c r="Z34" s="34">
        <v>2023</v>
      </c>
      <c r="AA34" s="34">
        <v>2024</v>
      </c>
      <c r="AB34" s="34">
        <v>2025</v>
      </c>
      <c r="AC34" s="34">
        <v>2026</v>
      </c>
      <c r="AD34" s="34">
        <v>2027</v>
      </c>
      <c r="AE34" s="34">
        <v>2028</v>
      </c>
      <c r="AF34" s="34">
        <v>2029</v>
      </c>
      <c r="AG34" s="34">
        <v>2030</v>
      </c>
      <c r="AH34" s="34">
        <v>2031</v>
      </c>
      <c r="AI34" s="34">
        <v>2032</v>
      </c>
      <c r="AJ34" s="34">
        <v>2033</v>
      </c>
      <c r="AK34" s="34">
        <v>2034</v>
      </c>
      <c r="AL34" s="34">
        <v>2035</v>
      </c>
      <c r="AM34" s="34">
        <v>2036</v>
      </c>
      <c r="AN34" s="34">
        <v>2037</v>
      </c>
      <c r="AO34" s="34">
        <v>2038</v>
      </c>
      <c r="AP34" s="34">
        <v>2039</v>
      </c>
      <c r="AQ34" s="34">
        <v>2040</v>
      </c>
      <c r="AR34" s="34">
        <v>2041</v>
      </c>
      <c r="AS34" s="34">
        <v>2042</v>
      </c>
      <c r="AT34" s="34">
        <v>2043</v>
      </c>
      <c r="AU34" s="34">
        <v>2044</v>
      </c>
      <c r="AV34" s="34">
        <v>2045</v>
      </c>
      <c r="AW34" s="34">
        <v>2046</v>
      </c>
      <c r="AX34" s="34">
        <v>2047</v>
      </c>
      <c r="AY34" s="34">
        <v>2048</v>
      </c>
      <c r="AZ34" s="34">
        <v>2049</v>
      </c>
      <c r="BA34" s="34">
        <v>2050</v>
      </c>
    </row>
    <row r="35" spans="1:53" x14ac:dyDescent="0.25">
      <c r="A35" s="37"/>
      <c r="B35" s="37" t="s">
        <v>687</v>
      </c>
      <c r="C35" s="38">
        <v>114.36</v>
      </c>
      <c r="D35" s="38">
        <v>114.36</v>
      </c>
      <c r="E35" s="38">
        <v>114.36</v>
      </c>
      <c r="F35" s="38">
        <v>94.948778000000004</v>
      </c>
      <c r="G35" s="38">
        <v>97.52034399999998</v>
      </c>
      <c r="H35" s="38">
        <v>102.166586</v>
      </c>
      <c r="I35" s="38">
        <v>115.84967</v>
      </c>
      <c r="J35" s="38">
        <v>110.621706</v>
      </c>
      <c r="K35" s="38">
        <v>115.99826544161907</v>
      </c>
      <c r="L35" s="38">
        <v>120.63819605928383</v>
      </c>
      <c r="M35" s="38">
        <v>125.46372390165519</v>
      </c>
      <c r="N35" s="38">
        <v>91.588518448208291</v>
      </c>
      <c r="O35" s="38">
        <v>98.915599924064963</v>
      </c>
      <c r="P35" s="38">
        <v>115.10460982337811</v>
      </c>
      <c r="Q35" s="38">
        <v>118.08101882391567</v>
      </c>
      <c r="R35" s="39">
        <v>120</v>
      </c>
      <c r="S35" s="39">
        <v>125</v>
      </c>
      <c r="T35" s="39">
        <v>135</v>
      </c>
      <c r="U35" s="39">
        <v>115</v>
      </c>
      <c r="V35" s="39">
        <v>108</v>
      </c>
      <c r="W35" s="39">
        <v>113</v>
      </c>
      <c r="X35" s="39">
        <v>116</v>
      </c>
      <c r="Y35" s="39">
        <v>119</v>
      </c>
      <c r="Z35" s="39">
        <v>121</v>
      </c>
      <c r="AA35" s="39">
        <v>124</v>
      </c>
      <c r="AB35" s="39">
        <v>127</v>
      </c>
      <c r="AC35" s="39">
        <v>129</v>
      </c>
      <c r="AD35" s="39">
        <v>131</v>
      </c>
      <c r="AE35" s="39">
        <v>133</v>
      </c>
    </row>
    <row r="36" spans="1:53" x14ac:dyDescent="0.25">
      <c r="A36" s="37"/>
      <c r="B36" s="37" t="s">
        <v>688</v>
      </c>
      <c r="C36" s="38">
        <v>147.50101899999999</v>
      </c>
      <c r="D36" s="38">
        <v>147.50101899999999</v>
      </c>
      <c r="E36" s="38">
        <v>147.50101899999999</v>
      </c>
      <c r="F36" s="38">
        <v>156</v>
      </c>
      <c r="G36" s="38">
        <v>163</v>
      </c>
      <c r="H36" s="38">
        <v>150</v>
      </c>
      <c r="I36" s="38">
        <v>177</v>
      </c>
      <c r="J36" s="38">
        <v>165.63170600000001</v>
      </c>
      <c r="K36" s="38">
        <v>153.94826544161907</v>
      </c>
      <c r="L36" s="38">
        <v>149.24819605928383</v>
      </c>
      <c r="M36" s="38">
        <v>149.24372390165519</v>
      </c>
      <c r="N36" s="38">
        <v>116.67851844820828</v>
      </c>
      <c r="O36" s="38">
        <v>121.76574443406494</v>
      </c>
      <c r="P36" s="38">
        <v>134.49960982337811</v>
      </c>
      <c r="Q36" s="38">
        <v>134.87990262391565</v>
      </c>
      <c r="R36" s="39">
        <v>138.20716425710361</v>
      </c>
      <c r="S36" s="39">
        <v>140.54831762918488</v>
      </c>
      <c r="T36" s="39">
        <v>142.52537151325211</v>
      </c>
      <c r="U36" s="39">
        <v>143.33699921198837</v>
      </c>
      <c r="V36" s="39">
        <v>145.00011855243841</v>
      </c>
      <c r="W36" s="39">
        <v>146.72189410939382</v>
      </c>
      <c r="X36" s="39">
        <v>148.14351293952492</v>
      </c>
      <c r="Y36" s="39">
        <v>149.6242507758528</v>
      </c>
      <c r="Z36" s="39">
        <v>151.3117511608838</v>
      </c>
      <c r="AA36" s="39">
        <v>153.36736842443659</v>
      </c>
    </row>
    <row r="37" spans="1:53" x14ac:dyDescent="0.25">
      <c r="B37" s="37" t="s">
        <v>689</v>
      </c>
      <c r="C37">
        <f>'Intermediate calculations'!M27/1000</f>
        <v>98.52</v>
      </c>
      <c r="D37">
        <f>'Intermediate calculations'!N27/1000</f>
        <v>95.86</v>
      </c>
      <c r="E37">
        <f>'Intermediate calculations'!O27/1000</f>
        <v>96.34</v>
      </c>
      <c r="F37">
        <f>'Intermediate calculations'!P27/1000</f>
        <v>105.64</v>
      </c>
      <c r="G37">
        <f>'Intermediate calculations'!Q27/1000</f>
        <v>111.12</v>
      </c>
      <c r="H37">
        <f>'Intermediate calculations'!R27/1000</f>
        <v>124.52</v>
      </c>
      <c r="I37">
        <f>'Intermediate calculations'!S27/1000</f>
        <v>124.74</v>
      </c>
      <c r="J37">
        <f>'Intermediate calculations'!T27/1000</f>
        <v>148.52000000000001</v>
      </c>
      <c r="K37">
        <f>'Intermediate calculations'!U27/1000</f>
        <v>149.26</v>
      </c>
      <c r="L37">
        <f>'Intermediate calculations'!V27/1000</f>
        <v>151.30000000000001</v>
      </c>
      <c r="M37">
        <f>'Intermediate calculations'!W27/1000</f>
        <v>153.46</v>
      </c>
      <c r="N37">
        <f>'Intermediate calculations'!X27/1000</f>
        <v>139.5</v>
      </c>
      <c r="O37">
        <f>'Intermediate calculations'!Y27/1000</f>
        <v>152.70022335748163</v>
      </c>
      <c r="P37">
        <f>'Intermediate calculations'!Z27/1000</f>
        <v>154.14044598775916</v>
      </c>
      <c r="Q37">
        <f>'Intermediate calculations'!AA27/1000</f>
        <v>155.62923757552255</v>
      </c>
      <c r="R37">
        <f>'Intermediate calculations'!AB27/1000</f>
        <v>157.16964755323414</v>
      </c>
      <c r="S37">
        <f>'Intermediate calculations'!AC27/1000</f>
        <v>158.76354330390075</v>
      </c>
      <c r="T37">
        <f>'Intermediate calculations'!AD27/1000</f>
        <v>160.42154445822428</v>
      </c>
      <c r="U37">
        <f>'Intermediate calculations'!AE27/1000</f>
        <v>162.1005548532753</v>
      </c>
      <c r="V37">
        <f>'Intermediate calculations'!AF27/1000</f>
        <v>163.80619688435297</v>
      </c>
      <c r="W37">
        <f>'Intermediate calculations'!AG27/1000</f>
        <v>165.46281305244776</v>
      </c>
      <c r="X37">
        <f>'Intermediate calculations'!AH27/1000</f>
        <v>166.72951457481281</v>
      </c>
      <c r="Y37">
        <f>'Intermediate calculations'!AI27/1000</f>
        <v>168.00974883475538</v>
      </c>
      <c r="Z37">
        <f>'Intermediate calculations'!AJ27/1000</f>
        <v>169.3050348622956</v>
      </c>
      <c r="AA37">
        <f>'Intermediate calculations'!AK27/1000</f>
        <v>170.61655169882528</v>
      </c>
      <c r="AB37">
        <f>'Intermediate calculations'!AL27/1000</f>
        <v>171.94521575219741</v>
      </c>
      <c r="AC37">
        <f>'Intermediate calculations'!AM27/1000</f>
        <v>173.09882539481706</v>
      </c>
      <c r="AD37">
        <f>'Intermediate calculations'!AN27/1000</f>
        <v>174.26520614005895</v>
      </c>
      <c r="AE37">
        <f>'Intermediate calculations'!AO27/1000</f>
        <v>175.44466175648714</v>
      </c>
      <c r="AF37">
        <f>'Intermediate calculations'!AP27/1000</f>
        <v>176.6388942411848</v>
      </c>
      <c r="AG37">
        <f>'Intermediate calculations'!AQ27/1000</f>
        <v>177.84459852231734</v>
      </c>
      <c r="AH37">
        <f>'Intermediate calculations'!AR27/1000</f>
        <v>178.90910596549611</v>
      </c>
      <c r="AI37">
        <f>'Intermediate calculations'!AS27/1000</f>
        <v>179.98385858212782</v>
      </c>
      <c r="AJ37">
        <f>'Intermediate calculations'!AT27/1000</f>
        <v>181.06879188076047</v>
      </c>
      <c r="AK37">
        <f>'Intermediate calculations'!AU27/1000</f>
        <v>182.16382776275498</v>
      </c>
      <c r="AL37">
        <f>'Intermediate calculations'!AV27/1000</f>
        <v>183.26540878857782</v>
      </c>
      <c r="AM37">
        <f>'Intermediate calculations'!AW27/1000</f>
        <v>184.22553790705493</v>
      </c>
      <c r="AN37">
        <f>'Intermediate calculations'!AX27/1000</f>
        <v>185.19525388039364</v>
      </c>
      <c r="AO37">
        <f>'Intermediate calculations'!AY27/1000</f>
        <v>186.173901100547</v>
      </c>
      <c r="AP37">
        <f>'Intermediate calculations'!AZ27/1000</f>
        <v>187.15881220343309</v>
      </c>
      <c r="AQ37">
        <f>'Intermediate calculations'!BA27/1000</f>
        <v>188.15153185697346</v>
      </c>
      <c r="AR37">
        <f>'Intermediate calculations'!BB27/1000</f>
        <v>189.00846585797058</v>
      </c>
      <c r="AS37">
        <f>'Intermediate calculations'!BC27/1000</f>
        <v>189.87284821598118</v>
      </c>
      <c r="AT37">
        <f>'Intermediate calculations'!BD27/1000</f>
        <v>190.74525756425737</v>
      </c>
      <c r="AU37">
        <f>'Intermediate calculations'!BE27/1000</f>
        <v>191.62555798007745</v>
      </c>
      <c r="AV37">
        <f>'Intermediate calculations'!BF27/1000</f>
        <v>192.51491927750263</v>
      </c>
      <c r="AW37">
        <f>'Intermediate calculations'!BG27/1000</f>
        <v>193.26425057982192</v>
      </c>
      <c r="AX37">
        <f>'Intermediate calculations'!BH27/1000</f>
        <v>194.02001478714709</v>
      </c>
      <c r="AY37">
        <f>'Intermediate calculations'!BI27/1000</f>
        <v>194.77943822758519</v>
      </c>
      <c r="AZ37">
        <f>'Intermediate calculations'!BJ27/1000</f>
        <v>195.54561031492713</v>
      </c>
      <c r="BA37">
        <f>'Intermediate calculations'!BK27/1000</f>
        <v>196.31929810308671</v>
      </c>
    </row>
    <row r="38" spans="1:53" x14ac:dyDescent="0.25">
      <c r="B38" s="37" t="s">
        <v>690</v>
      </c>
      <c r="C38">
        <f>'Intermediate calculations'!M19/1000</f>
        <v>153.22</v>
      </c>
      <c r="D38">
        <f>'Intermediate calculations'!N19/1000</f>
        <v>149.46</v>
      </c>
      <c r="E38">
        <f>'Intermediate calculations'!O19/1000</f>
        <v>137.24</v>
      </c>
      <c r="F38">
        <f>'Intermediate calculations'!P19/1000</f>
        <v>137.24</v>
      </c>
      <c r="G38">
        <f>'Intermediate calculations'!Q19/1000</f>
        <v>143.82</v>
      </c>
      <c r="H38">
        <f>'Intermediate calculations'!R19/1000</f>
        <v>157.91999999999999</v>
      </c>
      <c r="I38">
        <f>'Intermediate calculations'!S19/1000</f>
        <v>165.44</v>
      </c>
      <c r="J38">
        <f>'Intermediate calculations'!T19/1000</f>
        <v>190.82</v>
      </c>
      <c r="K38">
        <f>'Intermediate calculations'!U19/1000</f>
        <v>177.66</v>
      </c>
      <c r="L38">
        <f>'Intermediate calculations'!V19/1000</f>
        <v>169.2</v>
      </c>
      <c r="M38">
        <f>'Intermediate calculations'!W19/1000</f>
        <v>163.56</v>
      </c>
      <c r="N38">
        <f>'Intermediate calculations'!X19/1000</f>
        <v>145.69999999999999</v>
      </c>
      <c r="O38">
        <f>'Intermediate calculations'!Y19/1000</f>
        <v>168.44201985209529</v>
      </c>
      <c r="P38">
        <f>'Intermediate calculations'!Z19/1000</f>
        <v>170.96520167160594</v>
      </c>
      <c r="Q38">
        <f>'Intermediate calculations'!AA19/1000</f>
        <v>173.57347332927398</v>
      </c>
      <c r="R38">
        <f>'Intermediate calculations'!AB19/1000</f>
        <v>176.27217724396368</v>
      </c>
      <c r="S38">
        <f>'Intermediate calculations'!AC19/1000</f>
        <v>179.06458495630622</v>
      </c>
      <c r="T38">
        <f>'Intermediate calculations'!AD19/1000</f>
        <v>181.9693014087276</v>
      </c>
      <c r="U38">
        <f>'Intermediate calculations'!AE19/1000</f>
        <v>184.91082476386737</v>
      </c>
      <c r="V38">
        <f>'Intermediate calculations'!AF19/1000</f>
        <v>187.89900511385883</v>
      </c>
      <c r="W38">
        <f>'Intermediate calculations'!AG19/1000</f>
        <v>190.8012951552524</v>
      </c>
      <c r="X38">
        <f>'Intermediate calculations'!AH19/1000</f>
        <v>193.0204786236875</v>
      </c>
      <c r="Y38">
        <f>'Intermediate calculations'!AI19/1000</f>
        <v>195.26337061933634</v>
      </c>
      <c r="Z38">
        <f>'Intermediate calculations'!AJ19/1000</f>
        <v>197.53263238973764</v>
      </c>
      <c r="AA38">
        <f>'Intermediate calculations'!AK19/1000</f>
        <v>199.83032954318122</v>
      </c>
      <c r="AB38">
        <f>'Intermediate calculations'!AL19/1000</f>
        <v>202.15806757008608</v>
      </c>
      <c r="AC38">
        <f>'Intermediate calculations'!AM19/1000</f>
        <v>204.17912099327049</v>
      </c>
      <c r="AD38">
        <f>'Intermediate calculations'!AN19/1000</f>
        <v>206.22254860588518</v>
      </c>
      <c r="AE38">
        <f>'Intermediate calculations'!AO19/1000</f>
        <v>208.28888259184524</v>
      </c>
      <c r="AF38">
        <f>'Intermediate calculations'!AP19/1000</f>
        <v>210.38110474577545</v>
      </c>
      <c r="AG38">
        <f>'Intermediate calculations'!AQ19/1000</f>
        <v>212.49342478429159</v>
      </c>
      <c r="AH38">
        <f>'Intermediate calculations'!AR19/1000</f>
        <v>214.35837661249946</v>
      </c>
      <c r="AI38">
        <f>'Intermediate calculations'!AS19/1000</f>
        <v>216.2412773569726</v>
      </c>
      <c r="AJ38">
        <f>'Intermediate calculations'!AT19/1000</f>
        <v>218.14201403263789</v>
      </c>
      <c r="AK38">
        <f>'Intermediate calculations'!AU19/1000</f>
        <v>220.06044981546398</v>
      </c>
      <c r="AL38">
        <f>'Intermediate calculations'!AV19/1000</f>
        <v>221.99035228931865</v>
      </c>
      <c r="AM38">
        <f>'Intermediate calculations'!AW19/1000</f>
        <v>223.67243968691596</v>
      </c>
      <c r="AN38">
        <f>'Intermediate calculations'!AX19/1000</f>
        <v>225.37132266693536</v>
      </c>
      <c r="AO38">
        <f>'Intermediate calculations'!AY19/1000</f>
        <v>227.08585264424153</v>
      </c>
      <c r="AP38">
        <f>'Intermediate calculations'!AZ19/1000</f>
        <v>228.81135656036699</v>
      </c>
      <c r="AQ38">
        <f>'Intermediate calculations'!BA19/1000</f>
        <v>230.5505405788831</v>
      </c>
      <c r="AR38">
        <f>'Intermediate calculations'!BB19/1000</f>
        <v>232.05183645243832</v>
      </c>
      <c r="AS38">
        <f>'Intermediate calculations'!BC19/1000</f>
        <v>233.56618139119118</v>
      </c>
      <c r="AT38">
        <f>'Intermediate calculations'!BD19/1000</f>
        <v>235.09458912515197</v>
      </c>
      <c r="AU38">
        <f>'Intermediate calculations'!BE19/1000</f>
        <v>236.63682152603914</v>
      </c>
      <c r="AV38">
        <f>'Intermediate calculations'!BF19/1000</f>
        <v>238.19492803642436</v>
      </c>
      <c r="AW38">
        <f>'Intermediate calculations'!BG19/1000</f>
        <v>239.50771057368937</v>
      </c>
      <c r="AX38">
        <f>'Intermediate calculations'!BH19/1000</f>
        <v>240.83176316644187</v>
      </c>
      <c r="AY38">
        <f>'Intermediate calculations'!BI19/1000</f>
        <v>242.16222651144184</v>
      </c>
      <c r="AZ38">
        <f>'Intermediate calculations'!BJ19/1000</f>
        <v>243.50451307239186</v>
      </c>
      <c r="BA38">
        <f>'Intermediate calculations'!BK19/1000</f>
        <v>244.85996668075902</v>
      </c>
    </row>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8"/>
  </sheetPr>
  <dimension ref="A1:AN232"/>
  <sheetViews>
    <sheetView workbookViewId="0">
      <selection activeCell="C8" sqref="C8"/>
    </sheetView>
  </sheetViews>
  <sheetFormatPr defaultRowHeight="15" x14ac:dyDescent="0.25"/>
  <cols>
    <col min="1" max="1" width="55.85546875" customWidth="1"/>
    <col min="2" max="2" width="12.85546875" customWidth="1"/>
    <col min="3" max="3" width="13.85546875" customWidth="1"/>
    <col min="4" max="6" width="12.7109375" customWidth="1"/>
    <col min="7" max="7" width="10.28515625" customWidth="1"/>
    <col min="8" max="26" width="12" bestFit="1" customWidth="1"/>
    <col min="27" max="27" width="10" bestFit="1" customWidth="1"/>
    <col min="28" max="31" width="12" bestFit="1" customWidth="1"/>
    <col min="32" max="32" width="10" bestFit="1" customWidth="1"/>
    <col min="33" max="36" width="12" bestFit="1" customWidth="1"/>
  </cols>
  <sheetData>
    <row r="1" spans="1:40" ht="18.75" x14ac:dyDescent="0.3">
      <c r="A1" s="1" t="s">
        <v>656</v>
      </c>
    </row>
    <row r="2" spans="1:40" x14ac:dyDescent="0.25">
      <c r="B2" s="85" t="s">
        <v>796</v>
      </c>
    </row>
    <row r="3" spans="1:40" s="19" customFormat="1" ht="29.25" customHeight="1" x14ac:dyDescent="0.25">
      <c r="A3" s="17"/>
      <c r="B3" s="17" t="s">
        <v>0</v>
      </c>
      <c r="C3" s="17">
        <v>2017</v>
      </c>
      <c r="D3" s="17">
        <v>2018</v>
      </c>
      <c r="E3" s="17">
        <v>2019</v>
      </c>
      <c r="F3" s="17">
        <v>2020</v>
      </c>
      <c r="G3" s="17">
        <v>2021</v>
      </c>
      <c r="H3" s="17">
        <v>2022</v>
      </c>
      <c r="I3" s="17">
        <v>2023</v>
      </c>
      <c r="J3" s="17">
        <v>2024</v>
      </c>
      <c r="K3" s="17">
        <v>2025</v>
      </c>
      <c r="L3" s="17">
        <v>2026</v>
      </c>
      <c r="M3" s="17">
        <v>2027</v>
      </c>
      <c r="N3" s="17">
        <v>2028</v>
      </c>
      <c r="O3" s="17">
        <v>2029</v>
      </c>
      <c r="P3" s="17">
        <v>2030</v>
      </c>
      <c r="Q3" s="17">
        <v>2031</v>
      </c>
      <c r="R3" s="17">
        <v>2032</v>
      </c>
      <c r="S3" s="17">
        <v>2033</v>
      </c>
      <c r="T3" s="17">
        <v>2034</v>
      </c>
      <c r="U3" s="17">
        <v>2035</v>
      </c>
      <c r="V3" s="17">
        <v>2036</v>
      </c>
      <c r="W3" s="17">
        <v>2037</v>
      </c>
      <c r="X3" s="17">
        <v>2038</v>
      </c>
      <c r="Y3" s="17">
        <v>2039</v>
      </c>
      <c r="Z3" s="17">
        <v>2040</v>
      </c>
      <c r="AA3" s="17">
        <v>2041</v>
      </c>
      <c r="AB3" s="17">
        <v>2042</v>
      </c>
      <c r="AC3" s="17">
        <v>2043</v>
      </c>
      <c r="AD3" s="17">
        <v>2044</v>
      </c>
      <c r="AE3" s="17">
        <v>2045</v>
      </c>
      <c r="AF3" s="17">
        <v>2046</v>
      </c>
      <c r="AG3" s="17">
        <v>2047</v>
      </c>
      <c r="AH3" s="17">
        <v>2048</v>
      </c>
      <c r="AI3" s="17">
        <v>2049</v>
      </c>
      <c r="AJ3" s="17">
        <v>2050</v>
      </c>
      <c r="AM3" s="18" t="s">
        <v>308</v>
      </c>
      <c r="AN3" s="17" t="s">
        <v>282</v>
      </c>
    </row>
    <row r="4" spans="1:40" s="52" customFormat="1" ht="15.75" x14ac:dyDescent="0.25">
      <c r="A4" s="51" t="s">
        <v>712</v>
      </c>
      <c r="B4" s="54" t="s">
        <v>711</v>
      </c>
      <c r="C4" s="51"/>
      <c r="D4" s="51"/>
      <c r="E4" s="51"/>
      <c r="F4" s="51"/>
      <c r="G4" s="51"/>
      <c r="H4" s="51"/>
      <c r="I4" s="51"/>
      <c r="J4" s="51"/>
      <c r="K4" s="51"/>
      <c r="L4" s="51"/>
      <c r="M4" s="51"/>
      <c r="N4" s="51"/>
      <c r="O4" s="51"/>
      <c r="P4" s="51"/>
      <c r="Q4" s="51"/>
      <c r="R4" s="51"/>
      <c r="S4" s="51"/>
      <c r="T4" s="51"/>
      <c r="U4" s="51"/>
      <c r="V4" s="51"/>
      <c r="W4" s="51"/>
      <c r="X4" s="51"/>
      <c r="Y4" s="51"/>
      <c r="Z4" s="51"/>
      <c r="AA4" s="51"/>
      <c r="AB4" s="51"/>
      <c r="AC4" s="51"/>
      <c r="AD4" s="51"/>
      <c r="AE4" s="51"/>
      <c r="AF4" s="51"/>
      <c r="AG4" s="51"/>
      <c r="AH4" s="51"/>
      <c r="AI4" s="51"/>
      <c r="AJ4" s="51"/>
    </row>
    <row r="5" spans="1:40" x14ac:dyDescent="0.25">
      <c r="A5" t="s">
        <v>662</v>
      </c>
      <c r="B5" t="s">
        <v>361</v>
      </c>
      <c r="C5" s="80"/>
      <c r="D5" s="81"/>
      <c r="E5" s="81"/>
      <c r="F5" s="81"/>
      <c r="G5" s="81"/>
      <c r="H5" s="81"/>
      <c r="I5" s="81"/>
      <c r="J5" s="81"/>
      <c r="K5" s="81"/>
      <c r="L5" s="81"/>
      <c r="M5" s="81"/>
      <c r="N5" s="81"/>
      <c r="O5" s="81"/>
      <c r="P5" s="81"/>
      <c r="Q5" s="81"/>
      <c r="R5" s="81"/>
      <c r="S5" s="81"/>
      <c r="T5" s="81"/>
      <c r="U5" s="81"/>
      <c r="V5" s="81"/>
      <c r="W5" s="81"/>
      <c r="X5" s="81"/>
      <c r="Y5" s="81"/>
      <c r="Z5" s="81"/>
      <c r="AA5" s="81"/>
      <c r="AB5" s="81"/>
      <c r="AC5" s="81"/>
      <c r="AD5" s="81"/>
      <c r="AE5" s="81"/>
      <c r="AF5" s="81"/>
      <c r="AG5" s="81"/>
      <c r="AH5" s="81"/>
      <c r="AI5" s="81"/>
      <c r="AJ5" s="81"/>
    </row>
    <row r="6" spans="1:40" x14ac:dyDescent="0.25">
      <c r="A6" t="s">
        <v>384</v>
      </c>
      <c r="B6" t="s">
        <v>321</v>
      </c>
      <c r="C6" s="72"/>
      <c r="D6" s="72"/>
      <c r="E6" s="72"/>
      <c r="F6" s="72"/>
      <c r="G6" s="72"/>
      <c r="H6" s="72"/>
      <c r="I6" s="72"/>
      <c r="J6" s="72"/>
      <c r="K6" s="72"/>
      <c r="L6" s="72"/>
      <c r="M6" s="72"/>
      <c r="N6" s="72"/>
      <c r="O6" s="72"/>
      <c r="P6" s="72"/>
      <c r="Q6" s="72"/>
      <c r="R6" s="72"/>
      <c r="S6" s="72"/>
      <c r="T6" s="72"/>
      <c r="U6" s="72"/>
      <c r="V6" s="72"/>
      <c r="W6" s="72"/>
      <c r="X6" s="72"/>
      <c r="Y6" s="72"/>
      <c r="Z6" s="72"/>
      <c r="AA6" s="72"/>
      <c r="AB6" s="72"/>
      <c r="AC6" s="72"/>
      <c r="AD6" s="72"/>
      <c r="AE6" s="72"/>
      <c r="AF6" s="72"/>
      <c r="AG6" s="72"/>
      <c r="AH6" s="72"/>
      <c r="AI6" s="72"/>
      <c r="AJ6" s="72"/>
    </row>
    <row r="7" spans="1:40" x14ac:dyDescent="0.25">
      <c r="A7" t="s">
        <v>659</v>
      </c>
      <c r="B7" t="s">
        <v>321</v>
      </c>
      <c r="C7" s="72"/>
      <c r="D7" s="72"/>
      <c r="E7" s="72"/>
      <c r="F7" s="72"/>
      <c r="G7" s="72"/>
      <c r="H7" s="72"/>
      <c r="I7" s="72"/>
      <c r="J7" s="72"/>
      <c r="K7" s="72"/>
      <c r="L7" s="72"/>
      <c r="M7" s="72"/>
      <c r="N7" s="72"/>
      <c r="O7" s="72"/>
      <c r="P7" s="72"/>
      <c r="Q7" s="72"/>
      <c r="R7" s="72"/>
      <c r="S7" s="72"/>
      <c r="T7" s="72"/>
      <c r="U7" s="72"/>
      <c r="V7" s="72"/>
      <c r="W7" s="72"/>
      <c r="X7" s="72"/>
      <c r="Y7" s="72"/>
      <c r="Z7" s="72"/>
      <c r="AA7" s="72"/>
      <c r="AB7" s="72"/>
      <c r="AC7" s="72"/>
      <c r="AD7" s="72"/>
      <c r="AE7" s="72"/>
      <c r="AF7" s="72"/>
      <c r="AG7" s="72"/>
      <c r="AH7" s="72"/>
      <c r="AI7" s="72"/>
      <c r="AJ7" s="72"/>
    </row>
    <row r="8" spans="1:40" x14ac:dyDescent="0.25">
      <c r="A8" t="s">
        <v>660</v>
      </c>
      <c r="B8" t="s">
        <v>321</v>
      </c>
      <c r="C8" s="72"/>
      <c r="D8" s="72"/>
      <c r="E8" s="72"/>
      <c r="F8" s="72"/>
      <c r="G8" s="72"/>
      <c r="H8" s="72"/>
      <c r="I8" s="72"/>
      <c r="J8" s="72"/>
      <c r="K8" s="72"/>
      <c r="L8" s="72"/>
      <c r="M8" s="72"/>
      <c r="N8" s="72"/>
      <c r="O8" s="72"/>
      <c r="P8" s="72"/>
      <c r="Q8" s="72"/>
      <c r="R8" s="72"/>
      <c r="S8" s="72"/>
      <c r="T8" s="72"/>
      <c r="U8" s="72"/>
      <c r="V8" s="72"/>
      <c r="W8" s="72"/>
      <c r="X8" s="72"/>
      <c r="Y8" s="72"/>
      <c r="Z8" s="72"/>
      <c r="AA8" s="72"/>
      <c r="AB8" s="72"/>
      <c r="AC8" s="72"/>
      <c r="AD8" s="72"/>
      <c r="AE8" s="72"/>
      <c r="AF8" s="72"/>
      <c r="AG8" s="72"/>
      <c r="AH8" s="72"/>
      <c r="AI8" s="72"/>
      <c r="AJ8" s="72"/>
    </row>
    <row r="10" spans="1:40" s="52" customFormat="1" ht="15.75" x14ac:dyDescent="0.25">
      <c r="A10" s="51" t="s">
        <v>713</v>
      </c>
      <c r="B10" s="54" t="s">
        <v>778</v>
      </c>
      <c r="C10" s="51"/>
      <c r="D10" s="51"/>
      <c r="E10" s="51"/>
      <c r="F10" s="51"/>
      <c r="G10" s="51"/>
      <c r="H10" s="51"/>
      <c r="I10" s="51"/>
      <c r="J10" s="51"/>
      <c r="K10" s="51"/>
      <c r="L10" s="51"/>
      <c r="M10" s="51"/>
      <c r="N10" s="51"/>
      <c r="O10" s="51"/>
      <c r="P10" s="51"/>
      <c r="Q10" s="51"/>
      <c r="R10" s="51"/>
      <c r="S10" s="51"/>
      <c r="T10" s="51"/>
      <c r="U10" s="51"/>
      <c r="V10" s="51"/>
      <c r="W10" s="51"/>
      <c r="X10" s="51"/>
      <c r="Y10" s="51"/>
      <c r="Z10" s="51"/>
      <c r="AA10" s="51"/>
      <c r="AB10" s="51"/>
      <c r="AC10" s="51"/>
      <c r="AD10" s="51"/>
      <c r="AE10" s="51"/>
      <c r="AF10" s="51"/>
      <c r="AG10" s="51"/>
      <c r="AH10" s="51"/>
      <c r="AI10" s="51"/>
      <c r="AJ10" s="51"/>
    </row>
    <row r="11" spans="1:40" s="76" customFormat="1" ht="15.75" x14ac:dyDescent="0.25">
      <c r="A11" s="74" t="s">
        <v>771</v>
      </c>
      <c r="B11" s="75" t="s">
        <v>779</v>
      </c>
      <c r="C11" s="74"/>
      <c r="D11" s="74"/>
      <c r="E11" s="74"/>
      <c r="F11" s="74"/>
      <c r="G11" s="74"/>
      <c r="H11" s="74"/>
      <c r="I11" s="74"/>
      <c r="J11" s="74"/>
      <c r="K11" s="74"/>
      <c r="L11" s="74"/>
      <c r="M11" s="74"/>
      <c r="N11" s="74"/>
      <c r="O11" s="74"/>
      <c r="P11" s="74"/>
      <c r="Q11" s="74"/>
      <c r="R11" s="74"/>
      <c r="S11" s="74"/>
      <c r="T11" s="74"/>
      <c r="U11" s="74"/>
      <c r="V11" s="74"/>
      <c r="W11" s="74"/>
      <c r="X11" s="74"/>
      <c r="Y11" s="74"/>
      <c r="Z11" s="74"/>
      <c r="AA11" s="74"/>
      <c r="AB11" s="74"/>
      <c r="AC11" s="74"/>
      <c r="AD11" s="74"/>
      <c r="AE11" s="74"/>
      <c r="AF11" s="74"/>
      <c r="AG11" s="74"/>
      <c r="AH11" s="74"/>
      <c r="AI11" s="74"/>
      <c r="AJ11" s="74"/>
    </row>
    <row r="12" spans="1:40" x14ac:dyDescent="0.25">
      <c r="A12" s="77" t="s">
        <v>449</v>
      </c>
      <c r="B12" t="s">
        <v>305</v>
      </c>
      <c r="C12" s="25">
        <v>95</v>
      </c>
      <c r="D12" s="25">
        <v>95</v>
      </c>
      <c r="E12" s="25">
        <v>95</v>
      </c>
      <c r="F12" s="25">
        <v>95</v>
      </c>
      <c r="G12" s="25">
        <v>95</v>
      </c>
      <c r="H12" s="25">
        <v>95</v>
      </c>
      <c r="I12" s="25">
        <v>95</v>
      </c>
      <c r="J12" s="25">
        <v>95</v>
      </c>
      <c r="K12" s="25">
        <v>95</v>
      </c>
      <c r="L12" s="25">
        <v>95</v>
      </c>
      <c r="M12" s="25">
        <v>95</v>
      </c>
      <c r="N12" s="25">
        <v>95</v>
      </c>
      <c r="O12" s="25">
        <v>95</v>
      </c>
      <c r="P12" s="25">
        <v>95</v>
      </c>
      <c r="Q12" s="25">
        <v>95</v>
      </c>
      <c r="R12" s="25">
        <v>95</v>
      </c>
      <c r="S12" s="25">
        <v>95</v>
      </c>
      <c r="T12" s="25">
        <v>95</v>
      </c>
      <c r="U12" s="25">
        <v>95</v>
      </c>
      <c r="V12" s="25">
        <v>95</v>
      </c>
      <c r="W12" s="25">
        <v>95</v>
      </c>
      <c r="X12" s="25">
        <v>95</v>
      </c>
      <c r="Y12" s="25">
        <v>95</v>
      </c>
      <c r="Z12" s="25">
        <v>95</v>
      </c>
      <c r="AA12" s="25">
        <v>95</v>
      </c>
      <c r="AB12" s="25">
        <v>95</v>
      </c>
      <c r="AC12" s="25">
        <v>95</v>
      </c>
      <c r="AD12" s="25">
        <v>95</v>
      </c>
      <c r="AE12" s="25">
        <v>95</v>
      </c>
      <c r="AF12" s="25">
        <v>95</v>
      </c>
      <c r="AG12" s="25">
        <v>95</v>
      </c>
      <c r="AH12" s="25">
        <v>95</v>
      </c>
      <c r="AI12" s="25">
        <v>95</v>
      </c>
      <c r="AJ12" s="25">
        <v>95</v>
      </c>
    </row>
    <row r="13" spans="1:40" x14ac:dyDescent="0.25">
      <c r="A13" s="77" t="s">
        <v>450</v>
      </c>
      <c r="B13" t="s">
        <v>305</v>
      </c>
      <c r="C13" s="25">
        <v>0</v>
      </c>
      <c r="D13" s="25">
        <v>0</v>
      </c>
      <c r="E13" s="25">
        <v>0</v>
      </c>
      <c r="F13" s="25">
        <v>0</v>
      </c>
      <c r="G13" s="25">
        <v>0</v>
      </c>
      <c r="H13" s="25">
        <v>0</v>
      </c>
      <c r="I13" s="25">
        <v>0</v>
      </c>
      <c r="J13" s="25">
        <v>0</v>
      </c>
      <c r="K13" s="25">
        <v>0</v>
      </c>
      <c r="L13" s="25">
        <v>0</v>
      </c>
      <c r="M13" s="25">
        <v>0</v>
      </c>
      <c r="N13" s="25">
        <v>0</v>
      </c>
      <c r="O13" s="25">
        <v>0</v>
      </c>
      <c r="P13" s="25">
        <v>0</v>
      </c>
      <c r="Q13" s="25">
        <v>0</v>
      </c>
      <c r="R13" s="25">
        <v>0</v>
      </c>
      <c r="S13" s="25">
        <v>0</v>
      </c>
      <c r="T13" s="25">
        <v>0</v>
      </c>
      <c r="U13" s="25">
        <v>0</v>
      </c>
      <c r="V13" s="25">
        <v>0</v>
      </c>
      <c r="W13" s="25">
        <v>0</v>
      </c>
      <c r="X13" s="25">
        <v>0</v>
      </c>
      <c r="Y13" s="25">
        <v>0</v>
      </c>
      <c r="Z13" s="25">
        <v>0</v>
      </c>
      <c r="AA13" s="25">
        <v>0</v>
      </c>
      <c r="AB13" s="25">
        <v>0</v>
      </c>
      <c r="AC13" s="25">
        <v>0</v>
      </c>
      <c r="AD13" s="25">
        <v>0</v>
      </c>
      <c r="AE13" s="25">
        <v>0</v>
      </c>
      <c r="AF13" s="25">
        <v>0</v>
      </c>
      <c r="AG13" s="25">
        <v>0</v>
      </c>
      <c r="AH13" s="25">
        <v>0</v>
      </c>
      <c r="AI13" s="25">
        <v>0</v>
      </c>
      <c r="AJ13" s="25">
        <v>0</v>
      </c>
    </row>
    <row r="14" spans="1:40" x14ac:dyDescent="0.25">
      <c r="A14" s="77" t="s">
        <v>451</v>
      </c>
      <c r="B14" t="s">
        <v>305</v>
      </c>
      <c r="C14" s="25">
        <v>0</v>
      </c>
      <c r="D14" s="25">
        <v>0</v>
      </c>
      <c r="E14" s="25">
        <v>0</v>
      </c>
      <c r="F14" s="25">
        <v>0</v>
      </c>
      <c r="G14" s="25">
        <v>0</v>
      </c>
      <c r="H14" s="25">
        <v>0</v>
      </c>
      <c r="I14" s="25">
        <v>0</v>
      </c>
      <c r="J14" s="25">
        <v>0</v>
      </c>
      <c r="K14" s="25">
        <v>0</v>
      </c>
      <c r="L14" s="25">
        <v>0</v>
      </c>
      <c r="M14" s="25">
        <v>0</v>
      </c>
      <c r="N14" s="25">
        <v>0</v>
      </c>
      <c r="O14" s="25">
        <v>0</v>
      </c>
      <c r="P14" s="25">
        <v>0</v>
      </c>
      <c r="Q14" s="25">
        <v>0</v>
      </c>
      <c r="R14" s="25">
        <v>0</v>
      </c>
      <c r="S14" s="25">
        <v>0</v>
      </c>
      <c r="T14" s="25">
        <v>0</v>
      </c>
      <c r="U14" s="25">
        <v>0</v>
      </c>
      <c r="V14" s="25">
        <v>0</v>
      </c>
      <c r="W14" s="25">
        <v>0</v>
      </c>
      <c r="X14" s="25">
        <v>0</v>
      </c>
      <c r="Y14" s="25">
        <v>0</v>
      </c>
      <c r="Z14" s="25">
        <v>0</v>
      </c>
      <c r="AA14" s="25">
        <v>0</v>
      </c>
      <c r="AB14" s="25">
        <v>0</v>
      </c>
      <c r="AC14" s="25">
        <v>0</v>
      </c>
      <c r="AD14" s="25">
        <v>0</v>
      </c>
      <c r="AE14" s="25">
        <v>0</v>
      </c>
      <c r="AF14" s="25">
        <v>0</v>
      </c>
      <c r="AG14" s="25">
        <v>0</v>
      </c>
      <c r="AH14" s="25">
        <v>0</v>
      </c>
      <c r="AI14" s="25">
        <v>0</v>
      </c>
      <c r="AJ14" s="25">
        <v>0</v>
      </c>
    </row>
    <row r="15" spans="1:40" x14ac:dyDescent="0.25">
      <c r="A15" s="77" t="s">
        <v>452</v>
      </c>
      <c r="B15" t="s">
        <v>305</v>
      </c>
      <c r="C15" s="25">
        <v>0</v>
      </c>
      <c r="D15" s="25">
        <v>0</v>
      </c>
      <c r="E15" s="25">
        <v>0</v>
      </c>
      <c r="F15" s="25">
        <v>0</v>
      </c>
      <c r="G15" s="25">
        <v>0</v>
      </c>
      <c r="H15" s="25">
        <v>0</v>
      </c>
      <c r="I15" s="25">
        <v>0</v>
      </c>
      <c r="J15" s="25">
        <v>0</v>
      </c>
      <c r="K15" s="25">
        <v>0</v>
      </c>
      <c r="L15" s="25">
        <v>0</v>
      </c>
      <c r="M15" s="25">
        <v>0</v>
      </c>
      <c r="N15" s="25">
        <v>0</v>
      </c>
      <c r="O15" s="25">
        <v>0</v>
      </c>
      <c r="P15" s="25">
        <v>0</v>
      </c>
      <c r="Q15" s="25">
        <v>0</v>
      </c>
      <c r="R15" s="25">
        <v>0</v>
      </c>
      <c r="S15" s="25">
        <v>0</v>
      </c>
      <c r="T15" s="25">
        <v>0</v>
      </c>
      <c r="U15" s="25">
        <v>0</v>
      </c>
      <c r="V15" s="25">
        <v>0</v>
      </c>
      <c r="W15" s="25">
        <v>0</v>
      </c>
      <c r="X15" s="25">
        <v>0</v>
      </c>
      <c r="Y15" s="25">
        <v>0</v>
      </c>
      <c r="Z15" s="25">
        <v>0</v>
      </c>
      <c r="AA15" s="25">
        <v>0</v>
      </c>
      <c r="AB15" s="25">
        <v>0</v>
      </c>
      <c r="AC15" s="25">
        <v>0</v>
      </c>
      <c r="AD15" s="25">
        <v>0</v>
      </c>
      <c r="AE15" s="25">
        <v>0</v>
      </c>
      <c r="AF15" s="25">
        <v>0</v>
      </c>
      <c r="AG15" s="25">
        <v>0</v>
      </c>
      <c r="AH15" s="25">
        <v>0</v>
      </c>
      <c r="AI15" s="25">
        <v>0</v>
      </c>
      <c r="AJ15" s="25">
        <v>0</v>
      </c>
    </row>
    <row r="16" spans="1:40" x14ac:dyDescent="0.25">
      <c r="A16" s="77" t="s">
        <v>453</v>
      </c>
      <c r="B16" t="s">
        <v>305</v>
      </c>
      <c r="C16" s="25">
        <v>0</v>
      </c>
      <c r="D16" s="25">
        <v>0</v>
      </c>
      <c r="E16" s="25">
        <v>0</v>
      </c>
      <c r="F16" s="25">
        <v>0</v>
      </c>
      <c r="G16" s="25">
        <v>0</v>
      </c>
      <c r="H16" s="25">
        <v>0</v>
      </c>
      <c r="I16" s="25">
        <v>0</v>
      </c>
      <c r="J16" s="25">
        <v>0</v>
      </c>
      <c r="K16" s="25">
        <v>0</v>
      </c>
      <c r="L16" s="25">
        <v>0</v>
      </c>
      <c r="M16" s="25">
        <v>0</v>
      </c>
      <c r="N16" s="25">
        <v>0</v>
      </c>
      <c r="O16" s="25">
        <v>0</v>
      </c>
      <c r="P16" s="25">
        <v>0</v>
      </c>
      <c r="Q16" s="25">
        <v>0</v>
      </c>
      <c r="R16" s="25">
        <v>0</v>
      </c>
      <c r="S16" s="25">
        <v>0</v>
      </c>
      <c r="T16" s="25">
        <v>0</v>
      </c>
      <c r="U16" s="25">
        <v>0</v>
      </c>
      <c r="V16" s="25">
        <v>0</v>
      </c>
      <c r="W16" s="25">
        <v>0</v>
      </c>
      <c r="X16" s="25">
        <v>0</v>
      </c>
      <c r="Y16" s="25">
        <v>0</v>
      </c>
      <c r="Z16" s="25">
        <v>0</v>
      </c>
      <c r="AA16" s="25">
        <v>0</v>
      </c>
      <c r="AB16" s="25">
        <v>0</v>
      </c>
      <c r="AC16" s="25">
        <v>0</v>
      </c>
      <c r="AD16" s="25">
        <v>0</v>
      </c>
      <c r="AE16" s="25">
        <v>0</v>
      </c>
      <c r="AF16" s="25">
        <v>0</v>
      </c>
      <c r="AG16" s="25">
        <v>0</v>
      </c>
      <c r="AH16" s="25">
        <v>0</v>
      </c>
      <c r="AI16" s="25">
        <v>0</v>
      </c>
      <c r="AJ16" s="25">
        <v>0</v>
      </c>
    </row>
    <row r="17" spans="1:36" x14ac:dyDescent="0.25">
      <c r="A17" s="77" t="s">
        <v>454</v>
      </c>
      <c r="B17" t="s">
        <v>305</v>
      </c>
      <c r="C17" s="25">
        <v>0</v>
      </c>
      <c r="D17" s="25">
        <v>0</v>
      </c>
      <c r="E17" s="25">
        <v>0</v>
      </c>
      <c r="F17" s="25">
        <v>0</v>
      </c>
      <c r="G17" s="25">
        <v>0</v>
      </c>
      <c r="H17" s="25">
        <v>0</v>
      </c>
      <c r="I17" s="25">
        <v>0</v>
      </c>
      <c r="J17" s="25">
        <v>0</v>
      </c>
      <c r="K17" s="25">
        <v>0</v>
      </c>
      <c r="L17" s="25">
        <v>0</v>
      </c>
      <c r="M17" s="25">
        <v>0</v>
      </c>
      <c r="N17" s="25">
        <v>0</v>
      </c>
      <c r="O17" s="25">
        <v>0</v>
      </c>
      <c r="P17" s="25">
        <v>0</v>
      </c>
      <c r="Q17" s="25">
        <v>0</v>
      </c>
      <c r="R17" s="25">
        <v>0</v>
      </c>
      <c r="S17" s="25">
        <v>0</v>
      </c>
      <c r="T17" s="25">
        <v>0</v>
      </c>
      <c r="U17" s="25">
        <v>0</v>
      </c>
      <c r="V17" s="25">
        <v>0</v>
      </c>
      <c r="W17" s="25">
        <v>0</v>
      </c>
      <c r="X17" s="25">
        <v>0</v>
      </c>
      <c r="Y17" s="25">
        <v>0</v>
      </c>
      <c r="Z17" s="25">
        <v>0</v>
      </c>
      <c r="AA17" s="25">
        <v>0</v>
      </c>
      <c r="AB17" s="25">
        <v>0</v>
      </c>
      <c r="AC17" s="25">
        <v>0</v>
      </c>
      <c r="AD17" s="25">
        <v>0</v>
      </c>
      <c r="AE17" s="25">
        <v>0</v>
      </c>
      <c r="AF17" s="25">
        <v>0</v>
      </c>
      <c r="AG17" s="25">
        <v>0</v>
      </c>
      <c r="AH17" s="25">
        <v>0</v>
      </c>
      <c r="AI17" s="25">
        <v>0</v>
      </c>
      <c r="AJ17" s="25">
        <v>0</v>
      </c>
    </row>
    <row r="18" spans="1:36" x14ac:dyDescent="0.25">
      <c r="A18" s="77" t="s">
        <v>455</v>
      </c>
      <c r="B18" t="s">
        <v>305</v>
      </c>
      <c r="C18" s="25">
        <v>5</v>
      </c>
      <c r="D18" s="25">
        <v>5</v>
      </c>
      <c r="E18" s="25">
        <v>5</v>
      </c>
      <c r="F18" s="25">
        <v>5</v>
      </c>
      <c r="G18" s="25">
        <v>5</v>
      </c>
      <c r="H18" s="25">
        <v>5</v>
      </c>
      <c r="I18" s="25">
        <v>5</v>
      </c>
      <c r="J18" s="25">
        <v>5</v>
      </c>
      <c r="K18" s="25">
        <v>5</v>
      </c>
      <c r="L18" s="25">
        <v>5</v>
      </c>
      <c r="M18" s="25">
        <v>5</v>
      </c>
      <c r="N18" s="25">
        <v>5</v>
      </c>
      <c r="O18" s="25">
        <v>5</v>
      </c>
      <c r="P18" s="25">
        <v>5</v>
      </c>
      <c r="Q18" s="25">
        <v>5</v>
      </c>
      <c r="R18" s="25">
        <v>5</v>
      </c>
      <c r="S18" s="25">
        <v>5</v>
      </c>
      <c r="T18" s="25">
        <v>5</v>
      </c>
      <c r="U18" s="25">
        <v>5</v>
      </c>
      <c r="V18" s="25">
        <v>5</v>
      </c>
      <c r="W18" s="25">
        <v>5</v>
      </c>
      <c r="X18" s="25">
        <v>5</v>
      </c>
      <c r="Y18" s="25">
        <v>5</v>
      </c>
      <c r="Z18" s="25">
        <v>5</v>
      </c>
      <c r="AA18" s="25">
        <v>5</v>
      </c>
      <c r="AB18" s="25">
        <v>5</v>
      </c>
      <c r="AC18" s="25">
        <v>5</v>
      </c>
      <c r="AD18" s="25">
        <v>5</v>
      </c>
      <c r="AE18" s="25">
        <v>5</v>
      </c>
      <c r="AF18" s="25">
        <v>5</v>
      </c>
      <c r="AG18" s="25">
        <v>5</v>
      </c>
      <c r="AH18" s="25">
        <v>5</v>
      </c>
      <c r="AI18" s="25">
        <v>5</v>
      </c>
      <c r="AJ18" s="25">
        <v>5</v>
      </c>
    </row>
    <row r="19" spans="1:36" x14ac:dyDescent="0.25">
      <c r="A19" s="77" t="s">
        <v>456</v>
      </c>
      <c r="B19" t="s">
        <v>305</v>
      </c>
      <c r="C19" s="25">
        <v>0</v>
      </c>
      <c r="D19" s="25">
        <v>0</v>
      </c>
      <c r="E19" s="25">
        <v>0</v>
      </c>
      <c r="F19" s="25">
        <v>0</v>
      </c>
      <c r="G19" s="25">
        <v>0</v>
      </c>
      <c r="H19" s="25">
        <v>0</v>
      </c>
      <c r="I19" s="25">
        <v>0</v>
      </c>
      <c r="J19" s="25">
        <v>0</v>
      </c>
      <c r="K19" s="25">
        <v>0</v>
      </c>
      <c r="L19" s="25">
        <v>0</v>
      </c>
      <c r="M19" s="25">
        <v>0</v>
      </c>
      <c r="N19" s="25">
        <v>0</v>
      </c>
      <c r="O19" s="25">
        <v>0</v>
      </c>
      <c r="P19" s="25">
        <v>0</v>
      </c>
      <c r="Q19" s="25">
        <v>0</v>
      </c>
      <c r="R19" s="25">
        <v>0</v>
      </c>
      <c r="S19" s="25">
        <v>0</v>
      </c>
      <c r="T19" s="25">
        <v>0</v>
      </c>
      <c r="U19" s="25">
        <v>0</v>
      </c>
      <c r="V19" s="25">
        <v>0</v>
      </c>
      <c r="W19" s="25">
        <v>0</v>
      </c>
      <c r="X19" s="25">
        <v>0</v>
      </c>
      <c r="Y19" s="25">
        <v>0</v>
      </c>
      <c r="Z19" s="25">
        <v>0</v>
      </c>
      <c r="AA19" s="25">
        <v>0</v>
      </c>
      <c r="AB19" s="25">
        <v>0</v>
      </c>
      <c r="AC19" s="25">
        <v>0</v>
      </c>
      <c r="AD19" s="25">
        <v>0</v>
      </c>
      <c r="AE19" s="25">
        <v>0</v>
      </c>
      <c r="AF19" s="25">
        <v>0</v>
      </c>
      <c r="AG19" s="25">
        <v>0</v>
      </c>
      <c r="AH19" s="25">
        <v>0</v>
      </c>
      <c r="AI19" s="25">
        <v>0</v>
      </c>
      <c r="AJ19" s="25">
        <v>0</v>
      </c>
    </row>
    <row r="20" spans="1:36" x14ac:dyDescent="0.25">
      <c r="A20" s="77" t="s">
        <v>457</v>
      </c>
      <c r="B20" t="s">
        <v>305</v>
      </c>
      <c r="C20" s="25">
        <v>0</v>
      </c>
      <c r="D20" s="25">
        <v>0</v>
      </c>
      <c r="E20" s="25">
        <v>0</v>
      </c>
      <c r="F20" s="25">
        <v>0</v>
      </c>
      <c r="G20" s="25">
        <v>0</v>
      </c>
      <c r="H20" s="25">
        <v>0</v>
      </c>
      <c r="I20" s="25">
        <v>0</v>
      </c>
      <c r="J20" s="25">
        <v>0</v>
      </c>
      <c r="K20" s="25">
        <v>0</v>
      </c>
      <c r="L20" s="25">
        <v>0</v>
      </c>
      <c r="M20" s="25">
        <v>0</v>
      </c>
      <c r="N20" s="25">
        <v>0</v>
      </c>
      <c r="O20" s="25">
        <v>0</v>
      </c>
      <c r="P20" s="25">
        <v>0</v>
      </c>
      <c r="Q20" s="25">
        <v>0</v>
      </c>
      <c r="R20" s="25">
        <v>0</v>
      </c>
      <c r="S20" s="25">
        <v>0</v>
      </c>
      <c r="T20" s="25">
        <v>0</v>
      </c>
      <c r="U20" s="25">
        <v>0</v>
      </c>
      <c r="V20" s="25">
        <v>0</v>
      </c>
      <c r="W20" s="25">
        <v>0</v>
      </c>
      <c r="X20" s="25">
        <v>0</v>
      </c>
      <c r="Y20" s="25">
        <v>0</v>
      </c>
      <c r="Z20" s="25">
        <v>0</v>
      </c>
      <c r="AA20" s="25">
        <v>0</v>
      </c>
      <c r="AB20" s="25">
        <v>0</v>
      </c>
      <c r="AC20" s="25">
        <v>0</v>
      </c>
      <c r="AD20" s="25">
        <v>0</v>
      </c>
      <c r="AE20" s="25">
        <v>0</v>
      </c>
      <c r="AF20" s="25">
        <v>0</v>
      </c>
      <c r="AG20" s="25">
        <v>0</v>
      </c>
      <c r="AH20" s="25">
        <v>0</v>
      </c>
      <c r="AI20" s="25">
        <v>0</v>
      </c>
      <c r="AJ20" s="25">
        <v>0</v>
      </c>
    </row>
    <row r="21" spans="1:36" x14ac:dyDescent="0.25">
      <c r="A21" s="77" t="s">
        <v>458</v>
      </c>
      <c r="B21" t="s">
        <v>305</v>
      </c>
      <c r="C21" s="25">
        <v>0</v>
      </c>
      <c r="D21" s="25">
        <v>0</v>
      </c>
      <c r="E21" s="25">
        <v>0</v>
      </c>
      <c r="F21" s="25">
        <v>0</v>
      </c>
      <c r="G21" s="25">
        <v>0</v>
      </c>
      <c r="H21" s="25">
        <v>0</v>
      </c>
      <c r="I21" s="25">
        <v>0</v>
      </c>
      <c r="J21" s="25">
        <v>0</v>
      </c>
      <c r="K21" s="25">
        <v>0</v>
      </c>
      <c r="L21" s="25">
        <v>0</v>
      </c>
      <c r="M21" s="25">
        <v>0</v>
      </c>
      <c r="N21" s="25">
        <v>0</v>
      </c>
      <c r="O21" s="25">
        <v>0</v>
      </c>
      <c r="P21" s="25">
        <v>0</v>
      </c>
      <c r="Q21" s="25">
        <v>0</v>
      </c>
      <c r="R21" s="25">
        <v>0</v>
      </c>
      <c r="S21" s="25">
        <v>0</v>
      </c>
      <c r="T21" s="25">
        <v>0</v>
      </c>
      <c r="U21" s="25">
        <v>0</v>
      </c>
      <c r="V21" s="25">
        <v>0</v>
      </c>
      <c r="W21" s="25">
        <v>0</v>
      </c>
      <c r="X21" s="25">
        <v>0</v>
      </c>
      <c r="Y21" s="25">
        <v>0</v>
      </c>
      <c r="Z21" s="25">
        <v>0</v>
      </c>
      <c r="AA21" s="25">
        <v>0</v>
      </c>
      <c r="AB21" s="25">
        <v>0</v>
      </c>
      <c r="AC21" s="25">
        <v>0</v>
      </c>
      <c r="AD21" s="25">
        <v>0</v>
      </c>
      <c r="AE21" s="25">
        <v>0</v>
      </c>
      <c r="AF21" s="25">
        <v>0</v>
      </c>
      <c r="AG21" s="25">
        <v>0</v>
      </c>
      <c r="AH21" s="25">
        <v>0</v>
      </c>
      <c r="AI21" s="25">
        <v>0</v>
      </c>
      <c r="AJ21" s="25">
        <v>0</v>
      </c>
    </row>
    <row r="22" spans="1:36" x14ac:dyDescent="0.25">
      <c r="A22" s="77" t="s">
        <v>752</v>
      </c>
      <c r="B22" t="s">
        <v>305</v>
      </c>
      <c r="C22" s="25">
        <v>0</v>
      </c>
      <c r="D22" s="25">
        <v>0</v>
      </c>
      <c r="E22" s="25">
        <v>0</v>
      </c>
      <c r="F22" s="25">
        <v>0</v>
      </c>
      <c r="G22" s="25">
        <v>0</v>
      </c>
      <c r="H22" s="25">
        <v>0</v>
      </c>
      <c r="I22" s="25">
        <v>0</v>
      </c>
      <c r="J22" s="25">
        <v>0</v>
      </c>
      <c r="K22" s="25">
        <v>0</v>
      </c>
      <c r="L22" s="25">
        <v>0</v>
      </c>
      <c r="M22" s="25">
        <v>0</v>
      </c>
      <c r="N22" s="25">
        <v>0</v>
      </c>
      <c r="O22" s="25">
        <v>0</v>
      </c>
      <c r="P22" s="25">
        <v>0</v>
      </c>
      <c r="Q22" s="25">
        <v>0</v>
      </c>
      <c r="R22" s="25">
        <v>0</v>
      </c>
      <c r="S22" s="25">
        <v>0</v>
      </c>
      <c r="T22" s="25">
        <v>0</v>
      </c>
      <c r="U22" s="25">
        <v>0</v>
      </c>
      <c r="V22" s="25">
        <v>0</v>
      </c>
      <c r="W22" s="25">
        <v>0</v>
      </c>
      <c r="X22" s="25">
        <v>0</v>
      </c>
      <c r="Y22" s="25">
        <v>0</v>
      </c>
      <c r="Z22" s="25">
        <v>0</v>
      </c>
      <c r="AA22" s="25">
        <v>0</v>
      </c>
      <c r="AB22" s="25">
        <v>0</v>
      </c>
      <c r="AC22" s="25">
        <v>0</v>
      </c>
      <c r="AD22" s="25">
        <v>0</v>
      </c>
      <c r="AE22" s="25">
        <v>0</v>
      </c>
      <c r="AF22" s="25">
        <v>0</v>
      </c>
      <c r="AG22" s="25">
        <v>0</v>
      </c>
      <c r="AH22" s="25">
        <v>0</v>
      </c>
      <c r="AI22" s="25">
        <v>0</v>
      </c>
      <c r="AJ22" s="25">
        <v>0</v>
      </c>
    </row>
    <row r="23" spans="1:36" s="78" customFormat="1" x14ac:dyDescent="0.25">
      <c r="A23" s="78" t="s">
        <v>780</v>
      </c>
      <c r="C23" s="79">
        <f>+SUM(C12:C22)</f>
        <v>100</v>
      </c>
      <c r="D23" s="79">
        <f t="shared" ref="D23:AJ23" si="0">+SUM(D12:D22)</f>
        <v>100</v>
      </c>
      <c r="E23" s="79">
        <f t="shared" si="0"/>
        <v>100</v>
      </c>
      <c r="F23" s="79">
        <f t="shared" si="0"/>
        <v>100</v>
      </c>
      <c r="G23" s="79">
        <f t="shared" si="0"/>
        <v>100</v>
      </c>
      <c r="H23" s="79">
        <f t="shared" si="0"/>
        <v>100</v>
      </c>
      <c r="I23" s="79">
        <f t="shared" si="0"/>
        <v>100</v>
      </c>
      <c r="J23" s="79">
        <f t="shared" si="0"/>
        <v>100</v>
      </c>
      <c r="K23" s="79">
        <f t="shared" si="0"/>
        <v>100</v>
      </c>
      <c r="L23" s="79">
        <f t="shared" si="0"/>
        <v>100</v>
      </c>
      <c r="M23" s="79">
        <f t="shared" si="0"/>
        <v>100</v>
      </c>
      <c r="N23" s="79">
        <f t="shared" si="0"/>
        <v>100</v>
      </c>
      <c r="O23" s="79">
        <f t="shared" si="0"/>
        <v>100</v>
      </c>
      <c r="P23" s="79">
        <f t="shared" si="0"/>
        <v>100</v>
      </c>
      <c r="Q23" s="79">
        <f t="shared" si="0"/>
        <v>100</v>
      </c>
      <c r="R23" s="79">
        <f t="shared" si="0"/>
        <v>100</v>
      </c>
      <c r="S23" s="79">
        <f t="shared" si="0"/>
        <v>100</v>
      </c>
      <c r="T23" s="79">
        <f t="shared" si="0"/>
        <v>100</v>
      </c>
      <c r="U23" s="79">
        <f t="shared" si="0"/>
        <v>100</v>
      </c>
      <c r="V23" s="79">
        <f t="shared" si="0"/>
        <v>100</v>
      </c>
      <c r="W23" s="79">
        <f t="shared" si="0"/>
        <v>100</v>
      </c>
      <c r="X23" s="79">
        <f t="shared" si="0"/>
        <v>100</v>
      </c>
      <c r="Y23" s="79">
        <f t="shared" si="0"/>
        <v>100</v>
      </c>
      <c r="Z23" s="79">
        <f t="shared" si="0"/>
        <v>100</v>
      </c>
      <c r="AA23" s="79">
        <f t="shared" si="0"/>
        <v>100</v>
      </c>
      <c r="AB23" s="79">
        <f t="shared" si="0"/>
        <v>100</v>
      </c>
      <c r="AC23" s="79">
        <f t="shared" si="0"/>
        <v>100</v>
      </c>
      <c r="AD23" s="79">
        <f t="shared" si="0"/>
        <v>100</v>
      </c>
      <c r="AE23" s="79">
        <f t="shared" si="0"/>
        <v>100</v>
      </c>
      <c r="AF23" s="79">
        <f t="shared" si="0"/>
        <v>100</v>
      </c>
      <c r="AG23" s="79">
        <f t="shared" si="0"/>
        <v>100</v>
      </c>
      <c r="AH23" s="79">
        <f t="shared" si="0"/>
        <v>100</v>
      </c>
      <c r="AI23" s="79">
        <f t="shared" si="0"/>
        <v>100</v>
      </c>
      <c r="AJ23" s="79">
        <f t="shared" si="0"/>
        <v>100</v>
      </c>
    </row>
    <row r="24" spans="1:36" x14ac:dyDescent="0.25">
      <c r="A24" t="s">
        <v>459</v>
      </c>
      <c r="B24" t="s">
        <v>305</v>
      </c>
      <c r="C24" s="25">
        <v>11</v>
      </c>
      <c r="D24" s="25">
        <v>11</v>
      </c>
      <c r="E24" s="25">
        <v>11</v>
      </c>
      <c r="F24" s="25">
        <v>11</v>
      </c>
      <c r="G24" s="25">
        <v>11</v>
      </c>
      <c r="H24" s="25">
        <v>11</v>
      </c>
      <c r="I24" s="25">
        <v>11</v>
      </c>
      <c r="J24" s="25">
        <v>11</v>
      </c>
      <c r="K24" s="25">
        <v>11</v>
      </c>
      <c r="L24" s="25">
        <v>11</v>
      </c>
      <c r="M24" s="25">
        <v>11</v>
      </c>
      <c r="N24" s="25">
        <v>11</v>
      </c>
      <c r="O24" s="25">
        <v>11</v>
      </c>
      <c r="P24" s="25">
        <v>11</v>
      </c>
      <c r="Q24" s="25">
        <v>11</v>
      </c>
      <c r="R24" s="25">
        <v>11</v>
      </c>
      <c r="S24" s="25">
        <v>11</v>
      </c>
      <c r="T24" s="25">
        <v>11</v>
      </c>
      <c r="U24" s="25">
        <v>11</v>
      </c>
      <c r="V24" s="25">
        <v>11</v>
      </c>
      <c r="W24" s="25">
        <v>11</v>
      </c>
      <c r="X24" s="25">
        <v>11</v>
      </c>
      <c r="Y24" s="25">
        <v>11</v>
      </c>
      <c r="Z24" s="25">
        <v>11</v>
      </c>
      <c r="AA24" s="25">
        <v>11</v>
      </c>
      <c r="AB24" s="25">
        <v>11</v>
      </c>
      <c r="AC24" s="25">
        <v>11</v>
      </c>
      <c r="AD24" s="25">
        <v>11</v>
      </c>
      <c r="AE24" s="25">
        <v>11</v>
      </c>
      <c r="AF24" s="25">
        <v>11</v>
      </c>
      <c r="AG24" s="25">
        <v>11</v>
      </c>
      <c r="AH24" s="25">
        <v>11</v>
      </c>
      <c r="AI24" s="25">
        <v>11</v>
      </c>
      <c r="AJ24" s="25">
        <v>11</v>
      </c>
    </row>
    <row r="25" spans="1:36" x14ac:dyDescent="0.25">
      <c r="A25" t="s">
        <v>460</v>
      </c>
      <c r="B25" t="s">
        <v>305</v>
      </c>
      <c r="C25" s="25">
        <v>0</v>
      </c>
      <c r="D25" s="25">
        <v>0</v>
      </c>
      <c r="E25" s="25">
        <v>0</v>
      </c>
      <c r="F25" s="25">
        <v>0</v>
      </c>
      <c r="G25" s="25">
        <v>0</v>
      </c>
      <c r="H25" s="25">
        <v>0</v>
      </c>
      <c r="I25" s="25">
        <v>0</v>
      </c>
      <c r="J25" s="25">
        <v>0</v>
      </c>
      <c r="K25" s="25">
        <v>0</v>
      </c>
      <c r="L25" s="25">
        <v>0</v>
      </c>
      <c r="M25" s="25">
        <v>0</v>
      </c>
      <c r="N25" s="25">
        <v>0</v>
      </c>
      <c r="O25" s="25">
        <v>0</v>
      </c>
      <c r="P25" s="25">
        <v>0</v>
      </c>
      <c r="Q25" s="25">
        <v>0</v>
      </c>
      <c r="R25" s="25">
        <v>0</v>
      </c>
      <c r="S25" s="25">
        <v>0</v>
      </c>
      <c r="T25" s="25">
        <v>0</v>
      </c>
      <c r="U25" s="25">
        <v>0</v>
      </c>
      <c r="V25" s="25">
        <v>0</v>
      </c>
      <c r="W25" s="25">
        <v>0</v>
      </c>
      <c r="X25" s="25">
        <v>0</v>
      </c>
      <c r="Y25" s="25">
        <v>0</v>
      </c>
      <c r="Z25" s="25">
        <v>0</v>
      </c>
      <c r="AA25" s="25">
        <v>0</v>
      </c>
      <c r="AB25" s="25">
        <v>0</v>
      </c>
      <c r="AC25" s="25">
        <v>0</v>
      </c>
      <c r="AD25" s="25">
        <v>0</v>
      </c>
      <c r="AE25" s="25">
        <v>0</v>
      </c>
      <c r="AF25" s="25">
        <v>0</v>
      </c>
      <c r="AG25" s="25">
        <v>0</v>
      </c>
      <c r="AH25" s="25">
        <v>0</v>
      </c>
      <c r="AI25" s="25">
        <v>0</v>
      </c>
      <c r="AJ25" s="25">
        <v>0</v>
      </c>
    </row>
    <row r="26" spans="1:36" x14ac:dyDescent="0.25">
      <c r="A26" t="s">
        <v>461</v>
      </c>
      <c r="B26" t="s">
        <v>305</v>
      </c>
      <c r="C26" s="25">
        <v>8</v>
      </c>
      <c r="D26" s="25">
        <v>8</v>
      </c>
      <c r="E26" s="25">
        <v>8</v>
      </c>
      <c r="F26" s="25">
        <v>8</v>
      </c>
      <c r="G26" s="25">
        <v>8</v>
      </c>
      <c r="H26" s="25">
        <v>8</v>
      </c>
      <c r="I26" s="25">
        <v>8</v>
      </c>
      <c r="J26" s="25">
        <v>8</v>
      </c>
      <c r="K26" s="25">
        <v>8</v>
      </c>
      <c r="L26" s="25">
        <v>8</v>
      </c>
      <c r="M26" s="25">
        <v>8</v>
      </c>
      <c r="N26" s="25">
        <v>8</v>
      </c>
      <c r="O26" s="25">
        <v>8</v>
      </c>
      <c r="P26" s="25">
        <v>8</v>
      </c>
      <c r="Q26" s="25">
        <v>8</v>
      </c>
      <c r="R26" s="25">
        <v>8</v>
      </c>
      <c r="S26" s="25">
        <v>8</v>
      </c>
      <c r="T26" s="25">
        <v>8</v>
      </c>
      <c r="U26" s="25">
        <v>8</v>
      </c>
      <c r="V26" s="25">
        <v>8</v>
      </c>
      <c r="W26" s="25">
        <v>8</v>
      </c>
      <c r="X26" s="25">
        <v>8</v>
      </c>
      <c r="Y26" s="25">
        <v>8</v>
      </c>
      <c r="Z26" s="25">
        <v>8</v>
      </c>
      <c r="AA26" s="25">
        <v>8</v>
      </c>
      <c r="AB26" s="25">
        <v>8</v>
      </c>
      <c r="AC26" s="25">
        <v>8</v>
      </c>
      <c r="AD26" s="25">
        <v>8</v>
      </c>
      <c r="AE26" s="25">
        <v>8</v>
      </c>
      <c r="AF26" s="25">
        <v>8</v>
      </c>
      <c r="AG26" s="25">
        <v>8</v>
      </c>
      <c r="AH26" s="25">
        <v>8</v>
      </c>
      <c r="AI26" s="25">
        <v>8</v>
      </c>
      <c r="AJ26" s="25">
        <v>8</v>
      </c>
    </row>
    <row r="27" spans="1:36" x14ac:dyDescent="0.25">
      <c r="A27" t="s">
        <v>462</v>
      </c>
      <c r="B27" t="s">
        <v>305</v>
      </c>
      <c r="C27" s="25">
        <v>10</v>
      </c>
      <c r="D27" s="25">
        <v>10</v>
      </c>
      <c r="E27" s="25">
        <v>10</v>
      </c>
      <c r="F27" s="25">
        <v>10</v>
      </c>
      <c r="G27" s="25">
        <v>10</v>
      </c>
      <c r="H27" s="25">
        <v>10</v>
      </c>
      <c r="I27" s="25">
        <v>10</v>
      </c>
      <c r="J27" s="25">
        <v>10</v>
      </c>
      <c r="K27" s="25">
        <v>10</v>
      </c>
      <c r="L27" s="25">
        <v>10</v>
      </c>
      <c r="M27" s="25">
        <v>10</v>
      </c>
      <c r="N27" s="25">
        <v>10</v>
      </c>
      <c r="O27" s="25">
        <v>10</v>
      </c>
      <c r="P27" s="25">
        <v>10</v>
      </c>
      <c r="Q27" s="25">
        <v>10</v>
      </c>
      <c r="R27" s="25">
        <v>10</v>
      </c>
      <c r="S27" s="25">
        <v>10</v>
      </c>
      <c r="T27" s="25">
        <v>10</v>
      </c>
      <c r="U27" s="25">
        <v>10</v>
      </c>
      <c r="V27" s="25">
        <v>10</v>
      </c>
      <c r="W27" s="25">
        <v>10</v>
      </c>
      <c r="X27" s="25">
        <v>10</v>
      </c>
      <c r="Y27" s="25">
        <v>10</v>
      </c>
      <c r="Z27" s="25">
        <v>10</v>
      </c>
      <c r="AA27" s="25">
        <v>10</v>
      </c>
      <c r="AB27" s="25">
        <v>10</v>
      </c>
      <c r="AC27" s="25">
        <v>10</v>
      </c>
      <c r="AD27" s="25">
        <v>10</v>
      </c>
      <c r="AE27" s="25">
        <v>10</v>
      </c>
      <c r="AF27" s="25">
        <v>10</v>
      </c>
      <c r="AG27" s="25">
        <v>10</v>
      </c>
      <c r="AH27" s="25">
        <v>10</v>
      </c>
      <c r="AI27" s="25">
        <v>10</v>
      </c>
      <c r="AJ27" s="25">
        <v>10</v>
      </c>
    </row>
    <row r="28" spans="1:36" x14ac:dyDescent="0.25">
      <c r="A28" t="s">
        <v>463</v>
      </c>
      <c r="B28" t="s">
        <v>305</v>
      </c>
      <c r="C28" s="25">
        <v>3</v>
      </c>
      <c r="D28" s="25">
        <v>3</v>
      </c>
      <c r="E28" s="25">
        <v>3</v>
      </c>
      <c r="F28" s="25">
        <v>3</v>
      </c>
      <c r="G28" s="25">
        <v>3</v>
      </c>
      <c r="H28" s="25">
        <v>3</v>
      </c>
      <c r="I28" s="25">
        <v>3</v>
      </c>
      <c r="J28" s="25">
        <v>3</v>
      </c>
      <c r="K28" s="25">
        <v>3</v>
      </c>
      <c r="L28" s="25">
        <v>3</v>
      </c>
      <c r="M28" s="25">
        <v>3</v>
      </c>
      <c r="N28" s="25">
        <v>3</v>
      </c>
      <c r="O28" s="25">
        <v>3</v>
      </c>
      <c r="P28" s="25">
        <v>3</v>
      </c>
      <c r="Q28" s="25">
        <v>3</v>
      </c>
      <c r="R28" s="25">
        <v>3</v>
      </c>
      <c r="S28" s="25">
        <v>3</v>
      </c>
      <c r="T28" s="25">
        <v>3</v>
      </c>
      <c r="U28" s="25">
        <v>3</v>
      </c>
      <c r="V28" s="25">
        <v>3</v>
      </c>
      <c r="W28" s="25">
        <v>3</v>
      </c>
      <c r="X28" s="25">
        <v>3</v>
      </c>
      <c r="Y28" s="25">
        <v>3</v>
      </c>
      <c r="Z28" s="25">
        <v>3</v>
      </c>
      <c r="AA28" s="25">
        <v>3</v>
      </c>
      <c r="AB28" s="25">
        <v>3</v>
      </c>
      <c r="AC28" s="25">
        <v>3</v>
      </c>
      <c r="AD28" s="25">
        <v>3</v>
      </c>
      <c r="AE28" s="25">
        <v>3</v>
      </c>
      <c r="AF28" s="25">
        <v>3</v>
      </c>
      <c r="AG28" s="25">
        <v>3</v>
      </c>
      <c r="AH28" s="25">
        <v>3</v>
      </c>
      <c r="AI28" s="25">
        <v>3</v>
      </c>
      <c r="AJ28" s="25">
        <v>3</v>
      </c>
    </row>
    <row r="29" spans="1:36" x14ac:dyDescent="0.25">
      <c r="A29" t="s">
        <v>464</v>
      </c>
      <c r="B29" t="s">
        <v>305</v>
      </c>
      <c r="C29" s="25">
        <v>0</v>
      </c>
      <c r="D29" s="25">
        <v>0</v>
      </c>
      <c r="E29" s="25">
        <v>0</v>
      </c>
      <c r="F29" s="25">
        <v>0</v>
      </c>
      <c r="G29" s="25">
        <v>0</v>
      </c>
      <c r="H29" s="25">
        <v>0</v>
      </c>
      <c r="I29" s="25">
        <v>0</v>
      </c>
      <c r="J29" s="25">
        <v>0</v>
      </c>
      <c r="K29" s="25">
        <v>0</v>
      </c>
      <c r="L29" s="25">
        <v>0</v>
      </c>
      <c r="M29" s="25">
        <v>0</v>
      </c>
      <c r="N29" s="25">
        <v>0</v>
      </c>
      <c r="O29" s="25">
        <v>0</v>
      </c>
      <c r="P29" s="25">
        <v>0</v>
      </c>
      <c r="Q29" s="25">
        <v>0</v>
      </c>
      <c r="R29" s="25">
        <v>0</v>
      </c>
      <c r="S29" s="25">
        <v>0</v>
      </c>
      <c r="T29" s="25">
        <v>0</v>
      </c>
      <c r="U29" s="25">
        <v>0</v>
      </c>
      <c r="V29" s="25">
        <v>0</v>
      </c>
      <c r="W29" s="25">
        <v>0</v>
      </c>
      <c r="X29" s="25">
        <v>0</v>
      </c>
      <c r="Y29" s="25">
        <v>0</v>
      </c>
      <c r="Z29" s="25">
        <v>0</v>
      </c>
      <c r="AA29" s="25">
        <v>0</v>
      </c>
      <c r="AB29" s="25">
        <v>0</v>
      </c>
      <c r="AC29" s="25">
        <v>0</v>
      </c>
      <c r="AD29" s="25">
        <v>0</v>
      </c>
      <c r="AE29" s="25">
        <v>0</v>
      </c>
      <c r="AF29" s="25">
        <v>0</v>
      </c>
      <c r="AG29" s="25">
        <v>0</v>
      </c>
      <c r="AH29" s="25">
        <v>0</v>
      </c>
      <c r="AI29" s="25">
        <v>0</v>
      </c>
      <c r="AJ29" s="25">
        <v>0</v>
      </c>
    </row>
    <row r="30" spans="1:36" x14ac:dyDescent="0.25">
      <c r="A30" t="s">
        <v>465</v>
      </c>
      <c r="B30" t="s">
        <v>305</v>
      </c>
      <c r="C30" s="25">
        <v>8</v>
      </c>
      <c r="D30" s="25">
        <v>8</v>
      </c>
      <c r="E30" s="25">
        <v>8</v>
      </c>
      <c r="F30" s="25">
        <v>8</v>
      </c>
      <c r="G30" s="25">
        <v>8</v>
      </c>
      <c r="H30" s="25">
        <v>8</v>
      </c>
      <c r="I30" s="25">
        <v>8</v>
      </c>
      <c r="J30" s="25">
        <v>8</v>
      </c>
      <c r="K30" s="25">
        <v>8</v>
      </c>
      <c r="L30" s="25">
        <v>8</v>
      </c>
      <c r="M30" s="25">
        <v>8</v>
      </c>
      <c r="N30" s="25">
        <v>8</v>
      </c>
      <c r="O30" s="25">
        <v>8</v>
      </c>
      <c r="P30" s="25">
        <v>8</v>
      </c>
      <c r="Q30" s="25">
        <v>8</v>
      </c>
      <c r="R30" s="25">
        <v>8</v>
      </c>
      <c r="S30" s="25">
        <v>8</v>
      </c>
      <c r="T30" s="25">
        <v>8</v>
      </c>
      <c r="U30" s="25">
        <v>8</v>
      </c>
      <c r="V30" s="25">
        <v>8</v>
      </c>
      <c r="W30" s="25">
        <v>8</v>
      </c>
      <c r="X30" s="25">
        <v>8</v>
      </c>
      <c r="Y30" s="25">
        <v>8</v>
      </c>
      <c r="Z30" s="25">
        <v>8</v>
      </c>
      <c r="AA30" s="25">
        <v>8</v>
      </c>
      <c r="AB30" s="25">
        <v>8</v>
      </c>
      <c r="AC30" s="25">
        <v>8</v>
      </c>
      <c r="AD30" s="25">
        <v>8</v>
      </c>
      <c r="AE30" s="25">
        <v>8</v>
      </c>
      <c r="AF30" s="25">
        <v>8</v>
      </c>
      <c r="AG30" s="25">
        <v>8</v>
      </c>
      <c r="AH30" s="25">
        <v>8</v>
      </c>
      <c r="AI30" s="25">
        <v>8</v>
      </c>
      <c r="AJ30" s="25">
        <v>8</v>
      </c>
    </row>
    <row r="31" spans="1:36" x14ac:dyDescent="0.25">
      <c r="A31" t="s">
        <v>466</v>
      </c>
      <c r="B31" t="s">
        <v>305</v>
      </c>
      <c r="C31" s="25">
        <v>0</v>
      </c>
      <c r="D31" s="25">
        <v>0</v>
      </c>
      <c r="E31" s="25">
        <v>0</v>
      </c>
      <c r="F31" s="25">
        <v>0</v>
      </c>
      <c r="G31" s="25">
        <v>0</v>
      </c>
      <c r="H31" s="25">
        <v>0</v>
      </c>
      <c r="I31" s="25">
        <v>0</v>
      </c>
      <c r="J31" s="25">
        <v>0</v>
      </c>
      <c r="K31" s="25">
        <v>0</v>
      </c>
      <c r="L31" s="25">
        <v>0</v>
      </c>
      <c r="M31" s="25">
        <v>0</v>
      </c>
      <c r="N31" s="25">
        <v>0</v>
      </c>
      <c r="O31" s="25">
        <v>0</v>
      </c>
      <c r="P31" s="25">
        <v>0</v>
      </c>
      <c r="Q31" s="25">
        <v>0</v>
      </c>
      <c r="R31" s="25">
        <v>0</v>
      </c>
      <c r="S31" s="25">
        <v>0</v>
      </c>
      <c r="T31" s="25">
        <v>0</v>
      </c>
      <c r="U31" s="25">
        <v>0</v>
      </c>
      <c r="V31" s="25">
        <v>0</v>
      </c>
      <c r="W31" s="25">
        <v>0</v>
      </c>
      <c r="X31" s="25">
        <v>0</v>
      </c>
      <c r="Y31" s="25">
        <v>0</v>
      </c>
      <c r="Z31" s="25">
        <v>0</v>
      </c>
      <c r="AA31" s="25">
        <v>0</v>
      </c>
      <c r="AB31" s="25">
        <v>0</v>
      </c>
      <c r="AC31" s="25">
        <v>0</v>
      </c>
      <c r="AD31" s="25">
        <v>0</v>
      </c>
      <c r="AE31" s="25">
        <v>0</v>
      </c>
      <c r="AF31" s="25">
        <v>0</v>
      </c>
      <c r="AG31" s="25">
        <v>0</v>
      </c>
      <c r="AH31" s="25">
        <v>0</v>
      </c>
      <c r="AI31" s="25">
        <v>0</v>
      </c>
      <c r="AJ31" s="25">
        <v>0</v>
      </c>
    </row>
    <row r="32" spans="1:36" x14ac:dyDescent="0.25">
      <c r="A32" t="s">
        <v>467</v>
      </c>
      <c r="B32" t="s">
        <v>305</v>
      </c>
      <c r="C32" s="25">
        <v>0</v>
      </c>
      <c r="D32" s="25">
        <v>0</v>
      </c>
      <c r="E32" s="25">
        <v>0</v>
      </c>
      <c r="F32" s="25">
        <v>0</v>
      </c>
      <c r="G32" s="25">
        <v>0</v>
      </c>
      <c r="H32" s="25">
        <v>0</v>
      </c>
      <c r="I32" s="25">
        <v>0</v>
      </c>
      <c r="J32" s="25">
        <v>0</v>
      </c>
      <c r="K32" s="25">
        <v>0</v>
      </c>
      <c r="L32" s="25">
        <v>0</v>
      </c>
      <c r="M32" s="25">
        <v>0</v>
      </c>
      <c r="N32" s="25">
        <v>0</v>
      </c>
      <c r="O32" s="25">
        <v>0</v>
      </c>
      <c r="P32" s="25">
        <v>0</v>
      </c>
      <c r="Q32" s="25">
        <v>0</v>
      </c>
      <c r="R32" s="25">
        <v>0</v>
      </c>
      <c r="S32" s="25">
        <v>0</v>
      </c>
      <c r="T32" s="25">
        <v>0</v>
      </c>
      <c r="U32" s="25">
        <v>0</v>
      </c>
      <c r="V32" s="25">
        <v>0</v>
      </c>
      <c r="W32" s="25">
        <v>0</v>
      </c>
      <c r="X32" s="25">
        <v>0</v>
      </c>
      <c r="Y32" s="25">
        <v>0</v>
      </c>
      <c r="Z32" s="25">
        <v>0</v>
      </c>
      <c r="AA32" s="25">
        <v>0</v>
      </c>
      <c r="AB32" s="25">
        <v>0</v>
      </c>
      <c r="AC32" s="25">
        <v>0</v>
      </c>
      <c r="AD32" s="25">
        <v>0</v>
      </c>
      <c r="AE32" s="25">
        <v>0</v>
      </c>
      <c r="AF32" s="25">
        <v>0</v>
      </c>
      <c r="AG32" s="25">
        <v>0</v>
      </c>
      <c r="AH32" s="25">
        <v>0</v>
      </c>
      <c r="AI32" s="25">
        <v>0</v>
      </c>
      <c r="AJ32" s="25">
        <v>0</v>
      </c>
    </row>
    <row r="33" spans="1:36" x14ac:dyDescent="0.25">
      <c r="A33" t="s">
        <v>468</v>
      </c>
      <c r="B33" t="s">
        <v>305</v>
      </c>
      <c r="C33" s="25">
        <v>60</v>
      </c>
      <c r="D33" s="25">
        <v>60</v>
      </c>
      <c r="E33" s="25">
        <v>60</v>
      </c>
      <c r="F33" s="25">
        <v>60</v>
      </c>
      <c r="G33" s="25">
        <v>60</v>
      </c>
      <c r="H33" s="25">
        <v>60</v>
      </c>
      <c r="I33" s="25">
        <v>60</v>
      </c>
      <c r="J33" s="25">
        <v>60</v>
      </c>
      <c r="K33" s="25">
        <v>60</v>
      </c>
      <c r="L33" s="25">
        <v>60</v>
      </c>
      <c r="M33" s="25">
        <v>60</v>
      </c>
      <c r="N33" s="25">
        <v>60</v>
      </c>
      <c r="O33" s="25">
        <v>60</v>
      </c>
      <c r="P33" s="25">
        <v>60</v>
      </c>
      <c r="Q33" s="25">
        <v>60</v>
      </c>
      <c r="R33" s="25">
        <v>60</v>
      </c>
      <c r="S33" s="25">
        <v>60</v>
      </c>
      <c r="T33" s="25">
        <v>60</v>
      </c>
      <c r="U33" s="25">
        <v>60</v>
      </c>
      <c r="V33" s="25">
        <v>60</v>
      </c>
      <c r="W33" s="25">
        <v>60</v>
      </c>
      <c r="X33" s="25">
        <v>60</v>
      </c>
      <c r="Y33" s="25">
        <v>60</v>
      </c>
      <c r="Z33" s="25">
        <v>60</v>
      </c>
      <c r="AA33" s="25">
        <v>60</v>
      </c>
      <c r="AB33" s="25">
        <v>60</v>
      </c>
      <c r="AC33" s="25">
        <v>60</v>
      </c>
      <c r="AD33" s="25">
        <v>60</v>
      </c>
      <c r="AE33" s="25">
        <v>60</v>
      </c>
      <c r="AF33" s="25">
        <v>60</v>
      </c>
      <c r="AG33" s="25">
        <v>60</v>
      </c>
      <c r="AH33" s="25">
        <v>60</v>
      </c>
      <c r="AI33" s="25">
        <v>60</v>
      </c>
      <c r="AJ33" s="25">
        <v>60</v>
      </c>
    </row>
    <row r="34" spans="1:36" x14ac:dyDescent="0.25">
      <c r="A34" t="s">
        <v>753</v>
      </c>
      <c r="B34" t="s">
        <v>305</v>
      </c>
      <c r="C34" s="25">
        <v>0</v>
      </c>
      <c r="D34" s="25">
        <v>0</v>
      </c>
      <c r="E34" s="25">
        <v>0</v>
      </c>
      <c r="F34" s="25">
        <v>0</v>
      </c>
      <c r="G34" s="25">
        <v>0</v>
      </c>
      <c r="H34" s="25">
        <v>0</v>
      </c>
      <c r="I34" s="25">
        <v>0</v>
      </c>
      <c r="J34" s="25">
        <v>0</v>
      </c>
      <c r="K34" s="25">
        <v>0</v>
      </c>
      <c r="L34" s="25">
        <v>0</v>
      </c>
      <c r="M34" s="25">
        <v>0</v>
      </c>
      <c r="N34" s="25">
        <v>0</v>
      </c>
      <c r="O34" s="25">
        <v>0</v>
      </c>
      <c r="P34" s="25">
        <v>0</v>
      </c>
      <c r="Q34" s="25">
        <v>0</v>
      </c>
      <c r="R34" s="25">
        <v>0</v>
      </c>
      <c r="S34" s="25">
        <v>0</v>
      </c>
      <c r="T34" s="25">
        <v>0</v>
      </c>
      <c r="U34" s="25">
        <v>0</v>
      </c>
      <c r="V34" s="25">
        <v>0</v>
      </c>
      <c r="W34" s="25">
        <v>0</v>
      </c>
      <c r="X34" s="25">
        <v>0</v>
      </c>
      <c r="Y34" s="25">
        <v>0</v>
      </c>
      <c r="Z34" s="25">
        <v>0</v>
      </c>
      <c r="AA34" s="25">
        <v>0</v>
      </c>
      <c r="AB34" s="25">
        <v>0</v>
      </c>
      <c r="AC34" s="25">
        <v>0</v>
      </c>
      <c r="AD34" s="25">
        <v>0</v>
      </c>
      <c r="AE34" s="25">
        <v>0</v>
      </c>
      <c r="AF34" s="25">
        <v>0</v>
      </c>
      <c r="AG34" s="25">
        <v>0</v>
      </c>
      <c r="AH34" s="25">
        <v>0</v>
      </c>
      <c r="AI34" s="25">
        <v>0</v>
      </c>
      <c r="AJ34" s="25">
        <v>0</v>
      </c>
    </row>
    <row r="35" spans="1:36" s="78" customFormat="1" x14ac:dyDescent="0.25">
      <c r="A35" s="78" t="s">
        <v>780</v>
      </c>
      <c r="C35" s="79">
        <f>+SUM(C24:C34)</f>
        <v>100</v>
      </c>
      <c r="D35" s="79">
        <f t="shared" ref="D35" si="1">+SUM(D24:D34)</f>
        <v>100</v>
      </c>
      <c r="E35" s="79">
        <f t="shared" ref="E35" si="2">+SUM(E24:E34)</f>
        <v>100</v>
      </c>
      <c r="F35" s="79">
        <f t="shared" ref="F35" si="3">+SUM(F24:F34)</f>
        <v>100</v>
      </c>
      <c r="G35" s="79">
        <f t="shared" ref="G35" si="4">+SUM(G24:G34)</f>
        <v>100</v>
      </c>
      <c r="H35" s="79">
        <f t="shared" ref="H35" si="5">+SUM(H24:H34)</f>
        <v>100</v>
      </c>
      <c r="I35" s="79">
        <f t="shared" ref="I35" si="6">+SUM(I24:I34)</f>
        <v>100</v>
      </c>
      <c r="J35" s="79">
        <f t="shared" ref="J35" si="7">+SUM(J24:J34)</f>
        <v>100</v>
      </c>
      <c r="K35" s="79">
        <f t="shared" ref="K35" si="8">+SUM(K24:K34)</f>
        <v>100</v>
      </c>
      <c r="L35" s="79">
        <f t="shared" ref="L35" si="9">+SUM(L24:L34)</f>
        <v>100</v>
      </c>
      <c r="M35" s="79">
        <f t="shared" ref="M35" si="10">+SUM(M24:M34)</f>
        <v>100</v>
      </c>
      <c r="N35" s="79">
        <f t="shared" ref="N35" si="11">+SUM(N24:N34)</f>
        <v>100</v>
      </c>
      <c r="O35" s="79">
        <f t="shared" ref="O35" si="12">+SUM(O24:O34)</f>
        <v>100</v>
      </c>
      <c r="P35" s="79">
        <f t="shared" ref="P35" si="13">+SUM(P24:P34)</f>
        <v>100</v>
      </c>
      <c r="Q35" s="79">
        <f t="shared" ref="Q35" si="14">+SUM(Q24:Q34)</f>
        <v>100</v>
      </c>
      <c r="R35" s="79">
        <f t="shared" ref="R35" si="15">+SUM(R24:R34)</f>
        <v>100</v>
      </c>
      <c r="S35" s="79">
        <f t="shared" ref="S35" si="16">+SUM(S24:S34)</f>
        <v>100</v>
      </c>
      <c r="T35" s="79">
        <f t="shared" ref="T35" si="17">+SUM(T24:T34)</f>
        <v>100</v>
      </c>
      <c r="U35" s="79">
        <f t="shared" ref="U35" si="18">+SUM(U24:U34)</f>
        <v>100</v>
      </c>
      <c r="V35" s="79">
        <f t="shared" ref="V35" si="19">+SUM(V24:V34)</f>
        <v>100</v>
      </c>
      <c r="W35" s="79">
        <f t="shared" ref="W35" si="20">+SUM(W24:W34)</f>
        <v>100</v>
      </c>
      <c r="X35" s="79">
        <f t="shared" ref="X35" si="21">+SUM(X24:X34)</f>
        <v>100</v>
      </c>
      <c r="Y35" s="79">
        <f t="shared" ref="Y35" si="22">+SUM(Y24:Y34)</f>
        <v>100</v>
      </c>
      <c r="Z35" s="79">
        <f t="shared" ref="Z35" si="23">+SUM(Z24:Z34)</f>
        <v>100</v>
      </c>
      <c r="AA35" s="79">
        <f t="shared" ref="AA35" si="24">+SUM(AA24:AA34)</f>
        <v>100</v>
      </c>
      <c r="AB35" s="79">
        <f t="shared" ref="AB35" si="25">+SUM(AB24:AB34)</f>
        <v>100</v>
      </c>
      <c r="AC35" s="79">
        <f t="shared" ref="AC35" si="26">+SUM(AC24:AC34)</f>
        <v>100</v>
      </c>
      <c r="AD35" s="79">
        <f t="shared" ref="AD35" si="27">+SUM(AD24:AD34)</f>
        <v>100</v>
      </c>
      <c r="AE35" s="79">
        <f t="shared" ref="AE35" si="28">+SUM(AE24:AE34)</f>
        <v>100</v>
      </c>
      <c r="AF35" s="79">
        <f t="shared" ref="AF35" si="29">+SUM(AF24:AF34)</f>
        <v>100</v>
      </c>
      <c r="AG35" s="79">
        <f t="shared" ref="AG35" si="30">+SUM(AG24:AG34)</f>
        <v>100</v>
      </c>
      <c r="AH35" s="79">
        <f t="shared" ref="AH35" si="31">+SUM(AH24:AH34)</f>
        <v>100</v>
      </c>
      <c r="AI35" s="79">
        <f t="shared" ref="AI35" si="32">+SUM(AI24:AI34)</f>
        <v>100</v>
      </c>
      <c r="AJ35" s="79">
        <f t="shared" ref="AJ35" si="33">+SUM(AJ24:AJ34)</f>
        <v>100</v>
      </c>
    </row>
    <row r="36" spans="1:36" x14ac:dyDescent="0.25">
      <c r="A36" t="s">
        <v>469</v>
      </c>
      <c r="B36" t="s">
        <v>305</v>
      </c>
      <c r="C36" s="25">
        <v>0</v>
      </c>
      <c r="D36" s="25">
        <v>0</v>
      </c>
      <c r="E36" s="25">
        <v>0</v>
      </c>
      <c r="F36" s="25">
        <v>0</v>
      </c>
      <c r="G36" s="25">
        <v>0</v>
      </c>
      <c r="H36" s="25">
        <v>0</v>
      </c>
      <c r="I36" s="25">
        <v>0</v>
      </c>
      <c r="J36" s="25">
        <v>0</v>
      </c>
      <c r="K36" s="25">
        <v>0</v>
      </c>
      <c r="L36" s="25">
        <v>0</v>
      </c>
      <c r="M36" s="25">
        <v>0</v>
      </c>
      <c r="N36" s="25">
        <v>0</v>
      </c>
      <c r="O36" s="25">
        <v>0</v>
      </c>
      <c r="P36" s="25">
        <v>0</v>
      </c>
      <c r="Q36" s="25">
        <v>0</v>
      </c>
      <c r="R36" s="25">
        <v>0</v>
      </c>
      <c r="S36" s="25">
        <v>0</v>
      </c>
      <c r="T36" s="25">
        <v>0</v>
      </c>
      <c r="U36" s="25">
        <v>0</v>
      </c>
      <c r="V36" s="25">
        <v>0</v>
      </c>
      <c r="W36" s="25">
        <v>0</v>
      </c>
      <c r="X36" s="25">
        <v>0</v>
      </c>
      <c r="Y36" s="25">
        <v>0</v>
      </c>
      <c r="Z36" s="25">
        <v>0</v>
      </c>
      <c r="AA36" s="25">
        <v>0</v>
      </c>
      <c r="AB36" s="25">
        <v>0</v>
      </c>
      <c r="AC36" s="25">
        <v>0</v>
      </c>
      <c r="AD36" s="25">
        <v>0</v>
      </c>
      <c r="AE36" s="25">
        <v>0</v>
      </c>
      <c r="AF36" s="25">
        <v>0</v>
      </c>
      <c r="AG36" s="25">
        <v>0</v>
      </c>
      <c r="AH36" s="25">
        <v>0</v>
      </c>
      <c r="AI36" s="25">
        <v>0</v>
      </c>
      <c r="AJ36" s="25">
        <v>0</v>
      </c>
    </row>
    <row r="37" spans="1:36" x14ac:dyDescent="0.25">
      <c r="A37" t="s">
        <v>470</v>
      </c>
      <c r="B37" t="s">
        <v>305</v>
      </c>
      <c r="C37" s="25">
        <v>0</v>
      </c>
      <c r="D37" s="25">
        <v>0</v>
      </c>
      <c r="E37" s="25">
        <v>0</v>
      </c>
      <c r="F37" s="25">
        <v>0</v>
      </c>
      <c r="G37" s="25">
        <v>0</v>
      </c>
      <c r="H37" s="25">
        <v>0</v>
      </c>
      <c r="I37" s="25">
        <v>0</v>
      </c>
      <c r="J37" s="25">
        <v>0</v>
      </c>
      <c r="K37" s="25">
        <v>0</v>
      </c>
      <c r="L37" s="25">
        <v>0</v>
      </c>
      <c r="M37" s="25">
        <v>0</v>
      </c>
      <c r="N37" s="25">
        <v>0</v>
      </c>
      <c r="O37" s="25">
        <v>0</v>
      </c>
      <c r="P37" s="25">
        <v>0</v>
      </c>
      <c r="Q37" s="25">
        <v>0</v>
      </c>
      <c r="R37" s="25">
        <v>0</v>
      </c>
      <c r="S37" s="25">
        <v>0</v>
      </c>
      <c r="T37" s="25">
        <v>0</v>
      </c>
      <c r="U37" s="25">
        <v>0</v>
      </c>
      <c r="V37" s="25">
        <v>0</v>
      </c>
      <c r="W37" s="25">
        <v>0</v>
      </c>
      <c r="X37" s="25">
        <v>0</v>
      </c>
      <c r="Y37" s="25">
        <v>0</v>
      </c>
      <c r="Z37" s="25">
        <v>0</v>
      </c>
      <c r="AA37" s="25">
        <v>0</v>
      </c>
      <c r="AB37" s="25">
        <v>0</v>
      </c>
      <c r="AC37" s="25">
        <v>0</v>
      </c>
      <c r="AD37" s="25">
        <v>0</v>
      </c>
      <c r="AE37" s="25">
        <v>0</v>
      </c>
      <c r="AF37" s="25">
        <v>0</v>
      </c>
      <c r="AG37" s="25">
        <v>0</v>
      </c>
      <c r="AH37" s="25">
        <v>0</v>
      </c>
      <c r="AI37" s="25">
        <v>0</v>
      </c>
      <c r="AJ37" s="25">
        <v>0</v>
      </c>
    </row>
    <row r="38" spans="1:36" x14ac:dyDescent="0.25">
      <c r="A38" t="s">
        <v>471</v>
      </c>
      <c r="B38" t="s">
        <v>305</v>
      </c>
      <c r="C38" s="25">
        <v>0</v>
      </c>
      <c r="D38" s="25">
        <v>0</v>
      </c>
      <c r="E38" s="25">
        <v>0</v>
      </c>
      <c r="F38" s="25">
        <v>0</v>
      </c>
      <c r="G38" s="25">
        <v>0</v>
      </c>
      <c r="H38" s="25">
        <v>0</v>
      </c>
      <c r="I38" s="25">
        <v>0</v>
      </c>
      <c r="J38" s="25">
        <v>0</v>
      </c>
      <c r="K38" s="25">
        <v>0</v>
      </c>
      <c r="L38" s="25">
        <v>0</v>
      </c>
      <c r="M38" s="25">
        <v>0</v>
      </c>
      <c r="N38" s="25">
        <v>0</v>
      </c>
      <c r="O38" s="25">
        <v>0</v>
      </c>
      <c r="P38" s="25">
        <v>0</v>
      </c>
      <c r="Q38" s="25">
        <v>0</v>
      </c>
      <c r="R38" s="25">
        <v>0</v>
      </c>
      <c r="S38" s="25">
        <v>0</v>
      </c>
      <c r="T38" s="25">
        <v>0</v>
      </c>
      <c r="U38" s="25">
        <v>0</v>
      </c>
      <c r="V38" s="25">
        <v>0</v>
      </c>
      <c r="W38" s="25">
        <v>0</v>
      </c>
      <c r="X38" s="25">
        <v>0</v>
      </c>
      <c r="Y38" s="25">
        <v>0</v>
      </c>
      <c r="Z38" s="25">
        <v>0</v>
      </c>
      <c r="AA38" s="25">
        <v>0</v>
      </c>
      <c r="AB38" s="25">
        <v>0</v>
      </c>
      <c r="AC38" s="25">
        <v>0</v>
      </c>
      <c r="AD38" s="25">
        <v>0</v>
      </c>
      <c r="AE38" s="25">
        <v>0</v>
      </c>
      <c r="AF38" s="25">
        <v>0</v>
      </c>
      <c r="AG38" s="25">
        <v>0</v>
      </c>
      <c r="AH38" s="25">
        <v>0</v>
      </c>
      <c r="AI38" s="25">
        <v>0</v>
      </c>
      <c r="AJ38" s="25">
        <v>0</v>
      </c>
    </row>
    <row r="39" spans="1:36" x14ac:dyDescent="0.25">
      <c r="A39" t="s">
        <v>472</v>
      </c>
      <c r="B39" t="s">
        <v>305</v>
      </c>
      <c r="C39" s="25">
        <v>2</v>
      </c>
      <c r="D39" s="25">
        <v>2</v>
      </c>
      <c r="E39" s="25">
        <v>2</v>
      </c>
      <c r="F39" s="25">
        <v>2</v>
      </c>
      <c r="G39" s="25">
        <v>2</v>
      </c>
      <c r="H39" s="25">
        <v>2</v>
      </c>
      <c r="I39" s="25">
        <v>2</v>
      </c>
      <c r="J39" s="25">
        <v>2</v>
      </c>
      <c r="K39" s="25">
        <v>2</v>
      </c>
      <c r="L39" s="25">
        <v>2</v>
      </c>
      <c r="M39" s="25">
        <v>2</v>
      </c>
      <c r="N39" s="25">
        <v>2</v>
      </c>
      <c r="O39" s="25">
        <v>2</v>
      </c>
      <c r="P39" s="25">
        <v>2</v>
      </c>
      <c r="Q39" s="25">
        <v>2</v>
      </c>
      <c r="R39" s="25">
        <v>2</v>
      </c>
      <c r="S39" s="25">
        <v>2</v>
      </c>
      <c r="T39" s="25">
        <v>2</v>
      </c>
      <c r="U39" s="25">
        <v>2</v>
      </c>
      <c r="V39" s="25">
        <v>2</v>
      </c>
      <c r="W39" s="25">
        <v>2</v>
      </c>
      <c r="X39" s="25">
        <v>2</v>
      </c>
      <c r="Y39" s="25">
        <v>2</v>
      </c>
      <c r="Z39" s="25">
        <v>2</v>
      </c>
      <c r="AA39" s="25">
        <v>2</v>
      </c>
      <c r="AB39" s="25">
        <v>2</v>
      </c>
      <c r="AC39" s="25">
        <v>2</v>
      </c>
      <c r="AD39" s="25">
        <v>2</v>
      </c>
      <c r="AE39" s="25">
        <v>2</v>
      </c>
      <c r="AF39" s="25">
        <v>2</v>
      </c>
      <c r="AG39" s="25">
        <v>2</v>
      </c>
      <c r="AH39" s="25">
        <v>2</v>
      </c>
      <c r="AI39" s="25">
        <v>2</v>
      </c>
      <c r="AJ39" s="25">
        <v>2</v>
      </c>
    </row>
    <row r="40" spans="1:36" x14ac:dyDescent="0.25">
      <c r="A40" t="s">
        <v>473</v>
      </c>
      <c r="B40" t="s">
        <v>305</v>
      </c>
      <c r="C40" s="25">
        <v>1</v>
      </c>
      <c r="D40" s="25">
        <v>1</v>
      </c>
      <c r="E40" s="25">
        <v>1</v>
      </c>
      <c r="F40" s="25">
        <v>1</v>
      </c>
      <c r="G40" s="25">
        <v>1</v>
      </c>
      <c r="H40" s="25">
        <v>1</v>
      </c>
      <c r="I40" s="25">
        <v>1</v>
      </c>
      <c r="J40" s="25">
        <v>1</v>
      </c>
      <c r="K40" s="25">
        <v>1</v>
      </c>
      <c r="L40" s="25">
        <v>1</v>
      </c>
      <c r="M40" s="25">
        <v>1</v>
      </c>
      <c r="N40" s="25">
        <v>1</v>
      </c>
      <c r="O40" s="25">
        <v>1</v>
      </c>
      <c r="P40" s="25">
        <v>1</v>
      </c>
      <c r="Q40" s="25">
        <v>1</v>
      </c>
      <c r="R40" s="25">
        <v>1</v>
      </c>
      <c r="S40" s="25">
        <v>1</v>
      </c>
      <c r="T40" s="25">
        <v>1</v>
      </c>
      <c r="U40" s="25">
        <v>1</v>
      </c>
      <c r="V40" s="25">
        <v>1</v>
      </c>
      <c r="W40" s="25">
        <v>1</v>
      </c>
      <c r="X40" s="25">
        <v>1</v>
      </c>
      <c r="Y40" s="25">
        <v>1</v>
      </c>
      <c r="Z40" s="25">
        <v>1</v>
      </c>
      <c r="AA40" s="25">
        <v>1</v>
      </c>
      <c r="AB40" s="25">
        <v>1</v>
      </c>
      <c r="AC40" s="25">
        <v>1</v>
      </c>
      <c r="AD40" s="25">
        <v>1</v>
      </c>
      <c r="AE40" s="25">
        <v>1</v>
      </c>
      <c r="AF40" s="25">
        <v>1</v>
      </c>
      <c r="AG40" s="25">
        <v>1</v>
      </c>
      <c r="AH40" s="25">
        <v>1</v>
      </c>
      <c r="AI40" s="25">
        <v>1</v>
      </c>
      <c r="AJ40" s="25">
        <v>1</v>
      </c>
    </row>
    <row r="41" spans="1:36" x14ac:dyDescent="0.25">
      <c r="A41" t="s">
        <v>474</v>
      </c>
      <c r="B41" t="s">
        <v>305</v>
      </c>
      <c r="C41" s="25">
        <v>0</v>
      </c>
      <c r="D41" s="25">
        <v>0</v>
      </c>
      <c r="E41" s="25">
        <v>0</v>
      </c>
      <c r="F41" s="25">
        <v>0</v>
      </c>
      <c r="G41" s="25">
        <v>0</v>
      </c>
      <c r="H41" s="25">
        <v>0</v>
      </c>
      <c r="I41" s="25">
        <v>0</v>
      </c>
      <c r="J41" s="25">
        <v>0</v>
      </c>
      <c r="K41" s="25">
        <v>0</v>
      </c>
      <c r="L41" s="25">
        <v>0</v>
      </c>
      <c r="M41" s="25">
        <v>0</v>
      </c>
      <c r="N41" s="25">
        <v>0</v>
      </c>
      <c r="O41" s="25">
        <v>0</v>
      </c>
      <c r="P41" s="25">
        <v>0</v>
      </c>
      <c r="Q41" s="25">
        <v>0</v>
      </c>
      <c r="R41" s="25">
        <v>0</v>
      </c>
      <c r="S41" s="25">
        <v>0</v>
      </c>
      <c r="T41" s="25">
        <v>0</v>
      </c>
      <c r="U41" s="25">
        <v>0</v>
      </c>
      <c r="V41" s="25">
        <v>0</v>
      </c>
      <c r="W41" s="25">
        <v>0</v>
      </c>
      <c r="X41" s="25">
        <v>0</v>
      </c>
      <c r="Y41" s="25">
        <v>0</v>
      </c>
      <c r="Z41" s="25">
        <v>0</v>
      </c>
      <c r="AA41" s="25">
        <v>0</v>
      </c>
      <c r="AB41" s="25">
        <v>0</v>
      </c>
      <c r="AC41" s="25">
        <v>0</v>
      </c>
      <c r="AD41" s="25">
        <v>0</v>
      </c>
      <c r="AE41" s="25">
        <v>0</v>
      </c>
      <c r="AF41" s="25">
        <v>0</v>
      </c>
      <c r="AG41" s="25">
        <v>0</v>
      </c>
      <c r="AH41" s="25">
        <v>0</v>
      </c>
      <c r="AI41" s="25">
        <v>0</v>
      </c>
      <c r="AJ41" s="25">
        <v>0</v>
      </c>
    </row>
    <row r="42" spans="1:36" x14ac:dyDescent="0.25">
      <c r="A42" t="s">
        <v>475</v>
      </c>
      <c r="B42" t="s">
        <v>305</v>
      </c>
      <c r="C42" s="25">
        <v>2</v>
      </c>
      <c r="D42" s="25">
        <v>2</v>
      </c>
      <c r="E42" s="25">
        <v>2</v>
      </c>
      <c r="F42" s="25">
        <v>2</v>
      </c>
      <c r="G42" s="25">
        <v>2</v>
      </c>
      <c r="H42" s="25">
        <v>2</v>
      </c>
      <c r="I42" s="25">
        <v>2</v>
      </c>
      <c r="J42" s="25">
        <v>2</v>
      </c>
      <c r="K42" s="25">
        <v>2</v>
      </c>
      <c r="L42" s="25">
        <v>2</v>
      </c>
      <c r="M42" s="25">
        <v>2</v>
      </c>
      <c r="N42" s="25">
        <v>2</v>
      </c>
      <c r="O42" s="25">
        <v>2</v>
      </c>
      <c r="P42" s="25">
        <v>2</v>
      </c>
      <c r="Q42" s="25">
        <v>2</v>
      </c>
      <c r="R42" s="25">
        <v>2</v>
      </c>
      <c r="S42" s="25">
        <v>2</v>
      </c>
      <c r="T42" s="25">
        <v>2</v>
      </c>
      <c r="U42" s="25">
        <v>2</v>
      </c>
      <c r="V42" s="25">
        <v>2</v>
      </c>
      <c r="W42" s="25">
        <v>2</v>
      </c>
      <c r="X42" s="25">
        <v>2</v>
      </c>
      <c r="Y42" s="25">
        <v>2</v>
      </c>
      <c r="Z42" s="25">
        <v>2</v>
      </c>
      <c r="AA42" s="25">
        <v>2</v>
      </c>
      <c r="AB42" s="25">
        <v>2</v>
      </c>
      <c r="AC42" s="25">
        <v>2</v>
      </c>
      <c r="AD42" s="25">
        <v>2</v>
      </c>
      <c r="AE42" s="25">
        <v>2</v>
      </c>
      <c r="AF42" s="25">
        <v>2</v>
      </c>
      <c r="AG42" s="25">
        <v>2</v>
      </c>
      <c r="AH42" s="25">
        <v>2</v>
      </c>
      <c r="AI42" s="25">
        <v>2</v>
      </c>
      <c r="AJ42" s="25">
        <v>2</v>
      </c>
    </row>
    <row r="43" spans="1:36" x14ac:dyDescent="0.25">
      <c r="A43" t="s">
        <v>476</v>
      </c>
      <c r="B43" t="s">
        <v>305</v>
      </c>
      <c r="C43" s="25">
        <v>0</v>
      </c>
      <c r="D43" s="25">
        <v>0</v>
      </c>
      <c r="E43" s="25">
        <v>0</v>
      </c>
      <c r="F43" s="25">
        <v>0</v>
      </c>
      <c r="G43" s="25">
        <v>0</v>
      </c>
      <c r="H43" s="25">
        <v>0</v>
      </c>
      <c r="I43" s="25">
        <v>0</v>
      </c>
      <c r="J43" s="25">
        <v>0</v>
      </c>
      <c r="K43" s="25">
        <v>0</v>
      </c>
      <c r="L43" s="25">
        <v>0</v>
      </c>
      <c r="M43" s="25">
        <v>0</v>
      </c>
      <c r="N43" s="25">
        <v>0</v>
      </c>
      <c r="O43" s="25">
        <v>0</v>
      </c>
      <c r="P43" s="25">
        <v>0</v>
      </c>
      <c r="Q43" s="25">
        <v>0</v>
      </c>
      <c r="R43" s="25">
        <v>0</v>
      </c>
      <c r="S43" s="25">
        <v>0</v>
      </c>
      <c r="T43" s="25">
        <v>0</v>
      </c>
      <c r="U43" s="25">
        <v>0</v>
      </c>
      <c r="V43" s="25">
        <v>0</v>
      </c>
      <c r="W43" s="25">
        <v>0</v>
      </c>
      <c r="X43" s="25">
        <v>0</v>
      </c>
      <c r="Y43" s="25">
        <v>0</v>
      </c>
      <c r="Z43" s="25">
        <v>0</v>
      </c>
      <c r="AA43" s="25">
        <v>0</v>
      </c>
      <c r="AB43" s="25">
        <v>0</v>
      </c>
      <c r="AC43" s="25">
        <v>0</v>
      </c>
      <c r="AD43" s="25">
        <v>0</v>
      </c>
      <c r="AE43" s="25">
        <v>0</v>
      </c>
      <c r="AF43" s="25">
        <v>0</v>
      </c>
      <c r="AG43" s="25">
        <v>0</v>
      </c>
      <c r="AH43" s="25">
        <v>0</v>
      </c>
      <c r="AI43" s="25">
        <v>0</v>
      </c>
      <c r="AJ43" s="25">
        <v>0</v>
      </c>
    </row>
    <row r="44" spans="1:36" x14ac:dyDescent="0.25">
      <c r="A44" t="s">
        <v>477</v>
      </c>
      <c r="B44" t="s">
        <v>305</v>
      </c>
      <c r="C44" s="25">
        <v>0</v>
      </c>
      <c r="D44" s="25">
        <v>0</v>
      </c>
      <c r="E44" s="25">
        <v>0</v>
      </c>
      <c r="F44" s="25">
        <v>0</v>
      </c>
      <c r="G44" s="25">
        <v>0</v>
      </c>
      <c r="H44" s="25">
        <v>0</v>
      </c>
      <c r="I44" s="25">
        <v>0</v>
      </c>
      <c r="J44" s="25">
        <v>0</v>
      </c>
      <c r="K44" s="25">
        <v>0</v>
      </c>
      <c r="L44" s="25">
        <v>0</v>
      </c>
      <c r="M44" s="25">
        <v>0</v>
      </c>
      <c r="N44" s="25">
        <v>0</v>
      </c>
      <c r="O44" s="25">
        <v>0</v>
      </c>
      <c r="P44" s="25">
        <v>0</v>
      </c>
      <c r="Q44" s="25">
        <v>0</v>
      </c>
      <c r="R44" s="25">
        <v>0</v>
      </c>
      <c r="S44" s="25">
        <v>0</v>
      </c>
      <c r="T44" s="25">
        <v>0</v>
      </c>
      <c r="U44" s="25">
        <v>0</v>
      </c>
      <c r="V44" s="25">
        <v>0</v>
      </c>
      <c r="W44" s="25">
        <v>0</v>
      </c>
      <c r="X44" s="25">
        <v>0</v>
      </c>
      <c r="Y44" s="25">
        <v>0</v>
      </c>
      <c r="Z44" s="25">
        <v>0</v>
      </c>
      <c r="AA44" s="25">
        <v>0</v>
      </c>
      <c r="AB44" s="25">
        <v>0</v>
      </c>
      <c r="AC44" s="25">
        <v>0</v>
      </c>
      <c r="AD44" s="25">
        <v>0</v>
      </c>
      <c r="AE44" s="25">
        <v>0</v>
      </c>
      <c r="AF44" s="25">
        <v>0</v>
      </c>
      <c r="AG44" s="25">
        <v>0</v>
      </c>
      <c r="AH44" s="25">
        <v>0</v>
      </c>
      <c r="AI44" s="25">
        <v>0</v>
      </c>
      <c r="AJ44" s="25">
        <v>0</v>
      </c>
    </row>
    <row r="45" spans="1:36" x14ac:dyDescent="0.25">
      <c r="A45" t="s">
        <v>478</v>
      </c>
      <c r="B45" t="s">
        <v>305</v>
      </c>
      <c r="C45" s="25">
        <v>95</v>
      </c>
      <c r="D45" s="25">
        <v>95</v>
      </c>
      <c r="E45" s="25">
        <v>95</v>
      </c>
      <c r="F45" s="25">
        <v>95</v>
      </c>
      <c r="G45" s="25">
        <v>95</v>
      </c>
      <c r="H45" s="25">
        <v>95</v>
      </c>
      <c r="I45" s="25">
        <v>95</v>
      </c>
      <c r="J45" s="25">
        <v>95</v>
      </c>
      <c r="K45" s="25">
        <v>95</v>
      </c>
      <c r="L45" s="25">
        <v>95</v>
      </c>
      <c r="M45" s="25">
        <v>95</v>
      </c>
      <c r="N45" s="25">
        <v>95</v>
      </c>
      <c r="O45" s="25">
        <v>95</v>
      </c>
      <c r="P45" s="25">
        <v>95</v>
      </c>
      <c r="Q45" s="25">
        <v>95</v>
      </c>
      <c r="R45" s="25">
        <v>95</v>
      </c>
      <c r="S45" s="25">
        <v>95</v>
      </c>
      <c r="T45" s="25">
        <v>95</v>
      </c>
      <c r="U45" s="25">
        <v>95</v>
      </c>
      <c r="V45" s="25">
        <v>95</v>
      </c>
      <c r="W45" s="25">
        <v>95</v>
      </c>
      <c r="X45" s="25">
        <v>95</v>
      </c>
      <c r="Y45" s="25">
        <v>95</v>
      </c>
      <c r="Z45" s="25">
        <v>95</v>
      </c>
      <c r="AA45" s="25">
        <v>95</v>
      </c>
      <c r="AB45" s="25">
        <v>95</v>
      </c>
      <c r="AC45" s="25">
        <v>95</v>
      </c>
      <c r="AD45" s="25">
        <v>95</v>
      </c>
      <c r="AE45" s="25">
        <v>95</v>
      </c>
      <c r="AF45" s="25">
        <v>95</v>
      </c>
      <c r="AG45" s="25">
        <v>95</v>
      </c>
      <c r="AH45" s="25">
        <v>95</v>
      </c>
      <c r="AI45" s="25">
        <v>95</v>
      </c>
      <c r="AJ45" s="25">
        <v>95</v>
      </c>
    </row>
    <row r="46" spans="1:36" x14ac:dyDescent="0.25">
      <c r="A46" t="s">
        <v>754</v>
      </c>
      <c r="B46" t="s">
        <v>305</v>
      </c>
      <c r="C46" s="25">
        <v>0</v>
      </c>
      <c r="D46" s="25">
        <v>0</v>
      </c>
      <c r="E46" s="25">
        <v>0</v>
      </c>
      <c r="F46" s="25">
        <v>0</v>
      </c>
      <c r="G46" s="25">
        <v>0</v>
      </c>
      <c r="H46" s="25">
        <v>0</v>
      </c>
      <c r="I46" s="25">
        <v>0</v>
      </c>
      <c r="J46" s="25">
        <v>0</v>
      </c>
      <c r="K46" s="25">
        <v>0</v>
      </c>
      <c r="L46" s="25">
        <v>0</v>
      </c>
      <c r="M46" s="25">
        <v>0</v>
      </c>
      <c r="N46" s="25">
        <v>0</v>
      </c>
      <c r="O46" s="25">
        <v>0</v>
      </c>
      <c r="P46" s="25">
        <v>0</v>
      </c>
      <c r="Q46" s="25">
        <v>0</v>
      </c>
      <c r="R46" s="25">
        <v>0</v>
      </c>
      <c r="S46" s="25">
        <v>0</v>
      </c>
      <c r="T46" s="25">
        <v>0</v>
      </c>
      <c r="U46" s="25">
        <v>0</v>
      </c>
      <c r="V46" s="25">
        <v>0</v>
      </c>
      <c r="W46" s="25">
        <v>0</v>
      </c>
      <c r="X46" s="25">
        <v>0</v>
      </c>
      <c r="Y46" s="25">
        <v>0</v>
      </c>
      <c r="Z46" s="25">
        <v>0</v>
      </c>
      <c r="AA46" s="25">
        <v>0</v>
      </c>
      <c r="AB46" s="25">
        <v>0</v>
      </c>
      <c r="AC46" s="25">
        <v>0</v>
      </c>
      <c r="AD46" s="25">
        <v>0</v>
      </c>
      <c r="AE46" s="25">
        <v>0</v>
      </c>
      <c r="AF46" s="25">
        <v>0</v>
      </c>
      <c r="AG46" s="25">
        <v>0</v>
      </c>
      <c r="AH46" s="25">
        <v>0</v>
      </c>
      <c r="AI46" s="25">
        <v>0</v>
      </c>
      <c r="AJ46" s="25">
        <v>0</v>
      </c>
    </row>
    <row r="47" spans="1:36" s="78" customFormat="1" x14ac:dyDescent="0.25">
      <c r="A47" s="78" t="s">
        <v>780</v>
      </c>
      <c r="C47" s="79">
        <f>+SUM(C36:C46)</f>
        <v>100</v>
      </c>
      <c r="D47" s="79">
        <f t="shared" ref="D47" si="34">+SUM(D36:D46)</f>
        <v>100</v>
      </c>
      <c r="E47" s="79">
        <f t="shared" ref="E47" si="35">+SUM(E36:E46)</f>
        <v>100</v>
      </c>
      <c r="F47" s="79">
        <f t="shared" ref="F47" si="36">+SUM(F36:F46)</f>
        <v>100</v>
      </c>
      <c r="G47" s="79">
        <f t="shared" ref="G47" si="37">+SUM(G36:G46)</f>
        <v>100</v>
      </c>
      <c r="H47" s="79">
        <f t="shared" ref="H47" si="38">+SUM(H36:H46)</f>
        <v>100</v>
      </c>
      <c r="I47" s="79">
        <f t="shared" ref="I47" si="39">+SUM(I36:I46)</f>
        <v>100</v>
      </c>
      <c r="J47" s="79">
        <f t="shared" ref="J47" si="40">+SUM(J36:J46)</f>
        <v>100</v>
      </c>
      <c r="K47" s="79">
        <f t="shared" ref="K47" si="41">+SUM(K36:K46)</f>
        <v>100</v>
      </c>
      <c r="L47" s="79">
        <f t="shared" ref="L47" si="42">+SUM(L36:L46)</f>
        <v>100</v>
      </c>
      <c r="M47" s="79">
        <f t="shared" ref="M47" si="43">+SUM(M36:M46)</f>
        <v>100</v>
      </c>
      <c r="N47" s="79">
        <f t="shared" ref="N47" si="44">+SUM(N36:N46)</f>
        <v>100</v>
      </c>
      <c r="O47" s="79">
        <f t="shared" ref="O47" si="45">+SUM(O36:O46)</f>
        <v>100</v>
      </c>
      <c r="P47" s="79">
        <f t="shared" ref="P47" si="46">+SUM(P36:P46)</f>
        <v>100</v>
      </c>
      <c r="Q47" s="79">
        <f t="shared" ref="Q47" si="47">+SUM(Q36:Q46)</f>
        <v>100</v>
      </c>
      <c r="R47" s="79">
        <f t="shared" ref="R47" si="48">+SUM(R36:R46)</f>
        <v>100</v>
      </c>
      <c r="S47" s="79">
        <f t="shared" ref="S47" si="49">+SUM(S36:S46)</f>
        <v>100</v>
      </c>
      <c r="T47" s="79">
        <f t="shared" ref="T47" si="50">+SUM(T36:T46)</f>
        <v>100</v>
      </c>
      <c r="U47" s="79">
        <f t="shared" ref="U47" si="51">+SUM(U36:U46)</f>
        <v>100</v>
      </c>
      <c r="V47" s="79">
        <f t="shared" ref="V47" si="52">+SUM(V36:V46)</f>
        <v>100</v>
      </c>
      <c r="W47" s="79">
        <f t="shared" ref="W47" si="53">+SUM(W36:W46)</f>
        <v>100</v>
      </c>
      <c r="X47" s="79">
        <f t="shared" ref="X47" si="54">+SUM(X36:X46)</f>
        <v>100</v>
      </c>
      <c r="Y47" s="79">
        <f t="shared" ref="Y47" si="55">+SUM(Y36:Y46)</f>
        <v>100</v>
      </c>
      <c r="Z47" s="79">
        <f t="shared" ref="Z47" si="56">+SUM(Z36:Z46)</f>
        <v>100</v>
      </c>
      <c r="AA47" s="79">
        <f t="shared" ref="AA47" si="57">+SUM(AA36:AA46)</f>
        <v>100</v>
      </c>
      <c r="AB47" s="79">
        <f t="shared" ref="AB47" si="58">+SUM(AB36:AB46)</f>
        <v>100</v>
      </c>
      <c r="AC47" s="79">
        <f t="shared" ref="AC47" si="59">+SUM(AC36:AC46)</f>
        <v>100</v>
      </c>
      <c r="AD47" s="79">
        <f t="shared" ref="AD47" si="60">+SUM(AD36:AD46)</f>
        <v>100</v>
      </c>
      <c r="AE47" s="79">
        <f t="shared" ref="AE47" si="61">+SUM(AE36:AE46)</f>
        <v>100</v>
      </c>
      <c r="AF47" s="79">
        <f t="shared" ref="AF47" si="62">+SUM(AF36:AF46)</f>
        <v>100</v>
      </c>
      <c r="AG47" s="79">
        <f t="shared" ref="AG47" si="63">+SUM(AG36:AG46)</f>
        <v>100</v>
      </c>
      <c r="AH47" s="79">
        <f t="shared" ref="AH47" si="64">+SUM(AH36:AH46)</f>
        <v>100</v>
      </c>
      <c r="AI47" s="79">
        <f t="shared" ref="AI47" si="65">+SUM(AI36:AI46)</f>
        <v>100</v>
      </c>
      <c r="AJ47" s="79">
        <f t="shared" ref="AJ47" si="66">+SUM(AJ36:AJ46)</f>
        <v>100</v>
      </c>
    </row>
    <row r="48" spans="1:36" s="76" customFormat="1" ht="15.75" x14ac:dyDescent="0.25">
      <c r="A48" s="74" t="s">
        <v>772</v>
      </c>
      <c r="B48" s="75"/>
      <c r="C48" s="74"/>
      <c r="D48" s="74"/>
      <c r="E48" s="74"/>
      <c r="F48" s="74"/>
      <c r="G48" s="74"/>
      <c r="H48" s="74"/>
      <c r="I48" s="74"/>
      <c r="J48" s="74"/>
      <c r="K48" s="74"/>
      <c r="L48" s="74"/>
      <c r="M48" s="74"/>
      <c r="N48" s="74"/>
      <c r="O48" s="74"/>
      <c r="P48" s="74"/>
      <c r="Q48" s="74"/>
      <c r="R48" s="74"/>
      <c r="S48" s="74"/>
      <c r="T48" s="74"/>
      <c r="U48" s="74"/>
      <c r="V48" s="74"/>
      <c r="W48" s="74"/>
      <c r="X48" s="74"/>
      <c r="Y48" s="74"/>
      <c r="Z48" s="74"/>
      <c r="AA48" s="74"/>
      <c r="AB48" s="74"/>
      <c r="AC48" s="74"/>
      <c r="AD48" s="74"/>
      <c r="AE48" s="74"/>
      <c r="AF48" s="74"/>
      <c r="AG48" s="74"/>
      <c r="AH48" s="74"/>
      <c r="AI48" s="74"/>
      <c r="AJ48" s="74"/>
    </row>
    <row r="49" spans="1:36" x14ac:dyDescent="0.25">
      <c r="A49" t="s">
        <v>479</v>
      </c>
      <c r="B49" t="s">
        <v>305</v>
      </c>
      <c r="C49" s="25">
        <v>0</v>
      </c>
      <c r="D49" s="25">
        <v>0</v>
      </c>
      <c r="E49" s="25">
        <v>0</v>
      </c>
      <c r="F49" s="25">
        <v>0</v>
      </c>
      <c r="G49" s="25">
        <v>0</v>
      </c>
      <c r="H49" s="25">
        <v>0</v>
      </c>
      <c r="I49" s="25">
        <v>0</v>
      </c>
      <c r="J49" s="25">
        <v>0</v>
      </c>
      <c r="K49" s="25">
        <v>0</v>
      </c>
      <c r="L49" s="25">
        <v>0</v>
      </c>
      <c r="M49" s="25">
        <v>0</v>
      </c>
      <c r="N49" s="25">
        <v>0</v>
      </c>
      <c r="O49" s="25">
        <v>0</v>
      </c>
      <c r="P49" s="25">
        <v>0</v>
      </c>
      <c r="Q49" s="25">
        <v>0</v>
      </c>
      <c r="R49" s="25">
        <v>0</v>
      </c>
      <c r="S49" s="25">
        <v>0</v>
      </c>
      <c r="T49" s="25">
        <v>0</v>
      </c>
      <c r="U49" s="25">
        <v>0</v>
      </c>
      <c r="V49" s="25">
        <v>0</v>
      </c>
      <c r="W49" s="25">
        <v>0</v>
      </c>
      <c r="X49" s="25">
        <v>0</v>
      </c>
      <c r="Y49" s="25">
        <v>0</v>
      </c>
      <c r="Z49" s="25">
        <v>0</v>
      </c>
      <c r="AA49" s="25">
        <v>0</v>
      </c>
      <c r="AB49" s="25">
        <v>0</v>
      </c>
      <c r="AC49" s="25">
        <v>0</v>
      </c>
      <c r="AD49" s="25">
        <v>0</v>
      </c>
      <c r="AE49" s="25">
        <v>0</v>
      </c>
      <c r="AF49" s="25">
        <v>0</v>
      </c>
      <c r="AG49" s="25">
        <v>0</v>
      </c>
      <c r="AH49" s="25">
        <v>0</v>
      </c>
      <c r="AI49" s="25">
        <v>0</v>
      </c>
      <c r="AJ49" s="25">
        <v>0</v>
      </c>
    </row>
    <row r="50" spans="1:36" x14ac:dyDescent="0.25">
      <c r="A50" t="s">
        <v>480</v>
      </c>
      <c r="B50" t="s">
        <v>305</v>
      </c>
      <c r="C50" s="25">
        <v>0</v>
      </c>
      <c r="D50" s="25">
        <v>0</v>
      </c>
      <c r="E50" s="25">
        <v>0</v>
      </c>
      <c r="F50" s="25">
        <v>0</v>
      </c>
      <c r="G50" s="25">
        <v>0</v>
      </c>
      <c r="H50" s="25">
        <v>0</v>
      </c>
      <c r="I50" s="25">
        <v>0</v>
      </c>
      <c r="J50" s="25">
        <v>0</v>
      </c>
      <c r="K50" s="25">
        <v>0</v>
      </c>
      <c r="L50" s="25">
        <v>0</v>
      </c>
      <c r="M50" s="25">
        <v>0</v>
      </c>
      <c r="N50" s="25">
        <v>0</v>
      </c>
      <c r="O50" s="25">
        <v>0</v>
      </c>
      <c r="P50" s="25">
        <v>0</v>
      </c>
      <c r="Q50" s="25">
        <v>0</v>
      </c>
      <c r="R50" s="25">
        <v>0</v>
      </c>
      <c r="S50" s="25">
        <v>0</v>
      </c>
      <c r="T50" s="25">
        <v>0</v>
      </c>
      <c r="U50" s="25">
        <v>0</v>
      </c>
      <c r="V50" s="25">
        <v>0</v>
      </c>
      <c r="W50" s="25">
        <v>0</v>
      </c>
      <c r="X50" s="25">
        <v>0</v>
      </c>
      <c r="Y50" s="25">
        <v>0</v>
      </c>
      <c r="Z50" s="25">
        <v>0</v>
      </c>
      <c r="AA50" s="25">
        <v>0</v>
      </c>
      <c r="AB50" s="25">
        <v>0</v>
      </c>
      <c r="AC50" s="25">
        <v>0</v>
      </c>
      <c r="AD50" s="25">
        <v>0</v>
      </c>
      <c r="AE50" s="25">
        <v>0</v>
      </c>
      <c r="AF50" s="25">
        <v>0</v>
      </c>
      <c r="AG50" s="25">
        <v>0</v>
      </c>
      <c r="AH50" s="25">
        <v>0</v>
      </c>
      <c r="AI50" s="25">
        <v>0</v>
      </c>
      <c r="AJ50" s="25">
        <v>0</v>
      </c>
    </row>
    <row r="51" spans="1:36" x14ac:dyDescent="0.25">
      <c r="A51" t="s">
        <v>481</v>
      </c>
      <c r="B51" t="s">
        <v>305</v>
      </c>
      <c r="C51" s="25">
        <v>2.5</v>
      </c>
      <c r="D51" s="25">
        <v>2.5</v>
      </c>
      <c r="E51" s="25">
        <v>2.5</v>
      </c>
      <c r="F51" s="25">
        <v>2.5</v>
      </c>
      <c r="G51" s="25">
        <v>2.5</v>
      </c>
      <c r="H51" s="25">
        <v>2.5</v>
      </c>
      <c r="I51" s="25">
        <v>2.5</v>
      </c>
      <c r="J51" s="25">
        <v>2.5</v>
      </c>
      <c r="K51" s="25">
        <v>2.5</v>
      </c>
      <c r="L51" s="25">
        <v>2.5</v>
      </c>
      <c r="M51" s="25">
        <v>2.5</v>
      </c>
      <c r="N51" s="25">
        <v>2.5</v>
      </c>
      <c r="O51" s="25">
        <v>2.5</v>
      </c>
      <c r="P51" s="25">
        <v>2.5</v>
      </c>
      <c r="Q51" s="25">
        <v>2.5</v>
      </c>
      <c r="R51" s="25">
        <v>2.5</v>
      </c>
      <c r="S51" s="25">
        <v>2.5</v>
      </c>
      <c r="T51" s="25">
        <v>2.5</v>
      </c>
      <c r="U51" s="25">
        <v>2.5</v>
      </c>
      <c r="V51" s="25">
        <v>2.5</v>
      </c>
      <c r="W51" s="25">
        <v>2.5</v>
      </c>
      <c r="X51" s="25">
        <v>2.5</v>
      </c>
      <c r="Y51" s="25">
        <v>2.5</v>
      </c>
      <c r="Z51" s="25">
        <v>2.5</v>
      </c>
      <c r="AA51" s="25">
        <v>2.5</v>
      </c>
      <c r="AB51" s="25">
        <v>2.5</v>
      </c>
      <c r="AC51" s="25">
        <v>2.5</v>
      </c>
      <c r="AD51" s="25">
        <v>2.5</v>
      </c>
      <c r="AE51" s="25">
        <v>2.5</v>
      </c>
      <c r="AF51" s="25">
        <v>2.5</v>
      </c>
      <c r="AG51" s="25">
        <v>2.5</v>
      </c>
      <c r="AH51" s="25">
        <v>2.5</v>
      </c>
      <c r="AI51" s="25">
        <v>2.5</v>
      </c>
      <c r="AJ51" s="25">
        <v>2.5</v>
      </c>
    </row>
    <row r="52" spans="1:36" x14ac:dyDescent="0.25">
      <c r="A52" t="s">
        <v>482</v>
      </c>
      <c r="B52" t="s">
        <v>305</v>
      </c>
      <c r="C52" s="25">
        <v>0</v>
      </c>
      <c r="D52" s="25">
        <v>0</v>
      </c>
      <c r="E52" s="25">
        <v>0</v>
      </c>
      <c r="F52" s="25">
        <v>0</v>
      </c>
      <c r="G52" s="25">
        <v>0</v>
      </c>
      <c r="H52" s="25">
        <v>0</v>
      </c>
      <c r="I52" s="25">
        <v>0</v>
      </c>
      <c r="J52" s="25">
        <v>0</v>
      </c>
      <c r="K52" s="25">
        <v>0</v>
      </c>
      <c r="L52" s="25">
        <v>0</v>
      </c>
      <c r="M52" s="25">
        <v>0</v>
      </c>
      <c r="N52" s="25">
        <v>0</v>
      </c>
      <c r="O52" s="25">
        <v>0</v>
      </c>
      <c r="P52" s="25">
        <v>0</v>
      </c>
      <c r="Q52" s="25">
        <v>0</v>
      </c>
      <c r="R52" s="25">
        <v>0</v>
      </c>
      <c r="S52" s="25">
        <v>0</v>
      </c>
      <c r="T52" s="25">
        <v>0</v>
      </c>
      <c r="U52" s="25">
        <v>0</v>
      </c>
      <c r="V52" s="25">
        <v>0</v>
      </c>
      <c r="W52" s="25">
        <v>0</v>
      </c>
      <c r="X52" s="25">
        <v>0</v>
      </c>
      <c r="Y52" s="25">
        <v>0</v>
      </c>
      <c r="Z52" s="25">
        <v>0</v>
      </c>
      <c r="AA52" s="25">
        <v>0</v>
      </c>
      <c r="AB52" s="25">
        <v>0</v>
      </c>
      <c r="AC52" s="25">
        <v>0</v>
      </c>
      <c r="AD52" s="25">
        <v>0</v>
      </c>
      <c r="AE52" s="25">
        <v>0</v>
      </c>
      <c r="AF52" s="25">
        <v>0</v>
      </c>
      <c r="AG52" s="25">
        <v>0</v>
      </c>
      <c r="AH52" s="25">
        <v>0</v>
      </c>
      <c r="AI52" s="25">
        <v>0</v>
      </c>
      <c r="AJ52" s="25">
        <v>0</v>
      </c>
    </row>
    <row r="53" spans="1:36" x14ac:dyDescent="0.25">
      <c r="A53" t="s">
        <v>483</v>
      </c>
      <c r="B53" t="s">
        <v>305</v>
      </c>
      <c r="C53" s="25">
        <v>0</v>
      </c>
      <c r="D53" s="25">
        <v>0</v>
      </c>
      <c r="E53" s="25">
        <v>0</v>
      </c>
      <c r="F53" s="25">
        <v>0</v>
      </c>
      <c r="G53" s="25">
        <v>0</v>
      </c>
      <c r="H53" s="25">
        <v>0</v>
      </c>
      <c r="I53" s="25">
        <v>0</v>
      </c>
      <c r="J53" s="25">
        <v>0</v>
      </c>
      <c r="K53" s="25">
        <v>0</v>
      </c>
      <c r="L53" s="25">
        <v>0</v>
      </c>
      <c r="M53" s="25">
        <v>0</v>
      </c>
      <c r="N53" s="25">
        <v>0</v>
      </c>
      <c r="O53" s="25">
        <v>0</v>
      </c>
      <c r="P53" s="25">
        <v>0</v>
      </c>
      <c r="Q53" s="25">
        <v>0</v>
      </c>
      <c r="R53" s="25">
        <v>0</v>
      </c>
      <c r="S53" s="25">
        <v>0</v>
      </c>
      <c r="T53" s="25">
        <v>0</v>
      </c>
      <c r="U53" s="25">
        <v>0</v>
      </c>
      <c r="V53" s="25">
        <v>0</v>
      </c>
      <c r="W53" s="25">
        <v>0</v>
      </c>
      <c r="X53" s="25">
        <v>0</v>
      </c>
      <c r="Y53" s="25">
        <v>0</v>
      </c>
      <c r="Z53" s="25">
        <v>0</v>
      </c>
      <c r="AA53" s="25">
        <v>0</v>
      </c>
      <c r="AB53" s="25">
        <v>0</v>
      </c>
      <c r="AC53" s="25">
        <v>0</v>
      </c>
      <c r="AD53" s="25">
        <v>0</v>
      </c>
      <c r="AE53" s="25">
        <v>0</v>
      </c>
      <c r="AF53" s="25">
        <v>0</v>
      </c>
      <c r="AG53" s="25">
        <v>0</v>
      </c>
      <c r="AH53" s="25">
        <v>0</v>
      </c>
      <c r="AI53" s="25">
        <v>0</v>
      </c>
      <c r="AJ53" s="25">
        <v>0</v>
      </c>
    </row>
    <row r="54" spans="1:36" x14ac:dyDescent="0.25">
      <c r="A54" t="s">
        <v>484</v>
      </c>
      <c r="B54" t="s">
        <v>305</v>
      </c>
      <c r="C54" s="25">
        <v>2.5</v>
      </c>
      <c r="D54" s="25">
        <v>2.5</v>
      </c>
      <c r="E54" s="25">
        <v>2.5</v>
      </c>
      <c r="F54" s="25">
        <v>2.5</v>
      </c>
      <c r="G54" s="25">
        <v>2.5</v>
      </c>
      <c r="H54" s="25">
        <v>2.5</v>
      </c>
      <c r="I54" s="25">
        <v>2.5</v>
      </c>
      <c r="J54" s="25">
        <v>2.5</v>
      </c>
      <c r="K54" s="25">
        <v>2.5</v>
      </c>
      <c r="L54" s="25">
        <v>2.5</v>
      </c>
      <c r="M54" s="25">
        <v>2.5</v>
      </c>
      <c r="N54" s="25">
        <v>2.5</v>
      </c>
      <c r="O54" s="25">
        <v>2.5</v>
      </c>
      <c r="P54" s="25">
        <v>2.5</v>
      </c>
      <c r="Q54" s="25">
        <v>2.5</v>
      </c>
      <c r="R54" s="25">
        <v>2.5</v>
      </c>
      <c r="S54" s="25">
        <v>2.5</v>
      </c>
      <c r="T54" s="25">
        <v>2.5</v>
      </c>
      <c r="U54" s="25">
        <v>2.5</v>
      </c>
      <c r="V54" s="25">
        <v>2.5</v>
      </c>
      <c r="W54" s="25">
        <v>2.5</v>
      </c>
      <c r="X54" s="25">
        <v>2.5</v>
      </c>
      <c r="Y54" s="25">
        <v>2.5</v>
      </c>
      <c r="Z54" s="25">
        <v>2.5</v>
      </c>
      <c r="AA54" s="25">
        <v>2.5</v>
      </c>
      <c r="AB54" s="25">
        <v>2.5</v>
      </c>
      <c r="AC54" s="25">
        <v>2.5</v>
      </c>
      <c r="AD54" s="25">
        <v>2.5</v>
      </c>
      <c r="AE54" s="25">
        <v>2.5</v>
      </c>
      <c r="AF54" s="25">
        <v>2.5</v>
      </c>
      <c r="AG54" s="25">
        <v>2.5</v>
      </c>
      <c r="AH54" s="25">
        <v>2.5</v>
      </c>
      <c r="AI54" s="25">
        <v>2.5</v>
      </c>
      <c r="AJ54" s="25">
        <v>2.5</v>
      </c>
    </row>
    <row r="55" spans="1:36" x14ac:dyDescent="0.25">
      <c r="A55" t="s">
        <v>485</v>
      </c>
      <c r="B55" t="s">
        <v>305</v>
      </c>
      <c r="C55" s="25">
        <v>0</v>
      </c>
      <c r="D55" s="25">
        <v>0</v>
      </c>
      <c r="E55" s="25">
        <v>0</v>
      </c>
      <c r="F55" s="25">
        <v>0</v>
      </c>
      <c r="G55" s="25">
        <v>0</v>
      </c>
      <c r="H55" s="25">
        <v>0</v>
      </c>
      <c r="I55" s="25">
        <v>0</v>
      </c>
      <c r="J55" s="25">
        <v>0</v>
      </c>
      <c r="K55" s="25">
        <v>0</v>
      </c>
      <c r="L55" s="25">
        <v>0</v>
      </c>
      <c r="M55" s="25">
        <v>0</v>
      </c>
      <c r="N55" s="25">
        <v>0</v>
      </c>
      <c r="O55" s="25">
        <v>0</v>
      </c>
      <c r="P55" s="25">
        <v>0</v>
      </c>
      <c r="Q55" s="25">
        <v>0</v>
      </c>
      <c r="R55" s="25">
        <v>0</v>
      </c>
      <c r="S55" s="25">
        <v>0</v>
      </c>
      <c r="T55" s="25">
        <v>0</v>
      </c>
      <c r="U55" s="25">
        <v>0</v>
      </c>
      <c r="V55" s="25">
        <v>0</v>
      </c>
      <c r="W55" s="25">
        <v>0</v>
      </c>
      <c r="X55" s="25">
        <v>0</v>
      </c>
      <c r="Y55" s="25">
        <v>0</v>
      </c>
      <c r="Z55" s="25">
        <v>0</v>
      </c>
      <c r="AA55" s="25">
        <v>0</v>
      </c>
      <c r="AB55" s="25">
        <v>0</v>
      </c>
      <c r="AC55" s="25">
        <v>0</v>
      </c>
      <c r="AD55" s="25">
        <v>0</v>
      </c>
      <c r="AE55" s="25">
        <v>0</v>
      </c>
      <c r="AF55" s="25">
        <v>0</v>
      </c>
      <c r="AG55" s="25">
        <v>0</v>
      </c>
      <c r="AH55" s="25">
        <v>0</v>
      </c>
      <c r="AI55" s="25">
        <v>0</v>
      </c>
      <c r="AJ55" s="25">
        <v>0</v>
      </c>
    </row>
    <row r="56" spans="1:36" x14ac:dyDescent="0.25">
      <c r="A56" t="s">
        <v>486</v>
      </c>
      <c r="B56" t="s">
        <v>305</v>
      </c>
      <c r="C56" s="25">
        <v>0</v>
      </c>
      <c r="D56" s="25">
        <v>0</v>
      </c>
      <c r="E56" s="25">
        <v>0</v>
      </c>
      <c r="F56" s="25">
        <v>0</v>
      </c>
      <c r="G56" s="25">
        <v>0</v>
      </c>
      <c r="H56" s="25">
        <v>0</v>
      </c>
      <c r="I56" s="25">
        <v>0</v>
      </c>
      <c r="J56" s="25">
        <v>0</v>
      </c>
      <c r="K56" s="25">
        <v>0</v>
      </c>
      <c r="L56" s="25">
        <v>0</v>
      </c>
      <c r="M56" s="25">
        <v>0</v>
      </c>
      <c r="N56" s="25">
        <v>0</v>
      </c>
      <c r="O56" s="25">
        <v>0</v>
      </c>
      <c r="P56" s="25">
        <v>0</v>
      </c>
      <c r="Q56" s="25">
        <v>0</v>
      </c>
      <c r="R56" s="25">
        <v>0</v>
      </c>
      <c r="S56" s="25">
        <v>0</v>
      </c>
      <c r="T56" s="25">
        <v>0</v>
      </c>
      <c r="U56" s="25">
        <v>0</v>
      </c>
      <c r="V56" s="25">
        <v>0</v>
      </c>
      <c r="W56" s="25">
        <v>0</v>
      </c>
      <c r="X56" s="25">
        <v>0</v>
      </c>
      <c r="Y56" s="25">
        <v>0</v>
      </c>
      <c r="Z56" s="25">
        <v>0</v>
      </c>
      <c r="AA56" s="25">
        <v>0</v>
      </c>
      <c r="AB56" s="25">
        <v>0</v>
      </c>
      <c r="AC56" s="25">
        <v>0</v>
      </c>
      <c r="AD56" s="25">
        <v>0</v>
      </c>
      <c r="AE56" s="25">
        <v>0</v>
      </c>
      <c r="AF56" s="25">
        <v>0</v>
      </c>
      <c r="AG56" s="25">
        <v>0</v>
      </c>
      <c r="AH56" s="25">
        <v>0</v>
      </c>
      <c r="AI56" s="25">
        <v>0</v>
      </c>
      <c r="AJ56" s="25">
        <v>0</v>
      </c>
    </row>
    <row r="57" spans="1:36" x14ac:dyDescent="0.25">
      <c r="A57" t="s">
        <v>487</v>
      </c>
      <c r="B57" t="s">
        <v>305</v>
      </c>
      <c r="C57" s="25">
        <v>0</v>
      </c>
      <c r="D57" s="25">
        <v>0</v>
      </c>
      <c r="E57" s="25">
        <v>0</v>
      </c>
      <c r="F57" s="25">
        <v>0</v>
      </c>
      <c r="G57" s="25">
        <v>0</v>
      </c>
      <c r="H57" s="25">
        <v>0</v>
      </c>
      <c r="I57" s="25">
        <v>0</v>
      </c>
      <c r="J57" s="25">
        <v>0</v>
      </c>
      <c r="K57" s="25">
        <v>0</v>
      </c>
      <c r="L57" s="25">
        <v>0</v>
      </c>
      <c r="M57" s="25">
        <v>0</v>
      </c>
      <c r="N57" s="25">
        <v>0</v>
      </c>
      <c r="O57" s="25">
        <v>0</v>
      </c>
      <c r="P57" s="25">
        <v>0</v>
      </c>
      <c r="Q57" s="25">
        <v>0</v>
      </c>
      <c r="R57" s="25">
        <v>0</v>
      </c>
      <c r="S57" s="25">
        <v>0</v>
      </c>
      <c r="T57" s="25">
        <v>0</v>
      </c>
      <c r="U57" s="25">
        <v>0</v>
      </c>
      <c r="V57" s="25">
        <v>0</v>
      </c>
      <c r="W57" s="25">
        <v>0</v>
      </c>
      <c r="X57" s="25">
        <v>0</v>
      </c>
      <c r="Y57" s="25">
        <v>0</v>
      </c>
      <c r="Z57" s="25">
        <v>0</v>
      </c>
      <c r="AA57" s="25">
        <v>0</v>
      </c>
      <c r="AB57" s="25">
        <v>0</v>
      </c>
      <c r="AC57" s="25">
        <v>0</v>
      </c>
      <c r="AD57" s="25">
        <v>0</v>
      </c>
      <c r="AE57" s="25">
        <v>0</v>
      </c>
      <c r="AF57" s="25">
        <v>0</v>
      </c>
      <c r="AG57" s="25">
        <v>0</v>
      </c>
      <c r="AH57" s="25">
        <v>0</v>
      </c>
      <c r="AI57" s="25">
        <v>0</v>
      </c>
      <c r="AJ57" s="25">
        <v>0</v>
      </c>
    </row>
    <row r="58" spans="1:36" s="55" customFormat="1" x14ac:dyDescent="0.25">
      <c r="A58" t="s">
        <v>488</v>
      </c>
      <c r="B58" t="s">
        <v>305</v>
      </c>
      <c r="C58" s="25">
        <v>95</v>
      </c>
      <c r="D58" s="25">
        <v>95</v>
      </c>
      <c r="E58" s="25">
        <v>95</v>
      </c>
      <c r="F58" s="25">
        <v>95</v>
      </c>
      <c r="G58" s="25">
        <v>95</v>
      </c>
      <c r="H58" s="25">
        <v>95</v>
      </c>
      <c r="I58" s="25">
        <v>95</v>
      </c>
      <c r="J58" s="25">
        <v>95</v>
      </c>
      <c r="K58" s="25">
        <v>95</v>
      </c>
      <c r="L58" s="25">
        <v>95</v>
      </c>
      <c r="M58" s="25">
        <v>95</v>
      </c>
      <c r="N58" s="25">
        <v>95</v>
      </c>
      <c r="O58" s="25">
        <v>95</v>
      </c>
      <c r="P58" s="25">
        <v>95</v>
      </c>
      <c r="Q58" s="25">
        <v>95</v>
      </c>
      <c r="R58" s="25">
        <v>95</v>
      </c>
      <c r="S58" s="25">
        <v>95</v>
      </c>
      <c r="T58" s="25">
        <v>95</v>
      </c>
      <c r="U58" s="25">
        <v>95</v>
      </c>
      <c r="V58" s="25">
        <v>95</v>
      </c>
      <c r="W58" s="25">
        <v>95</v>
      </c>
      <c r="X58" s="25">
        <v>95</v>
      </c>
      <c r="Y58" s="25">
        <v>95</v>
      </c>
      <c r="Z58" s="25">
        <v>95</v>
      </c>
      <c r="AA58" s="25">
        <v>95</v>
      </c>
      <c r="AB58" s="25">
        <v>95</v>
      </c>
      <c r="AC58" s="25">
        <v>95</v>
      </c>
      <c r="AD58" s="25">
        <v>95</v>
      </c>
      <c r="AE58" s="25">
        <v>95</v>
      </c>
      <c r="AF58" s="25">
        <v>95</v>
      </c>
      <c r="AG58" s="25">
        <v>95</v>
      </c>
      <c r="AH58" s="25">
        <v>95</v>
      </c>
      <c r="AI58" s="25">
        <v>95</v>
      </c>
      <c r="AJ58" s="25">
        <v>95</v>
      </c>
    </row>
    <row r="59" spans="1:36" s="55" customFormat="1" x14ac:dyDescent="0.25">
      <c r="A59" t="s">
        <v>770</v>
      </c>
      <c r="B59" t="s">
        <v>305</v>
      </c>
      <c r="C59" s="25">
        <v>0</v>
      </c>
      <c r="D59" s="25">
        <v>0</v>
      </c>
      <c r="E59" s="25">
        <v>0</v>
      </c>
      <c r="F59" s="25">
        <v>0</v>
      </c>
      <c r="G59" s="25">
        <v>0</v>
      </c>
      <c r="H59" s="25">
        <v>0</v>
      </c>
      <c r="I59" s="25">
        <v>0</v>
      </c>
      <c r="J59" s="25">
        <v>0</v>
      </c>
      <c r="K59" s="25">
        <v>0</v>
      </c>
      <c r="L59" s="25">
        <v>0</v>
      </c>
      <c r="M59" s="25">
        <v>0</v>
      </c>
      <c r="N59" s="25">
        <v>0</v>
      </c>
      <c r="O59" s="25">
        <v>0</v>
      </c>
      <c r="P59" s="25">
        <v>0</v>
      </c>
      <c r="Q59" s="25">
        <v>0</v>
      </c>
      <c r="R59" s="25">
        <v>0</v>
      </c>
      <c r="S59" s="25">
        <v>0</v>
      </c>
      <c r="T59" s="25">
        <v>0</v>
      </c>
      <c r="U59" s="25">
        <v>0</v>
      </c>
      <c r="V59" s="25">
        <v>0</v>
      </c>
      <c r="W59" s="25">
        <v>0</v>
      </c>
      <c r="X59" s="25">
        <v>0</v>
      </c>
      <c r="Y59" s="25">
        <v>0</v>
      </c>
      <c r="Z59" s="25">
        <v>0</v>
      </c>
      <c r="AA59" s="25">
        <v>0</v>
      </c>
      <c r="AB59" s="25">
        <v>0</v>
      </c>
      <c r="AC59" s="25">
        <v>0</v>
      </c>
      <c r="AD59" s="25">
        <v>0</v>
      </c>
      <c r="AE59" s="25">
        <v>0</v>
      </c>
      <c r="AF59" s="25">
        <v>0</v>
      </c>
      <c r="AG59" s="25">
        <v>0</v>
      </c>
      <c r="AH59" s="25">
        <v>0</v>
      </c>
      <c r="AI59" s="25">
        <v>0</v>
      </c>
      <c r="AJ59" s="25">
        <v>0</v>
      </c>
    </row>
    <row r="60" spans="1:36" s="78" customFormat="1" x14ac:dyDescent="0.25">
      <c r="A60" s="78" t="s">
        <v>780</v>
      </c>
      <c r="C60" s="79">
        <f>+SUM(C49:C59)</f>
        <v>100</v>
      </c>
      <c r="D60" s="79">
        <f t="shared" ref="D60" si="67">+SUM(D49:D59)</f>
        <v>100</v>
      </c>
      <c r="E60" s="79">
        <f t="shared" ref="E60" si="68">+SUM(E49:E59)</f>
        <v>100</v>
      </c>
      <c r="F60" s="79">
        <f t="shared" ref="F60" si="69">+SUM(F49:F59)</f>
        <v>100</v>
      </c>
      <c r="G60" s="79">
        <f t="shared" ref="G60" si="70">+SUM(G49:G59)</f>
        <v>100</v>
      </c>
      <c r="H60" s="79">
        <f t="shared" ref="H60" si="71">+SUM(H49:H59)</f>
        <v>100</v>
      </c>
      <c r="I60" s="79">
        <f t="shared" ref="I60" si="72">+SUM(I49:I59)</f>
        <v>100</v>
      </c>
      <c r="J60" s="79">
        <f t="shared" ref="J60" si="73">+SUM(J49:J59)</f>
        <v>100</v>
      </c>
      <c r="K60" s="79">
        <f t="shared" ref="K60" si="74">+SUM(K49:K59)</f>
        <v>100</v>
      </c>
      <c r="L60" s="79">
        <f t="shared" ref="L60" si="75">+SUM(L49:L59)</f>
        <v>100</v>
      </c>
      <c r="M60" s="79">
        <f t="shared" ref="M60" si="76">+SUM(M49:M59)</f>
        <v>100</v>
      </c>
      <c r="N60" s="79">
        <f t="shared" ref="N60" si="77">+SUM(N49:N59)</f>
        <v>100</v>
      </c>
      <c r="O60" s="79">
        <f t="shared" ref="O60" si="78">+SUM(O49:O59)</f>
        <v>100</v>
      </c>
      <c r="P60" s="79">
        <f t="shared" ref="P60" si="79">+SUM(P49:P59)</f>
        <v>100</v>
      </c>
      <c r="Q60" s="79">
        <f t="shared" ref="Q60" si="80">+SUM(Q49:Q59)</f>
        <v>100</v>
      </c>
      <c r="R60" s="79">
        <f t="shared" ref="R60" si="81">+SUM(R49:R59)</f>
        <v>100</v>
      </c>
      <c r="S60" s="79">
        <f t="shared" ref="S60" si="82">+SUM(S49:S59)</f>
        <v>100</v>
      </c>
      <c r="T60" s="79">
        <f t="shared" ref="T60" si="83">+SUM(T49:T59)</f>
        <v>100</v>
      </c>
      <c r="U60" s="79">
        <f t="shared" ref="U60" si="84">+SUM(U49:U59)</f>
        <v>100</v>
      </c>
      <c r="V60" s="79">
        <f t="shared" ref="V60" si="85">+SUM(V49:V59)</f>
        <v>100</v>
      </c>
      <c r="W60" s="79">
        <f t="shared" ref="W60" si="86">+SUM(W49:W59)</f>
        <v>100</v>
      </c>
      <c r="X60" s="79">
        <f t="shared" ref="X60" si="87">+SUM(X49:X59)</f>
        <v>100</v>
      </c>
      <c r="Y60" s="79">
        <f t="shared" ref="Y60" si="88">+SUM(Y49:Y59)</f>
        <v>100</v>
      </c>
      <c r="Z60" s="79">
        <f t="shared" ref="Z60" si="89">+SUM(Z49:Z59)</f>
        <v>100</v>
      </c>
      <c r="AA60" s="79">
        <f t="shared" ref="AA60" si="90">+SUM(AA49:AA59)</f>
        <v>100</v>
      </c>
      <c r="AB60" s="79">
        <f t="shared" ref="AB60" si="91">+SUM(AB49:AB59)</f>
        <v>100</v>
      </c>
      <c r="AC60" s="79">
        <f t="shared" ref="AC60" si="92">+SUM(AC49:AC59)</f>
        <v>100</v>
      </c>
      <c r="AD60" s="79">
        <f t="shared" ref="AD60" si="93">+SUM(AD49:AD59)</f>
        <v>100</v>
      </c>
      <c r="AE60" s="79">
        <f t="shared" ref="AE60" si="94">+SUM(AE49:AE59)</f>
        <v>100</v>
      </c>
      <c r="AF60" s="79">
        <f t="shared" ref="AF60" si="95">+SUM(AF49:AF59)</f>
        <v>100</v>
      </c>
      <c r="AG60" s="79">
        <f t="shared" ref="AG60" si="96">+SUM(AG49:AG59)</f>
        <v>100</v>
      </c>
      <c r="AH60" s="79">
        <f t="shared" ref="AH60" si="97">+SUM(AH49:AH59)</f>
        <v>100</v>
      </c>
      <c r="AI60" s="79">
        <f t="shared" ref="AI60" si="98">+SUM(AI49:AI59)</f>
        <v>100</v>
      </c>
      <c r="AJ60" s="79">
        <f t="shared" ref="AJ60" si="99">+SUM(AJ49:AJ59)</f>
        <v>100</v>
      </c>
    </row>
    <row r="61" spans="1:36" s="52" customFormat="1" x14ac:dyDescent="0.25">
      <c r="A61" t="s">
        <v>489</v>
      </c>
      <c r="B61" t="s">
        <v>305</v>
      </c>
      <c r="C61" s="25">
        <v>0</v>
      </c>
      <c r="D61" s="25">
        <v>0</v>
      </c>
      <c r="E61" s="25">
        <v>0</v>
      </c>
      <c r="F61" s="25">
        <v>0</v>
      </c>
      <c r="G61" s="25">
        <v>0</v>
      </c>
      <c r="H61" s="25">
        <v>0</v>
      </c>
      <c r="I61" s="25">
        <v>0</v>
      </c>
      <c r="J61" s="25">
        <v>0</v>
      </c>
      <c r="K61" s="25">
        <v>0</v>
      </c>
      <c r="L61" s="25">
        <v>0</v>
      </c>
      <c r="M61" s="25">
        <v>0</v>
      </c>
      <c r="N61" s="25">
        <v>0</v>
      </c>
      <c r="O61" s="25">
        <v>0</v>
      </c>
      <c r="P61" s="25">
        <v>0</v>
      </c>
      <c r="Q61" s="25">
        <v>0</v>
      </c>
      <c r="R61" s="25">
        <v>0</v>
      </c>
      <c r="S61" s="25">
        <v>0</v>
      </c>
      <c r="T61" s="25">
        <v>0</v>
      </c>
      <c r="U61" s="25">
        <v>0</v>
      </c>
      <c r="V61" s="25">
        <v>0</v>
      </c>
      <c r="W61" s="25">
        <v>0</v>
      </c>
      <c r="X61" s="25">
        <v>0</v>
      </c>
      <c r="Y61" s="25">
        <v>0</v>
      </c>
      <c r="Z61" s="25">
        <v>0</v>
      </c>
      <c r="AA61" s="25">
        <v>0</v>
      </c>
      <c r="AB61" s="25">
        <v>0</v>
      </c>
      <c r="AC61" s="25">
        <v>0</v>
      </c>
      <c r="AD61" s="25">
        <v>0</v>
      </c>
      <c r="AE61" s="25">
        <v>0</v>
      </c>
      <c r="AF61" s="25">
        <v>0</v>
      </c>
      <c r="AG61" s="25">
        <v>0</v>
      </c>
      <c r="AH61" s="25">
        <v>0</v>
      </c>
      <c r="AI61" s="25">
        <v>0</v>
      </c>
      <c r="AJ61" s="25">
        <v>0</v>
      </c>
    </row>
    <row r="62" spans="1:36" x14ac:dyDescent="0.25">
      <c r="A62" t="s">
        <v>490</v>
      </c>
      <c r="B62" t="s">
        <v>305</v>
      </c>
      <c r="C62" s="25">
        <v>0</v>
      </c>
      <c r="D62" s="25">
        <v>0</v>
      </c>
      <c r="E62" s="25">
        <v>0</v>
      </c>
      <c r="F62" s="25">
        <v>0</v>
      </c>
      <c r="G62" s="25">
        <v>0</v>
      </c>
      <c r="H62" s="25">
        <v>0</v>
      </c>
      <c r="I62" s="25">
        <v>0</v>
      </c>
      <c r="J62" s="25">
        <v>0</v>
      </c>
      <c r="K62" s="25">
        <v>0</v>
      </c>
      <c r="L62" s="25">
        <v>0</v>
      </c>
      <c r="M62" s="25">
        <v>0</v>
      </c>
      <c r="N62" s="25">
        <v>0</v>
      </c>
      <c r="O62" s="25">
        <v>0</v>
      </c>
      <c r="P62" s="25">
        <v>0</v>
      </c>
      <c r="Q62" s="25">
        <v>0</v>
      </c>
      <c r="R62" s="25">
        <v>0</v>
      </c>
      <c r="S62" s="25">
        <v>0</v>
      </c>
      <c r="T62" s="25">
        <v>0</v>
      </c>
      <c r="U62" s="25">
        <v>0</v>
      </c>
      <c r="V62" s="25">
        <v>0</v>
      </c>
      <c r="W62" s="25">
        <v>0</v>
      </c>
      <c r="X62" s="25">
        <v>0</v>
      </c>
      <c r="Y62" s="25">
        <v>0</v>
      </c>
      <c r="Z62" s="25">
        <v>0</v>
      </c>
      <c r="AA62" s="25">
        <v>0</v>
      </c>
      <c r="AB62" s="25">
        <v>0</v>
      </c>
      <c r="AC62" s="25">
        <v>0</v>
      </c>
      <c r="AD62" s="25">
        <v>0</v>
      </c>
      <c r="AE62" s="25">
        <v>0</v>
      </c>
      <c r="AF62" s="25">
        <v>0</v>
      </c>
      <c r="AG62" s="25">
        <v>0</v>
      </c>
      <c r="AH62" s="25">
        <v>0</v>
      </c>
      <c r="AI62" s="25">
        <v>0</v>
      </c>
      <c r="AJ62" s="25">
        <v>0</v>
      </c>
    </row>
    <row r="63" spans="1:36" x14ac:dyDescent="0.25">
      <c r="A63" t="s">
        <v>491</v>
      </c>
      <c r="B63" t="s">
        <v>305</v>
      </c>
      <c r="C63" s="25">
        <v>5</v>
      </c>
      <c r="D63" s="25">
        <v>5</v>
      </c>
      <c r="E63" s="25">
        <v>5</v>
      </c>
      <c r="F63" s="25">
        <v>5</v>
      </c>
      <c r="G63" s="25">
        <v>5</v>
      </c>
      <c r="H63" s="25">
        <v>5</v>
      </c>
      <c r="I63" s="25">
        <v>5</v>
      </c>
      <c r="J63" s="25">
        <v>5</v>
      </c>
      <c r="K63" s="25">
        <v>5</v>
      </c>
      <c r="L63" s="25">
        <v>5</v>
      </c>
      <c r="M63" s="25">
        <v>5</v>
      </c>
      <c r="N63" s="25">
        <v>5</v>
      </c>
      <c r="O63" s="25">
        <v>5</v>
      </c>
      <c r="P63" s="25">
        <v>5</v>
      </c>
      <c r="Q63" s="25">
        <v>5</v>
      </c>
      <c r="R63" s="25">
        <v>5</v>
      </c>
      <c r="S63" s="25">
        <v>5</v>
      </c>
      <c r="T63" s="25">
        <v>5</v>
      </c>
      <c r="U63" s="25">
        <v>5</v>
      </c>
      <c r="V63" s="25">
        <v>5</v>
      </c>
      <c r="W63" s="25">
        <v>5</v>
      </c>
      <c r="X63" s="25">
        <v>5</v>
      </c>
      <c r="Y63" s="25">
        <v>5</v>
      </c>
      <c r="Z63" s="25">
        <v>5</v>
      </c>
      <c r="AA63" s="25">
        <v>5</v>
      </c>
      <c r="AB63" s="25">
        <v>5</v>
      </c>
      <c r="AC63" s="25">
        <v>5</v>
      </c>
      <c r="AD63" s="25">
        <v>5</v>
      </c>
      <c r="AE63" s="25">
        <v>5</v>
      </c>
      <c r="AF63" s="25">
        <v>5</v>
      </c>
      <c r="AG63" s="25">
        <v>5</v>
      </c>
      <c r="AH63" s="25">
        <v>5</v>
      </c>
      <c r="AI63" s="25">
        <v>5</v>
      </c>
      <c r="AJ63" s="25">
        <v>5</v>
      </c>
    </row>
    <row r="64" spans="1:36" s="52" customFormat="1" x14ac:dyDescent="0.25">
      <c r="A64" t="s">
        <v>492</v>
      </c>
      <c r="B64" t="s">
        <v>305</v>
      </c>
      <c r="C64" s="25">
        <v>0</v>
      </c>
      <c r="D64" s="25">
        <v>0</v>
      </c>
      <c r="E64" s="25">
        <v>0</v>
      </c>
      <c r="F64" s="25">
        <v>0</v>
      </c>
      <c r="G64" s="25">
        <v>0</v>
      </c>
      <c r="H64" s="25">
        <v>0</v>
      </c>
      <c r="I64" s="25">
        <v>0</v>
      </c>
      <c r="J64" s="25">
        <v>0</v>
      </c>
      <c r="K64" s="25">
        <v>0</v>
      </c>
      <c r="L64" s="25">
        <v>0</v>
      </c>
      <c r="M64" s="25">
        <v>0</v>
      </c>
      <c r="N64" s="25">
        <v>0</v>
      </c>
      <c r="O64" s="25">
        <v>0</v>
      </c>
      <c r="P64" s="25">
        <v>0</v>
      </c>
      <c r="Q64" s="25">
        <v>0</v>
      </c>
      <c r="R64" s="25">
        <v>0</v>
      </c>
      <c r="S64" s="25">
        <v>0</v>
      </c>
      <c r="T64" s="25">
        <v>0</v>
      </c>
      <c r="U64" s="25">
        <v>0</v>
      </c>
      <c r="V64" s="25">
        <v>0</v>
      </c>
      <c r="W64" s="25">
        <v>0</v>
      </c>
      <c r="X64" s="25">
        <v>0</v>
      </c>
      <c r="Y64" s="25">
        <v>0</v>
      </c>
      <c r="Z64" s="25">
        <v>0</v>
      </c>
      <c r="AA64" s="25">
        <v>0</v>
      </c>
      <c r="AB64" s="25">
        <v>0</v>
      </c>
      <c r="AC64" s="25">
        <v>0</v>
      </c>
      <c r="AD64" s="25">
        <v>0</v>
      </c>
      <c r="AE64" s="25">
        <v>0</v>
      </c>
      <c r="AF64" s="25">
        <v>0</v>
      </c>
      <c r="AG64" s="25">
        <v>0</v>
      </c>
      <c r="AH64" s="25">
        <v>0</v>
      </c>
      <c r="AI64" s="25">
        <v>0</v>
      </c>
      <c r="AJ64" s="25">
        <v>0</v>
      </c>
    </row>
    <row r="65" spans="1:36" x14ac:dyDescent="0.25">
      <c r="A65" t="s">
        <v>493</v>
      </c>
      <c r="B65" t="s">
        <v>305</v>
      </c>
      <c r="C65" s="25">
        <v>0</v>
      </c>
      <c r="D65" s="25">
        <v>0</v>
      </c>
      <c r="E65" s="25">
        <v>0</v>
      </c>
      <c r="F65" s="25">
        <v>0</v>
      </c>
      <c r="G65" s="25">
        <v>0</v>
      </c>
      <c r="H65" s="25">
        <v>0</v>
      </c>
      <c r="I65" s="25">
        <v>0</v>
      </c>
      <c r="J65" s="25">
        <v>0</v>
      </c>
      <c r="K65" s="25">
        <v>0</v>
      </c>
      <c r="L65" s="25">
        <v>0</v>
      </c>
      <c r="M65" s="25">
        <v>0</v>
      </c>
      <c r="N65" s="25">
        <v>0</v>
      </c>
      <c r="O65" s="25">
        <v>0</v>
      </c>
      <c r="P65" s="25">
        <v>0</v>
      </c>
      <c r="Q65" s="25">
        <v>0</v>
      </c>
      <c r="R65" s="25">
        <v>0</v>
      </c>
      <c r="S65" s="25">
        <v>0</v>
      </c>
      <c r="T65" s="25">
        <v>0</v>
      </c>
      <c r="U65" s="25">
        <v>0</v>
      </c>
      <c r="V65" s="25">
        <v>0</v>
      </c>
      <c r="W65" s="25">
        <v>0</v>
      </c>
      <c r="X65" s="25">
        <v>0</v>
      </c>
      <c r="Y65" s="25">
        <v>0</v>
      </c>
      <c r="Z65" s="25">
        <v>0</v>
      </c>
      <c r="AA65" s="25">
        <v>0</v>
      </c>
      <c r="AB65" s="25">
        <v>0</v>
      </c>
      <c r="AC65" s="25">
        <v>0</v>
      </c>
      <c r="AD65" s="25">
        <v>0</v>
      </c>
      <c r="AE65" s="25">
        <v>0</v>
      </c>
      <c r="AF65" s="25">
        <v>0</v>
      </c>
      <c r="AG65" s="25">
        <v>0</v>
      </c>
      <c r="AH65" s="25">
        <v>0</v>
      </c>
      <c r="AI65" s="25">
        <v>0</v>
      </c>
      <c r="AJ65" s="25">
        <v>0</v>
      </c>
    </row>
    <row r="66" spans="1:36" x14ac:dyDescent="0.25">
      <c r="A66" t="s">
        <v>494</v>
      </c>
      <c r="B66" t="s">
        <v>305</v>
      </c>
      <c r="C66" s="25">
        <v>0</v>
      </c>
      <c r="D66" s="25">
        <v>0</v>
      </c>
      <c r="E66" s="25">
        <v>0</v>
      </c>
      <c r="F66" s="25">
        <v>0</v>
      </c>
      <c r="G66" s="25">
        <v>0</v>
      </c>
      <c r="H66" s="25">
        <v>0</v>
      </c>
      <c r="I66" s="25">
        <v>0</v>
      </c>
      <c r="J66" s="25">
        <v>0</v>
      </c>
      <c r="K66" s="25">
        <v>0</v>
      </c>
      <c r="L66" s="25">
        <v>0</v>
      </c>
      <c r="M66" s="25">
        <v>0</v>
      </c>
      <c r="N66" s="25">
        <v>0</v>
      </c>
      <c r="O66" s="25">
        <v>0</v>
      </c>
      <c r="P66" s="25">
        <v>0</v>
      </c>
      <c r="Q66" s="25">
        <v>0</v>
      </c>
      <c r="R66" s="25">
        <v>0</v>
      </c>
      <c r="S66" s="25">
        <v>0</v>
      </c>
      <c r="T66" s="25">
        <v>0</v>
      </c>
      <c r="U66" s="25">
        <v>0</v>
      </c>
      <c r="V66" s="25">
        <v>0</v>
      </c>
      <c r="W66" s="25">
        <v>0</v>
      </c>
      <c r="X66" s="25">
        <v>0</v>
      </c>
      <c r="Y66" s="25">
        <v>0</v>
      </c>
      <c r="Z66" s="25">
        <v>0</v>
      </c>
      <c r="AA66" s="25">
        <v>0</v>
      </c>
      <c r="AB66" s="25">
        <v>0</v>
      </c>
      <c r="AC66" s="25">
        <v>0</v>
      </c>
      <c r="AD66" s="25">
        <v>0</v>
      </c>
      <c r="AE66" s="25">
        <v>0</v>
      </c>
      <c r="AF66" s="25">
        <v>0</v>
      </c>
      <c r="AG66" s="25">
        <v>0</v>
      </c>
      <c r="AH66" s="25">
        <v>0</v>
      </c>
      <c r="AI66" s="25">
        <v>0</v>
      </c>
      <c r="AJ66" s="25">
        <v>0</v>
      </c>
    </row>
    <row r="67" spans="1:36" s="55" customFormat="1" x14ac:dyDescent="0.25">
      <c r="A67" t="s">
        <v>495</v>
      </c>
      <c r="B67" t="s">
        <v>305</v>
      </c>
      <c r="C67" s="25">
        <v>5</v>
      </c>
      <c r="D67" s="25">
        <v>5</v>
      </c>
      <c r="E67" s="25">
        <v>5</v>
      </c>
      <c r="F67" s="25">
        <v>5</v>
      </c>
      <c r="G67" s="25">
        <v>5</v>
      </c>
      <c r="H67" s="25">
        <v>5</v>
      </c>
      <c r="I67" s="25">
        <v>5</v>
      </c>
      <c r="J67" s="25">
        <v>5</v>
      </c>
      <c r="K67" s="25">
        <v>5</v>
      </c>
      <c r="L67" s="25">
        <v>5</v>
      </c>
      <c r="M67" s="25">
        <v>5</v>
      </c>
      <c r="N67" s="25">
        <v>5</v>
      </c>
      <c r="O67" s="25">
        <v>5</v>
      </c>
      <c r="P67" s="25">
        <v>5</v>
      </c>
      <c r="Q67" s="25">
        <v>5</v>
      </c>
      <c r="R67" s="25">
        <v>5</v>
      </c>
      <c r="S67" s="25">
        <v>5</v>
      </c>
      <c r="T67" s="25">
        <v>5</v>
      </c>
      <c r="U67" s="25">
        <v>5</v>
      </c>
      <c r="V67" s="25">
        <v>5</v>
      </c>
      <c r="W67" s="25">
        <v>5</v>
      </c>
      <c r="X67" s="25">
        <v>5</v>
      </c>
      <c r="Y67" s="25">
        <v>5</v>
      </c>
      <c r="Z67" s="25">
        <v>5</v>
      </c>
      <c r="AA67" s="25">
        <v>5</v>
      </c>
      <c r="AB67" s="25">
        <v>5</v>
      </c>
      <c r="AC67" s="25">
        <v>5</v>
      </c>
      <c r="AD67" s="25">
        <v>5</v>
      </c>
      <c r="AE67" s="25">
        <v>5</v>
      </c>
      <c r="AF67" s="25">
        <v>5</v>
      </c>
      <c r="AG67" s="25">
        <v>5</v>
      </c>
      <c r="AH67" s="25">
        <v>5</v>
      </c>
      <c r="AI67" s="25">
        <v>5</v>
      </c>
      <c r="AJ67" s="25">
        <v>5</v>
      </c>
    </row>
    <row r="68" spans="1:36" x14ac:dyDescent="0.25">
      <c r="A68" t="s">
        <v>496</v>
      </c>
      <c r="B68" t="s">
        <v>305</v>
      </c>
      <c r="C68" s="25">
        <v>0</v>
      </c>
      <c r="D68" s="25">
        <v>0</v>
      </c>
      <c r="E68" s="25">
        <v>0</v>
      </c>
      <c r="F68" s="25">
        <v>0</v>
      </c>
      <c r="G68" s="25">
        <v>0</v>
      </c>
      <c r="H68" s="25">
        <v>0</v>
      </c>
      <c r="I68" s="25">
        <v>0</v>
      </c>
      <c r="J68" s="25">
        <v>0</v>
      </c>
      <c r="K68" s="25">
        <v>0</v>
      </c>
      <c r="L68" s="25">
        <v>0</v>
      </c>
      <c r="M68" s="25">
        <v>0</v>
      </c>
      <c r="N68" s="25">
        <v>0</v>
      </c>
      <c r="O68" s="25">
        <v>0</v>
      </c>
      <c r="P68" s="25">
        <v>0</v>
      </c>
      <c r="Q68" s="25">
        <v>0</v>
      </c>
      <c r="R68" s="25">
        <v>0</v>
      </c>
      <c r="S68" s="25">
        <v>0</v>
      </c>
      <c r="T68" s="25">
        <v>0</v>
      </c>
      <c r="U68" s="25">
        <v>0</v>
      </c>
      <c r="V68" s="25">
        <v>0</v>
      </c>
      <c r="W68" s="25">
        <v>0</v>
      </c>
      <c r="X68" s="25">
        <v>0</v>
      </c>
      <c r="Y68" s="25">
        <v>0</v>
      </c>
      <c r="Z68" s="25">
        <v>0</v>
      </c>
      <c r="AA68" s="25">
        <v>0</v>
      </c>
      <c r="AB68" s="25">
        <v>0</v>
      </c>
      <c r="AC68" s="25">
        <v>0</v>
      </c>
      <c r="AD68" s="25">
        <v>0</v>
      </c>
      <c r="AE68" s="25">
        <v>0</v>
      </c>
      <c r="AF68" s="25">
        <v>0</v>
      </c>
      <c r="AG68" s="25">
        <v>0</v>
      </c>
      <c r="AH68" s="25">
        <v>0</v>
      </c>
      <c r="AI68" s="25">
        <v>0</v>
      </c>
      <c r="AJ68" s="25">
        <v>0</v>
      </c>
    </row>
    <row r="69" spans="1:36" x14ac:dyDescent="0.25">
      <c r="A69" t="s">
        <v>497</v>
      </c>
      <c r="B69" t="s">
        <v>305</v>
      </c>
      <c r="C69" s="25">
        <v>0</v>
      </c>
      <c r="D69" s="25">
        <v>0</v>
      </c>
      <c r="E69" s="25">
        <v>0</v>
      </c>
      <c r="F69" s="25">
        <v>0</v>
      </c>
      <c r="G69" s="25">
        <v>0</v>
      </c>
      <c r="H69" s="25">
        <v>0</v>
      </c>
      <c r="I69" s="25">
        <v>0</v>
      </c>
      <c r="J69" s="25">
        <v>0</v>
      </c>
      <c r="K69" s="25">
        <v>0</v>
      </c>
      <c r="L69" s="25">
        <v>0</v>
      </c>
      <c r="M69" s="25">
        <v>0</v>
      </c>
      <c r="N69" s="25">
        <v>0</v>
      </c>
      <c r="O69" s="25">
        <v>0</v>
      </c>
      <c r="P69" s="25">
        <v>0</v>
      </c>
      <c r="Q69" s="25">
        <v>0</v>
      </c>
      <c r="R69" s="25">
        <v>0</v>
      </c>
      <c r="S69" s="25">
        <v>0</v>
      </c>
      <c r="T69" s="25">
        <v>0</v>
      </c>
      <c r="U69" s="25">
        <v>0</v>
      </c>
      <c r="V69" s="25">
        <v>0</v>
      </c>
      <c r="W69" s="25">
        <v>0</v>
      </c>
      <c r="X69" s="25">
        <v>0</v>
      </c>
      <c r="Y69" s="25">
        <v>0</v>
      </c>
      <c r="Z69" s="25">
        <v>0</v>
      </c>
      <c r="AA69" s="25">
        <v>0</v>
      </c>
      <c r="AB69" s="25">
        <v>0</v>
      </c>
      <c r="AC69" s="25">
        <v>0</v>
      </c>
      <c r="AD69" s="25">
        <v>0</v>
      </c>
      <c r="AE69" s="25">
        <v>0</v>
      </c>
      <c r="AF69" s="25">
        <v>0</v>
      </c>
      <c r="AG69" s="25">
        <v>0</v>
      </c>
      <c r="AH69" s="25">
        <v>0</v>
      </c>
      <c r="AI69" s="25">
        <v>0</v>
      </c>
      <c r="AJ69" s="25">
        <v>0</v>
      </c>
    </row>
    <row r="70" spans="1:36" s="55" customFormat="1" x14ac:dyDescent="0.25">
      <c r="A70" t="s">
        <v>498</v>
      </c>
      <c r="B70" t="s">
        <v>305</v>
      </c>
      <c r="C70" s="25">
        <v>90</v>
      </c>
      <c r="D70" s="25">
        <v>90</v>
      </c>
      <c r="E70" s="25">
        <v>90</v>
      </c>
      <c r="F70" s="25">
        <v>90</v>
      </c>
      <c r="G70" s="25">
        <v>90</v>
      </c>
      <c r="H70" s="25">
        <v>90</v>
      </c>
      <c r="I70" s="25">
        <v>90</v>
      </c>
      <c r="J70" s="25">
        <v>90</v>
      </c>
      <c r="K70" s="25">
        <v>90</v>
      </c>
      <c r="L70" s="25">
        <v>90</v>
      </c>
      <c r="M70" s="25">
        <v>90</v>
      </c>
      <c r="N70" s="25">
        <v>90</v>
      </c>
      <c r="O70" s="25">
        <v>90</v>
      </c>
      <c r="P70" s="25">
        <v>90</v>
      </c>
      <c r="Q70" s="25">
        <v>90</v>
      </c>
      <c r="R70" s="25">
        <v>90</v>
      </c>
      <c r="S70" s="25">
        <v>90</v>
      </c>
      <c r="T70" s="25">
        <v>90</v>
      </c>
      <c r="U70" s="25">
        <v>90</v>
      </c>
      <c r="V70" s="25">
        <v>90</v>
      </c>
      <c r="W70" s="25">
        <v>90</v>
      </c>
      <c r="X70" s="25">
        <v>90</v>
      </c>
      <c r="Y70" s="25">
        <v>90</v>
      </c>
      <c r="Z70" s="25">
        <v>90</v>
      </c>
      <c r="AA70" s="25">
        <v>90</v>
      </c>
      <c r="AB70" s="25">
        <v>90</v>
      </c>
      <c r="AC70" s="25">
        <v>90</v>
      </c>
      <c r="AD70" s="25">
        <v>90</v>
      </c>
      <c r="AE70" s="25">
        <v>90</v>
      </c>
      <c r="AF70" s="25">
        <v>90</v>
      </c>
      <c r="AG70" s="25">
        <v>90</v>
      </c>
      <c r="AH70" s="25">
        <v>90</v>
      </c>
      <c r="AI70" s="25">
        <v>90</v>
      </c>
      <c r="AJ70" s="25">
        <v>90</v>
      </c>
    </row>
    <row r="71" spans="1:36" x14ac:dyDescent="0.25">
      <c r="A71" t="s">
        <v>755</v>
      </c>
      <c r="B71" t="s">
        <v>305</v>
      </c>
      <c r="C71" s="25">
        <v>0</v>
      </c>
      <c r="D71" s="25">
        <v>0</v>
      </c>
      <c r="E71" s="25">
        <v>0</v>
      </c>
      <c r="F71" s="25">
        <v>0</v>
      </c>
      <c r="G71" s="25">
        <v>0</v>
      </c>
      <c r="H71" s="25">
        <v>0</v>
      </c>
      <c r="I71" s="25">
        <v>0</v>
      </c>
      <c r="J71" s="25">
        <v>0</v>
      </c>
      <c r="K71" s="25">
        <v>0</v>
      </c>
      <c r="L71" s="25">
        <v>0</v>
      </c>
      <c r="M71" s="25">
        <v>0</v>
      </c>
      <c r="N71" s="25">
        <v>0</v>
      </c>
      <c r="O71" s="25">
        <v>0</v>
      </c>
      <c r="P71" s="25">
        <v>0</v>
      </c>
      <c r="Q71" s="25">
        <v>0</v>
      </c>
      <c r="R71" s="25">
        <v>0</v>
      </c>
      <c r="S71" s="25">
        <v>0</v>
      </c>
      <c r="T71" s="25">
        <v>0</v>
      </c>
      <c r="U71" s="25">
        <v>0</v>
      </c>
      <c r="V71" s="25">
        <v>0</v>
      </c>
      <c r="W71" s="25">
        <v>0</v>
      </c>
      <c r="X71" s="25">
        <v>0</v>
      </c>
      <c r="Y71" s="25">
        <v>0</v>
      </c>
      <c r="Z71" s="25">
        <v>0</v>
      </c>
      <c r="AA71" s="25">
        <v>0</v>
      </c>
      <c r="AB71" s="25">
        <v>0</v>
      </c>
      <c r="AC71" s="25">
        <v>0</v>
      </c>
      <c r="AD71" s="25">
        <v>0</v>
      </c>
      <c r="AE71" s="25">
        <v>0</v>
      </c>
      <c r="AF71" s="25">
        <v>0</v>
      </c>
      <c r="AG71" s="25">
        <v>0</v>
      </c>
      <c r="AH71" s="25">
        <v>0</v>
      </c>
      <c r="AI71" s="25">
        <v>0</v>
      </c>
      <c r="AJ71" s="25">
        <v>0</v>
      </c>
    </row>
    <row r="72" spans="1:36" s="78" customFormat="1" x14ac:dyDescent="0.25">
      <c r="A72" s="78" t="s">
        <v>780</v>
      </c>
      <c r="C72" s="79">
        <f>+SUM(C61:C71)</f>
        <v>100</v>
      </c>
      <c r="D72" s="79">
        <f t="shared" ref="D72" si="100">+SUM(D61:D71)</f>
        <v>100</v>
      </c>
      <c r="E72" s="79">
        <f t="shared" ref="E72" si="101">+SUM(E61:E71)</f>
        <v>100</v>
      </c>
      <c r="F72" s="79">
        <f t="shared" ref="F72" si="102">+SUM(F61:F71)</f>
        <v>100</v>
      </c>
      <c r="G72" s="79">
        <f t="shared" ref="G72" si="103">+SUM(G61:G71)</f>
        <v>100</v>
      </c>
      <c r="H72" s="79">
        <f t="shared" ref="H72" si="104">+SUM(H61:H71)</f>
        <v>100</v>
      </c>
      <c r="I72" s="79">
        <f t="shared" ref="I72" si="105">+SUM(I61:I71)</f>
        <v>100</v>
      </c>
      <c r="J72" s="79">
        <f t="shared" ref="J72" si="106">+SUM(J61:J71)</f>
        <v>100</v>
      </c>
      <c r="K72" s="79">
        <f t="shared" ref="K72" si="107">+SUM(K61:K71)</f>
        <v>100</v>
      </c>
      <c r="L72" s="79">
        <f t="shared" ref="L72" si="108">+SUM(L61:L71)</f>
        <v>100</v>
      </c>
      <c r="M72" s="79">
        <f t="shared" ref="M72" si="109">+SUM(M61:M71)</f>
        <v>100</v>
      </c>
      <c r="N72" s="79">
        <f t="shared" ref="N72" si="110">+SUM(N61:N71)</f>
        <v>100</v>
      </c>
      <c r="O72" s="79">
        <f t="shared" ref="O72" si="111">+SUM(O61:O71)</f>
        <v>100</v>
      </c>
      <c r="P72" s="79">
        <f t="shared" ref="P72" si="112">+SUM(P61:P71)</f>
        <v>100</v>
      </c>
      <c r="Q72" s="79">
        <f t="shared" ref="Q72" si="113">+SUM(Q61:Q71)</f>
        <v>100</v>
      </c>
      <c r="R72" s="79">
        <f t="shared" ref="R72" si="114">+SUM(R61:R71)</f>
        <v>100</v>
      </c>
      <c r="S72" s="79">
        <f t="shared" ref="S72" si="115">+SUM(S61:S71)</f>
        <v>100</v>
      </c>
      <c r="T72" s="79">
        <f t="shared" ref="T72" si="116">+SUM(T61:T71)</f>
        <v>100</v>
      </c>
      <c r="U72" s="79">
        <f t="shared" ref="U72" si="117">+SUM(U61:U71)</f>
        <v>100</v>
      </c>
      <c r="V72" s="79">
        <f t="shared" ref="V72" si="118">+SUM(V61:V71)</f>
        <v>100</v>
      </c>
      <c r="W72" s="79">
        <f t="shared" ref="W72" si="119">+SUM(W61:W71)</f>
        <v>100</v>
      </c>
      <c r="X72" s="79">
        <f t="shared" ref="X72" si="120">+SUM(X61:X71)</f>
        <v>100</v>
      </c>
      <c r="Y72" s="79">
        <f t="shared" ref="Y72" si="121">+SUM(Y61:Y71)</f>
        <v>100</v>
      </c>
      <c r="Z72" s="79">
        <f t="shared" ref="Z72" si="122">+SUM(Z61:Z71)</f>
        <v>100</v>
      </c>
      <c r="AA72" s="79">
        <f t="shared" ref="AA72" si="123">+SUM(AA61:AA71)</f>
        <v>100</v>
      </c>
      <c r="AB72" s="79">
        <f t="shared" ref="AB72" si="124">+SUM(AB61:AB71)</f>
        <v>100</v>
      </c>
      <c r="AC72" s="79">
        <f t="shared" ref="AC72" si="125">+SUM(AC61:AC71)</f>
        <v>100</v>
      </c>
      <c r="AD72" s="79">
        <f t="shared" ref="AD72" si="126">+SUM(AD61:AD71)</f>
        <v>100</v>
      </c>
      <c r="AE72" s="79">
        <f t="shared" ref="AE72" si="127">+SUM(AE61:AE71)</f>
        <v>100</v>
      </c>
      <c r="AF72" s="79">
        <f t="shared" ref="AF72" si="128">+SUM(AF61:AF71)</f>
        <v>100</v>
      </c>
      <c r="AG72" s="79">
        <f t="shared" ref="AG72" si="129">+SUM(AG61:AG71)</f>
        <v>100</v>
      </c>
      <c r="AH72" s="79">
        <f t="shared" ref="AH72" si="130">+SUM(AH61:AH71)</f>
        <v>100</v>
      </c>
      <c r="AI72" s="79">
        <f t="shared" ref="AI72" si="131">+SUM(AI61:AI71)</f>
        <v>100</v>
      </c>
      <c r="AJ72" s="79">
        <f t="shared" ref="AJ72" si="132">+SUM(AJ61:AJ71)</f>
        <v>100</v>
      </c>
    </row>
    <row r="73" spans="1:36" x14ac:dyDescent="0.25">
      <c r="A73" s="77" t="s">
        <v>499</v>
      </c>
      <c r="B73" t="s">
        <v>305</v>
      </c>
      <c r="C73" s="25">
        <v>3</v>
      </c>
      <c r="D73" s="25">
        <v>3</v>
      </c>
      <c r="E73" s="25">
        <v>3</v>
      </c>
      <c r="F73" s="25">
        <v>3</v>
      </c>
      <c r="G73" s="25">
        <v>3</v>
      </c>
      <c r="H73" s="25">
        <v>3</v>
      </c>
      <c r="I73" s="25">
        <v>3</v>
      </c>
      <c r="J73" s="25">
        <v>3</v>
      </c>
      <c r="K73" s="25">
        <v>3</v>
      </c>
      <c r="L73" s="25">
        <v>3</v>
      </c>
      <c r="M73" s="25">
        <v>3</v>
      </c>
      <c r="N73" s="25">
        <v>3</v>
      </c>
      <c r="O73" s="25">
        <v>3</v>
      </c>
      <c r="P73" s="25">
        <v>3</v>
      </c>
      <c r="Q73" s="25">
        <v>3</v>
      </c>
      <c r="R73" s="25">
        <v>3</v>
      </c>
      <c r="S73" s="25">
        <v>3</v>
      </c>
      <c r="T73" s="25">
        <v>3</v>
      </c>
      <c r="U73" s="25">
        <v>3</v>
      </c>
      <c r="V73" s="25">
        <v>3</v>
      </c>
      <c r="W73" s="25">
        <v>3</v>
      </c>
      <c r="X73" s="25">
        <v>3</v>
      </c>
      <c r="Y73" s="25">
        <v>3</v>
      </c>
      <c r="Z73" s="25">
        <v>3</v>
      </c>
      <c r="AA73" s="25">
        <v>3</v>
      </c>
      <c r="AB73" s="25">
        <v>3</v>
      </c>
      <c r="AC73" s="25">
        <v>3</v>
      </c>
      <c r="AD73" s="25">
        <v>3</v>
      </c>
      <c r="AE73" s="25">
        <v>3</v>
      </c>
      <c r="AF73" s="25">
        <v>3</v>
      </c>
      <c r="AG73" s="25">
        <v>3</v>
      </c>
      <c r="AH73" s="25">
        <v>3</v>
      </c>
      <c r="AI73" s="25">
        <v>3</v>
      </c>
      <c r="AJ73" s="25">
        <v>3</v>
      </c>
    </row>
    <row r="74" spans="1:36" x14ac:dyDescent="0.25">
      <c r="A74" s="77" t="s">
        <v>500</v>
      </c>
      <c r="B74" t="s">
        <v>305</v>
      </c>
      <c r="C74" s="25">
        <v>3</v>
      </c>
      <c r="D74" s="25">
        <v>3</v>
      </c>
      <c r="E74" s="25">
        <v>3</v>
      </c>
      <c r="F74" s="25">
        <v>3</v>
      </c>
      <c r="G74" s="25">
        <v>3</v>
      </c>
      <c r="H74" s="25">
        <v>3</v>
      </c>
      <c r="I74" s="25">
        <v>3</v>
      </c>
      <c r="J74" s="25">
        <v>3</v>
      </c>
      <c r="K74" s="25">
        <v>3</v>
      </c>
      <c r="L74" s="25">
        <v>3</v>
      </c>
      <c r="M74" s="25">
        <v>3</v>
      </c>
      <c r="N74" s="25">
        <v>3</v>
      </c>
      <c r="O74" s="25">
        <v>3</v>
      </c>
      <c r="P74" s="25">
        <v>3</v>
      </c>
      <c r="Q74" s="25">
        <v>3</v>
      </c>
      <c r="R74" s="25">
        <v>3</v>
      </c>
      <c r="S74" s="25">
        <v>3</v>
      </c>
      <c r="T74" s="25">
        <v>3</v>
      </c>
      <c r="U74" s="25">
        <v>3</v>
      </c>
      <c r="V74" s="25">
        <v>3</v>
      </c>
      <c r="W74" s="25">
        <v>3</v>
      </c>
      <c r="X74" s="25">
        <v>3</v>
      </c>
      <c r="Y74" s="25">
        <v>3</v>
      </c>
      <c r="Z74" s="25">
        <v>3</v>
      </c>
      <c r="AA74" s="25">
        <v>3</v>
      </c>
      <c r="AB74" s="25">
        <v>3</v>
      </c>
      <c r="AC74" s="25">
        <v>3</v>
      </c>
      <c r="AD74" s="25">
        <v>3</v>
      </c>
      <c r="AE74" s="25">
        <v>3</v>
      </c>
      <c r="AF74" s="25">
        <v>3</v>
      </c>
      <c r="AG74" s="25">
        <v>3</v>
      </c>
      <c r="AH74" s="25">
        <v>3</v>
      </c>
      <c r="AI74" s="25">
        <v>3</v>
      </c>
      <c r="AJ74" s="25">
        <v>3</v>
      </c>
    </row>
    <row r="75" spans="1:36" x14ac:dyDescent="0.25">
      <c r="A75" s="77" t="s">
        <v>501</v>
      </c>
      <c r="B75" t="s">
        <v>305</v>
      </c>
      <c r="C75" s="25">
        <v>86</v>
      </c>
      <c r="D75" s="25">
        <v>86</v>
      </c>
      <c r="E75" s="25">
        <v>86</v>
      </c>
      <c r="F75" s="25">
        <v>86</v>
      </c>
      <c r="G75" s="25">
        <v>86</v>
      </c>
      <c r="H75" s="25">
        <v>86</v>
      </c>
      <c r="I75" s="25">
        <v>86</v>
      </c>
      <c r="J75" s="25">
        <v>86</v>
      </c>
      <c r="K75" s="25">
        <v>86</v>
      </c>
      <c r="L75" s="25">
        <v>86</v>
      </c>
      <c r="M75" s="25">
        <v>86</v>
      </c>
      <c r="N75" s="25">
        <v>86</v>
      </c>
      <c r="O75" s="25">
        <v>86</v>
      </c>
      <c r="P75" s="25">
        <v>86</v>
      </c>
      <c r="Q75" s="25">
        <v>86</v>
      </c>
      <c r="R75" s="25">
        <v>86</v>
      </c>
      <c r="S75" s="25">
        <v>86</v>
      </c>
      <c r="T75" s="25">
        <v>86</v>
      </c>
      <c r="U75" s="25">
        <v>86</v>
      </c>
      <c r="V75" s="25">
        <v>86</v>
      </c>
      <c r="W75" s="25">
        <v>86</v>
      </c>
      <c r="X75" s="25">
        <v>86</v>
      </c>
      <c r="Y75" s="25">
        <v>86</v>
      </c>
      <c r="Z75" s="25">
        <v>86</v>
      </c>
      <c r="AA75" s="25">
        <v>86</v>
      </c>
      <c r="AB75" s="25">
        <v>86</v>
      </c>
      <c r="AC75" s="25">
        <v>86</v>
      </c>
      <c r="AD75" s="25">
        <v>86</v>
      </c>
      <c r="AE75" s="25">
        <v>86</v>
      </c>
      <c r="AF75" s="25">
        <v>86</v>
      </c>
      <c r="AG75" s="25">
        <v>86</v>
      </c>
      <c r="AH75" s="25">
        <v>86</v>
      </c>
      <c r="AI75" s="25">
        <v>86</v>
      </c>
      <c r="AJ75" s="25">
        <v>86</v>
      </c>
    </row>
    <row r="76" spans="1:36" x14ac:dyDescent="0.25">
      <c r="A76" s="77" t="s">
        <v>502</v>
      </c>
      <c r="B76" t="s">
        <v>305</v>
      </c>
      <c r="C76" s="25">
        <v>0</v>
      </c>
      <c r="D76" s="25">
        <v>0</v>
      </c>
      <c r="E76" s="25">
        <v>0</v>
      </c>
      <c r="F76" s="25">
        <v>0</v>
      </c>
      <c r="G76" s="25">
        <v>0</v>
      </c>
      <c r="H76" s="25">
        <v>0</v>
      </c>
      <c r="I76" s="25">
        <v>0</v>
      </c>
      <c r="J76" s="25">
        <v>0</v>
      </c>
      <c r="K76" s="25">
        <v>0</v>
      </c>
      <c r="L76" s="25">
        <v>0</v>
      </c>
      <c r="M76" s="25">
        <v>0</v>
      </c>
      <c r="N76" s="25">
        <v>0</v>
      </c>
      <c r="O76" s="25">
        <v>0</v>
      </c>
      <c r="P76" s="25">
        <v>0</v>
      </c>
      <c r="Q76" s="25">
        <v>0</v>
      </c>
      <c r="R76" s="25">
        <v>0</v>
      </c>
      <c r="S76" s="25">
        <v>0</v>
      </c>
      <c r="T76" s="25">
        <v>0</v>
      </c>
      <c r="U76" s="25">
        <v>0</v>
      </c>
      <c r="V76" s="25">
        <v>0</v>
      </c>
      <c r="W76" s="25">
        <v>0</v>
      </c>
      <c r="X76" s="25">
        <v>0</v>
      </c>
      <c r="Y76" s="25">
        <v>0</v>
      </c>
      <c r="Z76" s="25">
        <v>0</v>
      </c>
      <c r="AA76" s="25">
        <v>0</v>
      </c>
      <c r="AB76" s="25">
        <v>0</v>
      </c>
      <c r="AC76" s="25">
        <v>0</v>
      </c>
      <c r="AD76" s="25">
        <v>0</v>
      </c>
      <c r="AE76" s="25">
        <v>0</v>
      </c>
      <c r="AF76" s="25">
        <v>0</v>
      </c>
      <c r="AG76" s="25">
        <v>0</v>
      </c>
      <c r="AH76" s="25">
        <v>0</v>
      </c>
      <c r="AI76" s="25">
        <v>0</v>
      </c>
      <c r="AJ76" s="25">
        <v>0</v>
      </c>
    </row>
    <row r="77" spans="1:36" x14ac:dyDescent="0.25">
      <c r="A77" s="77" t="s">
        <v>503</v>
      </c>
      <c r="B77" t="s">
        <v>305</v>
      </c>
      <c r="C77" s="25">
        <v>3</v>
      </c>
      <c r="D77" s="25">
        <v>3</v>
      </c>
      <c r="E77" s="25">
        <v>3</v>
      </c>
      <c r="F77" s="25">
        <v>3</v>
      </c>
      <c r="G77" s="25">
        <v>3</v>
      </c>
      <c r="H77" s="25">
        <v>3</v>
      </c>
      <c r="I77" s="25">
        <v>3</v>
      </c>
      <c r="J77" s="25">
        <v>3</v>
      </c>
      <c r="K77" s="25">
        <v>3</v>
      </c>
      <c r="L77" s="25">
        <v>3</v>
      </c>
      <c r="M77" s="25">
        <v>3</v>
      </c>
      <c r="N77" s="25">
        <v>3</v>
      </c>
      <c r="O77" s="25">
        <v>3</v>
      </c>
      <c r="P77" s="25">
        <v>3</v>
      </c>
      <c r="Q77" s="25">
        <v>3</v>
      </c>
      <c r="R77" s="25">
        <v>3</v>
      </c>
      <c r="S77" s="25">
        <v>3</v>
      </c>
      <c r="T77" s="25">
        <v>3</v>
      </c>
      <c r="U77" s="25">
        <v>3</v>
      </c>
      <c r="V77" s="25">
        <v>3</v>
      </c>
      <c r="W77" s="25">
        <v>3</v>
      </c>
      <c r="X77" s="25">
        <v>3</v>
      </c>
      <c r="Y77" s="25">
        <v>3</v>
      </c>
      <c r="Z77" s="25">
        <v>3</v>
      </c>
      <c r="AA77" s="25">
        <v>3</v>
      </c>
      <c r="AB77" s="25">
        <v>3</v>
      </c>
      <c r="AC77" s="25">
        <v>3</v>
      </c>
      <c r="AD77" s="25">
        <v>3</v>
      </c>
      <c r="AE77" s="25">
        <v>3</v>
      </c>
      <c r="AF77" s="25">
        <v>3</v>
      </c>
      <c r="AG77" s="25">
        <v>3</v>
      </c>
      <c r="AH77" s="25">
        <v>3</v>
      </c>
      <c r="AI77" s="25">
        <v>3</v>
      </c>
      <c r="AJ77" s="25">
        <v>3</v>
      </c>
    </row>
    <row r="78" spans="1:36" x14ac:dyDescent="0.25">
      <c r="A78" s="77" t="s">
        <v>504</v>
      </c>
      <c r="B78" t="s">
        <v>305</v>
      </c>
      <c r="C78" s="25">
        <v>5</v>
      </c>
      <c r="D78" s="25">
        <v>5</v>
      </c>
      <c r="E78" s="25">
        <v>5</v>
      </c>
      <c r="F78" s="25">
        <v>5</v>
      </c>
      <c r="G78" s="25">
        <v>5</v>
      </c>
      <c r="H78" s="25">
        <v>5</v>
      </c>
      <c r="I78" s="25">
        <v>5</v>
      </c>
      <c r="J78" s="25">
        <v>5</v>
      </c>
      <c r="K78" s="25">
        <v>5</v>
      </c>
      <c r="L78" s="25">
        <v>5</v>
      </c>
      <c r="M78" s="25">
        <v>5</v>
      </c>
      <c r="N78" s="25">
        <v>5</v>
      </c>
      <c r="O78" s="25">
        <v>5</v>
      </c>
      <c r="P78" s="25">
        <v>5</v>
      </c>
      <c r="Q78" s="25">
        <v>5</v>
      </c>
      <c r="R78" s="25">
        <v>5</v>
      </c>
      <c r="S78" s="25">
        <v>5</v>
      </c>
      <c r="T78" s="25">
        <v>5</v>
      </c>
      <c r="U78" s="25">
        <v>5</v>
      </c>
      <c r="V78" s="25">
        <v>5</v>
      </c>
      <c r="W78" s="25">
        <v>5</v>
      </c>
      <c r="X78" s="25">
        <v>5</v>
      </c>
      <c r="Y78" s="25">
        <v>5</v>
      </c>
      <c r="Z78" s="25">
        <v>5</v>
      </c>
      <c r="AA78" s="25">
        <v>5</v>
      </c>
      <c r="AB78" s="25">
        <v>5</v>
      </c>
      <c r="AC78" s="25">
        <v>5</v>
      </c>
      <c r="AD78" s="25">
        <v>5</v>
      </c>
      <c r="AE78" s="25">
        <v>5</v>
      </c>
      <c r="AF78" s="25">
        <v>5</v>
      </c>
      <c r="AG78" s="25">
        <v>5</v>
      </c>
      <c r="AH78" s="25">
        <v>5</v>
      </c>
      <c r="AI78" s="25">
        <v>5</v>
      </c>
      <c r="AJ78" s="25">
        <v>5</v>
      </c>
    </row>
    <row r="79" spans="1:36" x14ac:dyDescent="0.25">
      <c r="A79" s="77" t="s">
        <v>505</v>
      </c>
      <c r="B79" t="s">
        <v>305</v>
      </c>
      <c r="C79" s="25">
        <v>0</v>
      </c>
      <c r="D79" s="25">
        <v>0</v>
      </c>
      <c r="E79" s="25">
        <v>0</v>
      </c>
      <c r="F79" s="25">
        <v>0</v>
      </c>
      <c r="G79" s="25">
        <v>0</v>
      </c>
      <c r="H79" s="25">
        <v>0</v>
      </c>
      <c r="I79" s="25">
        <v>0</v>
      </c>
      <c r="J79" s="25">
        <v>0</v>
      </c>
      <c r="K79" s="25">
        <v>0</v>
      </c>
      <c r="L79" s="25">
        <v>0</v>
      </c>
      <c r="M79" s="25">
        <v>0</v>
      </c>
      <c r="N79" s="25">
        <v>0</v>
      </c>
      <c r="O79" s="25">
        <v>0</v>
      </c>
      <c r="P79" s="25">
        <v>0</v>
      </c>
      <c r="Q79" s="25">
        <v>0</v>
      </c>
      <c r="R79" s="25">
        <v>0</v>
      </c>
      <c r="S79" s="25">
        <v>0</v>
      </c>
      <c r="T79" s="25">
        <v>0</v>
      </c>
      <c r="U79" s="25">
        <v>0</v>
      </c>
      <c r="V79" s="25">
        <v>0</v>
      </c>
      <c r="W79" s="25">
        <v>0</v>
      </c>
      <c r="X79" s="25">
        <v>0</v>
      </c>
      <c r="Y79" s="25">
        <v>0</v>
      </c>
      <c r="Z79" s="25">
        <v>0</v>
      </c>
      <c r="AA79" s="25">
        <v>0</v>
      </c>
      <c r="AB79" s="25">
        <v>0</v>
      </c>
      <c r="AC79" s="25">
        <v>0</v>
      </c>
      <c r="AD79" s="25">
        <v>0</v>
      </c>
      <c r="AE79" s="25">
        <v>0</v>
      </c>
      <c r="AF79" s="25">
        <v>0</v>
      </c>
      <c r="AG79" s="25">
        <v>0</v>
      </c>
      <c r="AH79" s="25">
        <v>0</v>
      </c>
      <c r="AI79" s="25">
        <v>0</v>
      </c>
      <c r="AJ79" s="25">
        <v>0</v>
      </c>
    </row>
    <row r="80" spans="1:36" x14ac:dyDescent="0.25">
      <c r="A80" s="77" t="s">
        <v>506</v>
      </c>
      <c r="B80" t="s">
        <v>305</v>
      </c>
      <c r="C80" s="25">
        <v>0</v>
      </c>
      <c r="D80" s="25">
        <v>0</v>
      </c>
      <c r="E80" s="25">
        <v>0</v>
      </c>
      <c r="F80" s="25">
        <v>0</v>
      </c>
      <c r="G80" s="25">
        <v>0</v>
      </c>
      <c r="H80" s="25">
        <v>0</v>
      </c>
      <c r="I80" s="25">
        <v>0</v>
      </c>
      <c r="J80" s="25">
        <v>0</v>
      </c>
      <c r="K80" s="25">
        <v>0</v>
      </c>
      <c r="L80" s="25">
        <v>0</v>
      </c>
      <c r="M80" s="25">
        <v>0</v>
      </c>
      <c r="N80" s="25">
        <v>0</v>
      </c>
      <c r="O80" s="25">
        <v>0</v>
      </c>
      <c r="P80" s="25">
        <v>0</v>
      </c>
      <c r="Q80" s="25">
        <v>0</v>
      </c>
      <c r="R80" s="25">
        <v>0</v>
      </c>
      <c r="S80" s="25">
        <v>0</v>
      </c>
      <c r="T80" s="25">
        <v>0</v>
      </c>
      <c r="U80" s="25">
        <v>0</v>
      </c>
      <c r="V80" s="25">
        <v>0</v>
      </c>
      <c r="W80" s="25">
        <v>0</v>
      </c>
      <c r="X80" s="25">
        <v>0</v>
      </c>
      <c r="Y80" s="25">
        <v>0</v>
      </c>
      <c r="Z80" s="25">
        <v>0</v>
      </c>
      <c r="AA80" s="25">
        <v>0</v>
      </c>
      <c r="AB80" s="25">
        <v>0</v>
      </c>
      <c r="AC80" s="25">
        <v>0</v>
      </c>
      <c r="AD80" s="25">
        <v>0</v>
      </c>
      <c r="AE80" s="25">
        <v>0</v>
      </c>
      <c r="AF80" s="25">
        <v>0</v>
      </c>
      <c r="AG80" s="25">
        <v>0</v>
      </c>
      <c r="AH80" s="25">
        <v>0</v>
      </c>
      <c r="AI80" s="25">
        <v>0</v>
      </c>
      <c r="AJ80" s="25">
        <v>0</v>
      </c>
    </row>
    <row r="81" spans="1:36" x14ac:dyDescent="0.25">
      <c r="A81" s="77" t="s">
        <v>507</v>
      </c>
      <c r="B81" t="s">
        <v>305</v>
      </c>
      <c r="C81" s="25">
        <v>0</v>
      </c>
      <c r="D81" s="25">
        <v>0</v>
      </c>
      <c r="E81" s="25">
        <v>0</v>
      </c>
      <c r="F81" s="25">
        <v>0</v>
      </c>
      <c r="G81" s="25">
        <v>0</v>
      </c>
      <c r="H81" s="25">
        <v>0</v>
      </c>
      <c r="I81" s="25">
        <v>0</v>
      </c>
      <c r="J81" s="25">
        <v>0</v>
      </c>
      <c r="K81" s="25">
        <v>0</v>
      </c>
      <c r="L81" s="25">
        <v>0</v>
      </c>
      <c r="M81" s="25">
        <v>0</v>
      </c>
      <c r="N81" s="25">
        <v>0</v>
      </c>
      <c r="O81" s="25">
        <v>0</v>
      </c>
      <c r="P81" s="25">
        <v>0</v>
      </c>
      <c r="Q81" s="25">
        <v>0</v>
      </c>
      <c r="R81" s="25">
        <v>0</v>
      </c>
      <c r="S81" s="25">
        <v>0</v>
      </c>
      <c r="T81" s="25">
        <v>0</v>
      </c>
      <c r="U81" s="25">
        <v>0</v>
      </c>
      <c r="V81" s="25">
        <v>0</v>
      </c>
      <c r="W81" s="25">
        <v>0</v>
      </c>
      <c r="X81" s="25">
        <v>0</v>
      </c>
      <c r="Y81" s="25">
        <v>0</v>
      </c>
      <c r="Z81" s="25">
        <v>0</v>
      </c>
      <c r="AA81" s="25">
        <v>0</v>
      </c>
      <c r="AB81" s="25">
        <v>0</v>
      </c>
      <c r="AC81" s="25">
        <v>0</v>
      </c>
      <c r="AD81" s="25">
        <v>0</v>
      </c>
      <c r="AE81" s="25">
        <v>0</v>
      </c>
      <c r="AF81" s="25">
        <v>0</v>
      </c>
      <c r="AG81" s="25">
        <v>0</v>
      </c>
      <c r="AH81" s="25">
        <v>0</v>
      </c>
      <c r="AI81" s="25">
        <v>0</v>
      </c>
      <c r="AJ81" s="25">
        <v>0</v>
      </c>
    </row>
    <row r="82" spans="1:36" x14ac:dyDescent="0.25">
      <c r="A82" s="77" t="s">
        <v>508</v>
      </c>
      <c r="B82" t="s">
        <v>305</v>
      </c>
      <c r="C82" s="25">
        <v>0</v>
      </c>
      <c r="D82" s="25">
        <v>0</v>
      </c>
      <c r="E82" s="25">
        <v>0</v>
      </c>
      <c r="F82" s="25">
        <v>0</v>
      </c>
      <c r="G82" s="25">
        <v>0</v>
      </c>
      <c r="H82" s="25">
        <v>0</v>
      </c>
      <c r="I82" s="25">
        <v>0</v>
      </c>
      <c r="J82" s="25">
        <v>0</v>
      </c>
      <c r="K82" s="25">
        <v>0</v>
      </c>
      <c r="L82" s="25">
        <v>0</v>
      </c>
      <c r="M82" s="25">
        <v>0</v>
      </c>
      <c r="N82" s="25">
        <v>0</v>
      </c>
      <c r="O82" s="25">
        <v>0</v>
      </c>
      <c r="P82" s="25">
        <v>0</v>
      </c>
      <c r="Q82" s="25">
        <v>0</v>
      </c>
      <c r="R82" s="25">
        <v>0</v>
      </c>
      <c r="S82" s="25">
        <v>0</v>
      </c>
      <c r="T82" s="25">
        <v>0</v>
      </c>
      <c r="U82" s="25">
        <v>0</v>
      </c>
      <c r="V82" s="25">
        <v>0</v>
      </c>
      <c r="W82" s="25">
        <v>0</v>
      </c>
      <c r="X82" s="25">
        <v>0</v>
      </c>
      <c r="Y82" s="25">
        <v>0</v>
      </c>
      <c r="Z82" s="25">
        <v>0</v>
      </c>
      <c r="AA82" s="25">
        <v>0</v>
      </c>
      <c r="AB82" s="25">
        <v>0</v>
      </c>
      <c r="AC82" s="25">
        <v>0</v>
      </c>
      <c r="AD82" s="25">
        <v>0</v>
      </c>
      <c r="AE82" s="25">
        <v>0</v>
      </c>
      <c r="AF82" s="25">
        <v>0</v>
      </c>
      <c r="AG82" s="25">
        <v>0</v>
      </c>
      <c r="AH82" s="25">
        <v>0</v>
      </c>
      <c r="AI82" s="25">
        <v>0</v>
      </c>
      <c r="AJ82" s="25">
        <v>0</v>
      </c>
    </row>
    <row r="83" spans="1:36" x14ac:dyDescent="0.25">
      <c r="A83" s="77" t="s">
        <v>756</v>
      </c>
      <c r="B83" t="s">
        <v>305</v>
      </c>
      <c r="C83" s="25">
        <v>0</v>
      </c>
      <c r="D83" s="25">
        <v>0</v>
      </c>
      <c r="E83" s="25">
        <v>0</v>
      </c>
      <c r="F83" s="25">
        <v>0</v>
      </c>
      <c r="G83" s="25">
        <v>0</v>
      </c>
      <c r="H83" s="25">
        <v>0</v>
      </c>
      <c r="I83" s="25">
        <v>0</v>
      </c>
      <c r="J83" s="25">
        <v>0</v>
      </c>
      <c r="K83" s="25">
        <v>0</v>
      </c>
      <c r="L83" s="25">
        <v>0</v>
      </c>
      <c r="M83" s="25">
        <v>0</v>
      </c>
      <c r="N83" s="25">
        <v>0</v>
      </c>
      <c r="O83" s="25">
        <v>0</v>
      </c>
      <c r="P83" s="25">
        <v>0</v>
      </c>
      <c r="Q83" s="25">
        <v>0</v>
      </c>
      <c r="R83" s="25">
        <v>0</v>
      </c>
      <c r="S83" s="25">
        <v>0</v>
      </c>
      <c r="T83" s="25">
        <v>0</v>
      </c>
      <c r="U83" s="25">
        <v>0</v>
      </c>
      <c r="V83" s="25">
        <v>0</v>
      </c>
      <c r="W83" s="25">
        <v>0</v>
      </c>
      <c r="X83" s="25">
        <v>0</v>
      </c>
      <c r="Y83" s="25">
        <v>0</v>
      </c>
      <c r="Z83" s="25">
        <v>0</v>
      </c>
      <c r="AA83" s="25">
        <v>0</v>
      </c>
      <c r="AB83" s="25">
        <v>0</v>
      </c>
      <c r="AC83" s="25">
        <v>0</v>
      </c>
      <c r="AD83" s="25">
        <v>0</v>
      </c>
      <c r="AE83" s="25">
        <v>0</v>
      </c>
      <c r="AF83" s="25">
        <v>0</v>
      </c>
      <c r="AG83" s="25">
        <v>0</v>
      </c>
      <c r="AH83" s="25">
        <v>0</v>
      </c>
      <c r="AI83" s="25">
        <v>0</v>
      </c>
      <c r="AJ83" s="25">
        <v>0</v>
      </c>
    </row>
    <row r="84" spans="1:36" s="78" customFormat="1" x14ac:dyDescent="0.25">
      <c r="A84" s="78" t="s">
        <v>780</v>
      </c>
      <c r="C84" s="79">
        <f>+SUM(C73:C83)</f>
        <v>100</v>
      </c>
      <c r="D84" s="79">
        <f t="shared" ref="D84" si="133">+SUM(D73:D83)</f>
        <v>100</v>
      </c>
      <c r="E84" s="79">
        <f t="shared" ref="E84" si="134">+SUM(E73:E83)</f>
        <v>100</v>
      </c>
      <c r="F84" s="79">
        <f t="shared" ref="F84" si="135">+SUM(F73:F83)</f>
        <v>100</v>
      </c>
      <c r="G84" s="79">
        <f t="shared" ref="G84" si="136">+SUM(G73:G83)</f>
        <v>100</v>
      </c>
      <c r="H84" s="79">
        <f t="shared" ref="H84" si="137">+SUM(H73:H83)</f>
        <v>100</v>
      </c>
      <c r="I84" s="79">
        <f t="shared" ref="I84" si="138">+SUM(I73:I83)</f>
        <v>100</v>
      </c>
      <c r="J84" s="79">
        <f t="shared" ref="J84" si="139">+SUM(J73:J83)</f>
        <v>100</v>
      </c>
      <c r="K84" s="79">
        <f t="shared" ref="K84" si="140">+SUM(K73:K83)</f>
        <v>100</v>
      </c>
      <c r="L84" s="79">
        <f t="shared" ref="L84" si="141">+SUM(L73:L83)</f>
        <v>100</v>
      </c>
      <c r="M84" s="79">
        <f t="shared" ref="M84" si="142">+SUM(M73:M83)</f>
        <v>100</v>
      </c>
      <c r="N84" s="79">
        <f t="shared" ref="N84" si="143">+SUM(N73:N83)</f>
        <v>100</v>
      </c>
      <c r="O84" s="79">
        <f t="shared" ref="O84" si="144">+SUM(O73:O83)</f>
        <v>100</v>
      </c>
      <c r="P84" s="79">
        <f t="shared" ref="P84" si="145">+SUM(P73:P83)</f>
        <v>100</v>
      </c>
      <c r="Q84" s="79">
        <f t="shared" ref="Q84" si="146">+SUM(Q73:Q83)</f>
        <v>100</v>
      </c>
      <c r="R84" s="79">
        <f t="shared" ref="R84" si="147">+SUM(R73:R83)</f>
        <v>100</v>
      </c>
      <c r="S84" s="79">
        <f t="shared" ref="S84" si="148">+SUM(S73:S83)</f>
        <v>100</v>
      </c>
      <c r="T84" s="79">
        <f t="shared" ref="T84" si="149">+SUM(T73:T83)</f>
        <v>100</v>
      </c>
      <c r="U84" s="79">
        <f t="shared" ref="U84" si="150">+SUM(U73:U83)</f>
        <v>100</v>
      </c>
      <c r="V84" s="79">
        <f t="shared" ref="V84" si="151">+SUM(V73:V83)</f>
        <v>100</v>
      </c>
      <c r="W84" s="79">
        <f t="shared" ref="W84" si="152">+SUM(W73:W83)</f>
        <v>100</v>
      </c>
      <c r="X84" s="79">
        <f t="shared" ref="X84" si="153">+SUM(X73:X83)</f>
        <v>100</v>
      </c>
      <c r="Y84" s="79">
        <f t="shared" ref="Y84" si="154">+SUM(Y73:Y83)</f>
        <v>100</v>
      </c>
      <c r="Z84" s="79">
        <f t="shared" ref="Z84" si="155">+SUM(Z73:Z83)</f>
        <v>100</v>
      </c>
      <c r="AA84" s="79">
        <f t="shared" ref="AA84" si="156">+SUM(AA73:AA83)</f>
        <v>100</v>
      </c>
      <c r="AB84" s="79">
        <f t="shared" ref="AB84" si="157">+SUM(AB73:AB83)</f>
        <v>100</v>
      </c>
      <c r="AC84" s="79">
        <f t="shared" ref="AC84" si="158">+SUM(AC73:AC83)</f>
        <v>100</v>
      </c>
      <c r="AD84" s="79">
        <f t="shared" ref="AD84" si="159">+SUM(AD73:AD83)</f>
        <v>100</v>
      </c>
      <c r="AE84" s="79">
        <f t="shared" ref="AE84" si="160">+SUM(AE73:AE83)</f>
        <v>100</v>
      </c>
      <c r="AF84" s="79">
        <f t="shared" ref="AF84" si="161">+SUM(AF73:AF83)</f>
        <v>100</v>
      </c>
      <c r="AG84" s="79">
        <f t="shared" ref="AG84" si="162">+SUM(AG73:AG83)</f>
        <v>100</v>
      </c>
      <c r="AH84" s="79">
        <f t="shared" ref="AH84" si="163">+SUM(AH73:AH83)</f>
        <v>100</v>
      </c>
      <c r="AI84" s="79">
        <f t="shared" ref="AI84" si="164">+SUM(AI73:AI83)</f>
        <v>100</v>
      </c>
      <c r="AJ84" s="79">
        <f t="shared" ref="AJ84" si="165">+SUM(AJ73:AJ83)</f>
        <v>100</v>
      </c>
    </row>
    <row r="85" spans="1:36" s="76" customFormat="1" ht="15.75" x14ac:dyDescent="0.25">
      <c r="A85" s="74" t="s">
        <v>773</v>
      </c>
      <c r="B85" s="75"/>
      <c r="C85" s="74"/>
      <c r="D85" s="74"/>
      <c r="E85" s="74"/>
      <c r="F85" s="74"/>
      <c r="G85" s="74"/>
      <c r="H85" s="74"/>
      <c r="I85" s="74"/>
      <c r="J85" s="74"/>
      <c r="K85" s="74"/>
      <c r="L85" s="74"/>
      <c r="M85" s="74"/>
      <c r="N85" s="74"/>
      <c r="O85" s="74"/>
      <c r="P85" s="74"/>
      <c r="Q85" s="74"/>
      <c r="R85" s="74"/>
      <c r="S85" s="74"/>
      <c r="T85" s="74"/>
      <c r="U85" s="74"/>
      <c r="V85" s="74"/>
      <c r="W85" s="74"/>
      <c r="X85" s="74"/>
      <c r="Y85" s="74"/>
      <c r="Z85" s="74"/>
      <c r="AA85" s="74"/>
      <c r="AB85" s="74"/>
      <c r="AC85" s="74"/>
      <c r="AD85" s="74"/>
      <c r="AE85" s="74"/>
      <c r="AF85" s="74"/>
      <c r="AG85" s="74"/>
      <c r="AH85" s="74"/>
      <c r="AI85" s="74"/>
      <c r="AJ85" s="74"/>
    </row>
    <row r="86" spans="1:36" x14ac:dyDescent="0.25">
      <c r="A86" t="s">
        <v>509</v>
      </c>
      <c r="B86" t="s">
        <v>305</v>
      </c>
      <c r="C86" s="25">
        <v>0</v>
      </c>
      <c r="D86" s="25">
        <v>0</v>
      </c>
      <c r="E86" s="25">
        <v>0</v>
      </c>
      <c r="F86" s="25">
        <v>0</v>
      </c>
      <c r="G86" s="25">
        <v>0</v>
      </c>
      <c r="H86" s="25">
        <v>0</v>
      </c>
      <c r="I86" s="25">
        <v>0</v>
      </c>
      <c r="J86" s="25">
        <v>0</v>
      </c>
      <c r="K86" s="25">
        <v>0</v>
      </c>
      <c r="L86" s="25">
        <v>0</v>
      </c>
      <c r="M86" s="25">
        <v>0</v>
      </c>
      <c r="N86" s="25">
        <v>0</v>
      </c>
      <c r="O86" s="25">
        <v>0</v>
      </c>
      <c r="P86" s="25">
        <v>0</v>
      </c>
      <c r="Q86" s="25">
        <v>0</v>
      </c>
      <c r="R86" s="25">
        <v>0</v>
      </c>
      <c r="S86" s="25">
        <v>0</v>
      </c>
      <c r="T86" s="25">
        <v>0</v>
      </c>
      <c r="U86" s="25">
        <v>0</v>
      </c>
      <c r="V86" s="25">
        <v>0</v>
      </c>
      <c r="W86" s="25">
        <v>0</v>
      </c>
      <c r="X86" s="25">
        <v>0</v>
      </c>
      <c r="Y86" s="25">
        <v>0</v>
      </c>
      <c r="Z86" s="25">
        <v>0</v>
      </c>
      <c r="AA86" s="25">
        <v>0</v>
      </c>
      <c r="AB86" s="25">
        <v>0</v>
      </c>
      <c r="AC86" s="25">
        <v>0</v>
      </c>
      <c r="AD86" s="25">
        <v>0</v>
      </c>
      <c r="AE86" s="25">
        <v>0</v>
      </c>
      <c r="AF86" s="25">
        <v>0</v>
      </c>
      <c r="AG86" s="25">
        <v>0</v>
      </c>
      <c r="AH86" s="25">
        <v>0</v>
      </c>
      <c r="AI86" s="25">
        <v>0</v>
      </c>
      <c r="AJ86" s="25">
        <v>0</v>
      </c>
    </row>
    <row r="87" spans="1:36" x14ac:dyDescent="0.25">
      <c r="A87" t="s">
        <v>510</v>
      </c>
      <c r="B87" t="s">
        <v>305</v>
      </c>
      <c r="C87" s="25">
        <v>0</v>
      </c>
      <c r="D87" s="25">
        <v>0</v>
      </c>
      <c r="E87" s="25">
        <v>0</v>
      </c>
      <c r="F87" s="25">
        <v>0</v>
      </c>
      <c r="G87" s="25">
        <v>0</v>
      </c>
      <c r="H87" s="25">
        <v>0</v>
      </c>
      <c r="I87" s="25">
        <v>0</v>
      </c>
      <c r="J87" s="25">
        <v>0</v>
      </c>
      <c r="K87" s="25">
        <v>0</v>
      </c>
      <c r="L87" s="25">
        <v>0</v>
      </c>
      <c r="M87" s="25">
        <v>0</v>
      </c>
      <c r="N87" s="25">
        <v>0</v>
      </c>
      <c r="O87" s="25">
        <v>0</v>
      </c>
      <c r="P87" s="25">
        <v>0</v>
      </c>
      <c r="Q87" s="25">
        <v>0</v>
      </c>
      <c r="R87" s="25">
        <v>0</v>
      </c>
      <c r="S87" s="25">
        <v>0</v>
      </c>
      <c r="T87" s="25">
        <v>0</v>
      </c>
      <c r="U87" s="25">
        <v>0</v>
      </c>
      <c r="V87" s="25">
        <v>0</v>
      </c>
      <c r="W87" s="25">
        <v>0</v>
      </c>
      <c r="X87" s="25">
        <v>0</v>
      </c>
      <c r="Y87" s="25">
        <v>0</v>
      </c>
      <c r="Z87" s="25">
        <v>0</v>
      </c>
      <c r="AA87" s="25">
        <v>0</v>
      </c>
      <c r="AB87" s="25">
        <v>0</v>
      </c>
      <c r="AC87" s="25">
        <v>0</v>
      </c>
      <c r="AD87" s="25">
        <v>0</v>
      </c>
      <c r="AE87" s="25">
        <v>0</v>
      </c>
      <c r="AF87" s="25">
        <v>0</v>
      </c>
      <c r="AG87" s="25">
        <v>0</v>
      </c>
      <c r="AH87" s="25">
        <v>0</v>
      </c>
      <c r="AI87" s="25">
        <v>0</v>
      </c>
      <c r="AJ87" s="25">
        <v>0</v>
      </c>
    </row>
    <row r="88" spans="1:36" x14ac:dyDescent="0.25">
      <c r="A88" t="s">
        <v>511</v>
      </c>
      <c r="B88" t="s">
        <v>305</v>
      </c>
      <c r="C88" s="25">
        <v>1</v>
      </c>
      <c r="D88" s="25">
        <v>1</v>
      </c>
      <c r="E88" s="25">
        <v>1</v>
      </c>
      <c r="F88" s="25">
        <v>1</v>
      </c>
      <c r="G88" s="25">
        <v>1</v>
      </c>
      <c r="H88" s="25">
        <v>1</v>
      </c>
      <c r="I88" s="25">
        <v>1</v>
      </c>
      <c r="J88" s="25">
        <v>1</v>
      </c>
      <c r="K88" s="25">
        <v>1</v>
      </c>
      <c r="L88" s="25">
        <v>1</v>
      </c>
      <c r="M88" s="25">
        <v>1</v>
      </c>
      <c r="N88" s="25">
        <v>1</v>
      </c>
      <c r="O88" s="25">
        <v>1</v>
      </c>
      <c r="P88" s="25">
        <v>1</v>
      </c>
      <c r="Q88" s="25">
        <v>1</v>
      </c>
      <c r="R88" s="25">
        <v>1</v>
      </c>
      <c r="S88" s="25">
        <v>1</v>
      </c>
      <c r="T88" s="25">
        <v>1</v>
      </c>
      <c r="U88" s="25">
        <v>1</v>
      </c>
      <c r="V88" s="25">
        <v>1</v>
      </c>
      <c r="W88" s="25">
        <v>1</v>
      </c>
      <c r="X88" s="25">
        <v>1</v>
      </c>
      <c r="Y88" s="25">
        <v>1</v>
      </c>
      <c r="Z88" s="25">
        <v>1</v>
      </c>
      <c r="AA88" s="25">
        <v>1</v>
      </c>
      <c r="AB88" s="25">
        <v>1</v>
      </c>
      <c r="AC88" s="25">
        <v>1</v>
      </c>
      <c r="AD88" s="25">
        <v>1</v>
      </c>
      <c r="AE88" s="25">
        <v>1</v>
      </c>
      <c r="AF88" s="25">
        <v>1</v>
      </c>
      <c r="AG88" s="25">
        <v>1</v>
      </c>
      <c r="AH88" s="25">
        <v>1</v>
      </c>
      <c r="AI88" s="25">
        <v>1</v>
      </c>
      <c r="AJ88" s="25">
        <v>1</v>
      </c>
    </row>
    <row r="89" spans="1:36" x14ac:dyDescent="0.25">
      <c r="A89" t="s">
        <v>512</v>
      </c>
      <c r="B89" t="s">
        <v>305</v>
      </c>
      <c r="C89" s="25">
        <v>0</v>
      </c>
      <c r="D89" s="25">
        <v>0</v>
      </c>
      <c r="E89" s="25">
        <v>0</v>
      </c>
      <c r="F89" s="25">
        <v>0</v>
      </c>
      <c r="G89" s="25">
        <v>0</v>
      </c>
      <c r="H89" s="25">
        <v>0</v>
      </c>
      <c r="I89" s="25">
        <v>0</v>
      </c>
      <c r="J89" s="25">
        <v>0</v>
      </c>
      <c r="K89" s="25">
        <v>0</v>
      </c>
      <c r="L89" s="25">
        <v>0</v>
      </c>
      <c r="M89" s="25">
        <v>0</v>
      </c>
      <c r="N89" s="25">
        <v>0</v>
      </c>
      <c r="O89" s="25">
        <v>0</v>
      </c>
      <c r="P89" s="25">
        <v>0</v>
      </c>
      <c r="Q89" s="25">
        <v>0</v>
      </c>
      <c r="R89" s="25">
        <v>0</v>
      </c>
      <c r="S89" s="25">
        <v>0</v>
      </c>
      <c r="T89" s="25">
        <v>0</v>
      </c>
      <c r="U89" s="25">
        <v>0</v>
      </c>
      <c r="V89" s="25">
        <v>0</v>
      </c>
      <c r="W89" s="25">
        <v>0</v>
      </c>
      <c r="X89" s="25">
        <v>0</v>
      </c>
      <c r="Y89" s="25">
        <v>0</v>
      </c>
      <c r="Z89" s="25">
        <v>0</v>
      </c>
      <c r="AA89" s="25">
        <v>0</v>
      </c>
      <c r="AB89" s="25">
        <v>0</v>
      </c>
      <c r="AC89" s="25">
        <v>0</v>
      </c>
      <c r="AD89" s="25">
        <v>0</v>
      </c>
      <c r="AE89" s="25">
        <v>0</v>
      </c>
      <c r="AF89" s="25">
        <v>0</v>
      </c>
      <c r="AG89" s="25">
        <v>0</v>
      </c>
      <c r="AH89" s="25">
        <v>0</v>
      </c>
      <c r="AI89" s="25">
        <v>0</v>
      </c>
      <c r="AJ89" s="25">
        <v>0</v>
      </c>
    </row>
    <row r="90" spans="1:36" x14ac:dyDescent="0.25">
      <c r="A90" t="s">
        <v>513</v>
      </c>
      <c r="B90" t="s">
        <v>305</v>
      </c>
      <c r="C90" s="25">
        <v>0</v>
      </c>
      <c r="D90" s="25">
        <v>0</v>
      </c>
      <c r="E90" s="25">
        <v>0</v>
      </c>
      <c r="F90" s="25">
        <v>0</v>
      </c>
      <c r="G90" s="25">
        <v>0</v>
      </c>
      <c r="H90" s="25">
        <v>0</v>
      </c>
      <c r="I90" s="25">
        <v>0</v>
      </c>
      <c r="J90" s="25">
        <v>0</v>
      </c>
      <c r="K90" s="25">
        <v>0</v>
      </c>
      <c r="L90" s="25">
        <v>0</v>
      </c>
      <c r="M90" s="25">
        <v>0</v>
      </c>
      <c r="N90" s="25">
        <v>0</v>
      </c>
      <c r="O90" s="25">
        <v>0</v>
      </c>
      <c r="P90" s="25">
        <v>0</v>
      </c>
      <c r="Q90" s="25">
        <v>0</v>
      </c>
      <c r="R90" s="25">
        <v>0</v>
      </c>
      <c r="S90" s="25">
        <v>0</v>
      </c>
      <c r="T90" s="25">
        <v>0</v>
      </c>
      <c r="U90" s="25">
        <v>0</v>
      </c>
      <c r="V90" s="25">
        <v>0</v>
      </c>
      <c r="W90" s="25">
        <v>0</v>
      </c>
      <c r="X90" s="25">
        <v>0</v>
      </c>
      <c r="Y90" s="25">
        <v>0</v>
      </c>
      <c r="Z90" s="25">
        <v>0</v>
      </c>
      <c r="AA90" s="25">
        <v>0</v>
      </c>
      <c r="AB90" s="25">
        <v>0</v>
      </c>
      <c r="AC90" s="25">
        <v>0</v>
      </c>
      <c r="AD90" s="25">
        <v>0</v>
      </c>
      <c r="AE90" s="25">
        <v>0</v>
      </c>
      <c r="AF90" s="25">
        <v>0</v>
      </c>
      <c r="AG90" s="25">
        <v>0</v>
      </c>
      <c r="AH90" s="25">
        <v>0</v>
      </c>
      <c r="AI90" s="25">
        <v>0</v>
      </c>
      <c r="AJ90" s="25">
        <v>0</v>
      </c>
    </row>
    <row r="91" spans="1:36" x14ac:dyDescent="0.25">
      <c r="A91" t="s">
        <v>514</v>
      </c>
      <c r="B91" t="s">
        <v>305</v>
      </c>
      <c r="C91" s="25">
        <v>0</v>
      </c>
      <c r="D91" s="25">
        <v>0</v>
      </c>
      <c r="E91" s="25">
        <v>0</v>
      </c>
      <c r="F91" s="25">
        <v>0</v>
      </c>
      <c r="G91" s="25">
        <v>0</v>
      </c>
      <c r="H91" s="25">
        <v>0</v>
      </c>
      <c r="I91" s="25">
        <v>0</v>
      </c>
      <c r="J91" s="25">
        <v>0</v>
      </c>
      <c r="K91" s="25">
        <v>0</v>
      </c>
      <c r="L91" s="25">
        <v>0</v>
      </c>
      <c r="M91" s="25">
        <v>0</v>
      </c>
      <c r="N91" s="25">
        <v>0</v>
      </c>
      <c r="O91" s="25">
        <v>0</v>
      </c>
      <c r="P91" s="25">
        <v>0</v>
      </c>
      <c r="Q91" s="25">
        <v>0</v>
      </c>
      <c r="R91" s="25">
        <v>0</v>
      </c>
      <c r="S91" s="25">
        <v>0</v>
      </c>
      <c r="T91" s="25">
        <v>0</v>
      </c>
      <c r="U91" s="25">
        <v>0</v>
      </c>
      <c r="V91" s="25">
        <v>0</v>
      </c>
      <c r="W91" s="25">
        <v>0</v>
      </c>
      <c r="X91" s="25">
        <v>0</v>
      </c>
      <c r="Y91" s="25">
        <v>0</v>
      </c>
      <c r="Z91" s="25">
        <v>0</v>
      </c>
      <c r="AA91" s="25">
        <v>0</v>
      </c>
      <c r="AB91" s="25">
        <v>0</v>
      </c>
      <c r="AC91" s="25">
        <v>0</v>
      </c>
      <c r="AD91" s="25">
        <v>0</v>
      </c>
      <c r="AE91" s="25">
        <v>0</v>
      </c>
      <c r="AF91" s="25">
        <v>0</v>
      </c>
      <c r="AG91" s="25">
        <v>0</v>
      </c>
      <c r="AH91" s="25">
        <v>0</v>
      </c>
      <c r="AI91" s="25">
        <v>0</v>
      </c>
      <c r="AJ91" s="25">
        <v>0</v>
      </c>
    </row>
    <row r="92" spans="1:36" x14ac:dyDescent="0.25">
      <c r="A92" t="s">
        <v>515</v>
      </c>
      <c r="B92" t="s">
        <v>305</v>
      </c>
      <c r="C92" s="25">
        <v>0</v>
      </c>
      <c r="D92" s="25">
        <v>0</v>
      </c>
      <c r="E92" s="25">
        <v>0</v>
      </c>
      <c r="F92" s="25">
        <v>0</v>
      </c>
      <c r="G92" s="25">
        <v>0</v>
      </c>
      <c r="H92" s="25">
        <v>0</v>
      </c>
      <c r="I92" s="25">
        <v>0</v>
      </c>
      <c r="J92" s="25">
        <v>0</v>
      </c>
      <c r="K92" s="25">
        <v>0</v>
      </c>
      <c r="L92" s="25">
        <v>0</v>
      </c>
      <c r="M92" s="25">
        <v>0</v>
      </c>
      <c r="N92" s="25">
        <v>0</v>
      </c>
      <c r="O92" s="25">
        <v>0</v>
      </c>
      <c r="P92" s="25">
        <v>0</v>
      </c>
      <c r="Q92" s="25">
        <v>0</v>
      </c>
      <c r="R92" s="25">
        <v>0</v>
      </c>
      <c r="S92" s="25">
        <v>0</v>
      </c>
      <c r="T92" s="25">
        <v>0</v>
      </c>
      <c r="U92" s="25">
        <v>0</v>
      </c>
      <c r="V92" s="25">
        <v>0</v>
      </c>
      <c r="W92" s="25">
        <v>0</v>
      </c>
      <c r="X92" s="25">
        <v>0</v>
      </c>
      <c r="Y92" s="25">
        <v>0</v>
      </c>
      <c r="Z92" s="25">
        <v>0</v>
      </c>
      <c r="AA92" s="25">
        <v>0</v>
      </c>
      <c r="AB92" s="25">
        <v>0</v>
      </c>
      <c r="AC92" s="25">
        <v>0</v>
      </c>
      <c r="AD92" s="25">
        <v>0</v>
      </c>
      <c r="AE92" s="25">
        <v>0</v>
      </c>
      <c r="AF92" s="25">
        <v>0</v>
      </c>
      <c r="AG92" s="25">
        <v>0</v>
      </c>
      <c r="AH92" s="25">
        <v>0</v>
      </c>
      <c r="AI92" s="25">
        <v>0</v>
      </c>
      <c r="AJ92" s="25">
        <v>0</v>
      </c>
    </row>
    <row r="93" spans="1:36" x14ac:dyDescent="0.25">
      <c r="A93" t="s">
        <v>516</v>
      </c>
      <c r="B93" t="s">
        <v>305</v>
      </c>
      <c r="C93" s="25">
        <v>0</v>
      </c>
      <c r="D93" s="25">
        <v>0</v>
      </c>
      <c r="E93" s="25">
        <v>0</v>
      </c>
      <c r="F93" s="25">
        <v>0</v>
      </c>
      <c r="G93" s="25">
        <v>0</v>
      </c>
      <c r="H93" s="25">
        <v>0</v>
      </c>
      <c r="I93" s="25">
        <v>0</v>
      </c>
      <c r="J93" s="25">
        <v>0</v>
      </c>
      <c r="K93" s="25">
        <v>0</v>
      </c>
      <c r="L93" s="25">
        <v>0</v>
      </c>
      <c r="M93" s="25">
        <v>0</v>
      </c>
      <c r="N93" s="25">
        <v>0</v>
      </c>
      <c r="O93" s="25">
        <v>0</v>
      </c>
      <c r="P93" s="25">
        <v>0</v>
      </c>
      <c r="Q93" s="25">
        <v>0</v>
      </c>
      <c r="R93" s="25">
        <v>0</v>
      </c>
      <c r="S93" s="25">
        <v>0</v>
      </c>
      <c r="T93" s="25">
        <v>0</v>
      </c>
      <c r="U93" s="25">
        <v>0</v>
      </c>
      <c r="V93" s="25">
        <v>0</v>
      </c>
      <c r="W93" s="25">
        <v>0</v>
      </c>
      <c r="X93" s="25">
        <v>0</v>
      </c>
      <c r="Y93" s="25">
        <v>0</v>
      </c>
      <c r="Z93" s="25">
        <v>0</v>
      </c>
      <c r="AA93" s="25">
        <v>0</v>
      </c>
      <c r="AB93" s="25">
        <v>0</v>
      </c>
      <c r="AC93" s="25">
        <v>0</v>
      </c>
      <c r="AD93" s="25">
        <v>0</v>
      </c>
      <c r="AE93" s="25">
        <v>0</v>
      </c>
      <c r="AF93" s="25">
        <v>0</v>
      </c>
      <c r="AG93" s="25">
        <v>0</v>
      </c>
      <c r="AH93" s="25">
        <v>0</v>
      </c>
      <c r="AI93" s="25">
        <v>0</v>
      </c>
      <c r="AJ93" s="25">
        <v>0</v>
      </c>
    </row>
    <row r="94" spans="1:36" x14ac:dyDescent="0.25">
      <c r="A94" t="s">
        <v>517</v>
      </c>
      <c r="B94" t="s">
        <v>305</v>
      </c>
      <c r="C94" s="25">
        <v>0</v>
      </c>
      <c r="D94" s="25">
        <v>0</v>
      </c>
      <c r="E94" s="25">
        <v>0</v>
      </c>
      <c r="F94" s="25">
        <v>0</v>
      </c>
      <c r="G94" s="25">
        <v>0</v>
      </c>
      <c r="H94" s="25">
        <v>0</v>
      </c>
      <c r="I94" s="25">
        <v>0</v>
      </c>
      <c r="J94" s="25">
        <v>0</v>
      </c>
      <c r="K94" s="25">
        <v>0</v>
      </c>
      <c r="L94" s="25">
        <v>0</v>
      </c>
      <c r="M94" s="25">
        <v>0</v>
      </c>
      <c r="N94" s="25">
        <v>0</v>
      </c>
      <c r="O94" s="25">
        <v>0</v>
      </c>
      <c r="P94" s="25">
        <v>0</v>
      </c>
      <c r="Q94" s="25">
        <v>0</v>
      </c>
      <c r="R94" s="25">
        <v>0</v>
      </c>
      <c r="S94" s="25">
        <v>0</v>
      </c>
      <c r="T94" s="25">
        <v>0</v>
      </c>
      <c r="U94" s="25">
        <v>0</v>
      </c>
      <c r="V94" s="25">
        <v>0</v>
      </c>
      <c r="W94" s="25">
        <v>0</v>
      </c>
      <c r="X94" s="25">
        <v>0</v>
      </c>
      <c r="Y94" s="25">
        <v>0</v>
      </c>
      <c r="Z94" s="25">
        <v>0</v>
      </c>
      <c r="AA94" s="25">
        <v>0</v>
      </c>
      <c r="AB94" s="25">
        <v>0</v>
      </c>
      <c r="AC94" s="25">
        <v>0</v>
      </c>
      <c r="AD94" s="25">
        <v>0</v>
      </c>
      <c r="AE94" s="25">
        <v>0</v>
      </c>
      <c r="AF94" s="25">
        <v>0</v>
      </c>
      <c r="AG94" s="25">
        <v>0</v>
      </c>
      <c r="AH94" s="25">
        <v>0</v>
      </c>
      <c r="AI94" s="25">
        <v>0</v>
      </c>
      <c r="AJ94" s="25">
        <v>0</v>
      </c>
    </row>
    <row r="95" spans="1:36" x14ac:dyDescent="0.25">
      <c r="A95" t="s">
        <v>518</v>
      </c>
      <c r="B95" t="s">
        <v>305</v>
      </c>
      <c r="C95" s="25">
        <v>99</v>
      </c>
      <c r="D95" s="25">
        <v>99</v>
      </c>
      <c r="E95" s="25">
        <v>99</v>
      </c>
      <c r="F95" s="25">
        <v>99</v>
      </c>
      <c r="G95" s="25">
        <v>99</v>
      </c>
      <c r="H95" s="25">
        <v>99</v>
      </c>
      <c r="I95" s="25">
        <v>99</v>
      </c>
      <c r="J95" s="25">
        <v>99</v>
      </c>
      <c r="K95" s="25">
        <v>99</v>
      </c>
      <c r="L95" s="25">
        <v>99</v>
      </c>
      <c r="M95" s="25">
        <v>99</v>
      </c>
      <c r="N95" s="25">
        <v>99</v>
      </c>
      <c r="O95" s="25">
        <v>99</v>
      </c>
      <c r="P95" s="25">
        <v>99</v>
      </c>
      <c r="Q95" s="25">
        <v>99</v>
      </c>
      <c r="R95" s="25">
        <v>99</v>
      </c>
      <c r="S95" s="25">
        <v>99</v>
      </c>
      <c r="T95" s="25">
        <v>99</v>
      </c>
      <c r="U95" s="25">
        <v>99</v>
      </c>
      <c r="V95" s="25">
        <v>99</v>
      </c>
      <c r="W95" s="25">
        <v>99</v>
      </c>
      <c r="X95" s="25">
        <v>99</v>
      </c>
      <c r="Y95" s="25">
        <v>99</v>
      </c>
      <c r="Z95" s="25">
        <v>99</v>
      </c>
      <c r="AA95" s="25">
        <v>99</v>
      </c>
      <c r="AB95" s="25">
        <v>99</v>
      </c>
      <c r="AC95" s="25">
        <v>99</v>
      </c>
      <c r="AD95" s="25">
        <v>99</v>
      </c>
      <c r="AE95" s="25">
        <v>99</v>
      </c>
      <c r="AF95" s="25">
        <v>99</v>
      </c>
      <c r="AG95" s="25">
        <v>99</v>
      </c>
      <c r="AH95" s="25">
        <v>99</v>
      </c>
      <c r="AI95" s="25">
        <v>99</v>
      </c>
      <c r="AJ95" s="25">
        <v>99</v>
      </c>
    </row>
    <row r="96" spans="1:36" x14ac:dyDescent="0.25">
      <c r="A96" t="s">
        <v>757</v>
      </c>
      <c r="B96" t="s">
        <v>305</v>
      </c>
      <c r="C96" s="25">
        <v>0</v>
      </c>
      <c r="D96" s="25">
        <v>0</v>
      </c>
      <c r="E96" s="25">
        <v>0</v>
      </c>
      <c r="F96" s="25">
        <v>0</v>
      </c>
      <c r="G96" s="25">
        <v>0</v>
      </c>
      <c r="H96" s="25">
        <v>0</v>
      </c>
      <c r="I96" s="25">
        <v>0</v>
      </c>
      <c r="J96" s="25">
        <v>0</v>
      </c>
      <c r="K96" s="25">
        <v>0</v>
      </c>
      <c r="L96" s="25">
        <v>0</v>
      </c>
      <c r="M96" s="25">
        <v>0</v>
      </c>
      <c r="N96" s="25">
        <v>0</v>
      </c>
      <c r="O96" s="25">
        <v>0</v>
      </c>
      <c r="P96" s="25">
        <v>0</v>
      </c>
      <c r="Q96" s="25">
        <v>0</v>
      </c>
      <c r="R96" s="25">
        <v>0</v>
      </c>
      <c r="S96" s="25">
        <v>0</v>
      </c>
      <c r="T96" s="25">
        <v>0</v>
      </c>
      <c r="U96" s="25">
        <v>0</v>
      </c>
      <c r="V96" s="25">
        <v>0</v>
      </c>
      <c r="W96" s="25">
        <v>0</v>
      </c>
      <c r="X96" s="25">
        <v>0</v>
      </c>
      <c r="Y96" s="25">
        <v>0</v>
      </c>
      <c r="Z96" s="25">
        <v>0</v>
      </c>
      <c r="AA96" s="25">
        <v>0</v>
      </c>
      <c r="AB96" s="25">
        <v>0</v>
      </c>
      <c r="AC96" s="25">
        <v>0</v>
      </c>
      <c r="AD96" s="25">
        <v>0</v>
      </c>
      <c r="AE96" s="25">
        <v>0</v>
      </c>
      <c r="AF96" s="25">
        <v>0</v>
      </c>
      <c r="AG96" s="25">
        <v>0</v>
      </c>
      <c r="AH96" s="25">
        <v>0</v>
      </c>
      <c r="AI96" s="25">
        <v>0</v>
      </c>
      <c r="AJ96" s="25">
        <v>0</v>
      </c>
    </row>
    <row r="97" spans="1:36" x14ac:dyDescent="0.25">
      <c r="A97" t="s">
        <v>519</v>
      </c>
      <c r="B97" t="s">
        <v>305</v>
      </c>
      <c r="C97" s="25">
        <v>0</v>
      </c>
      <c r="D97" s="25">
        <v>0</v>
      </c>
      <c r="E97" s="25">
        <v>0</v>
      </c>
      <c r="F97" s="25">
        <v>0</v>
      </c>
      <c r="G97" s="25">
        <v>0</v>
      </c>
      <c r="H97" s="25">
        <v>0</v>
      </c>
      <c r="I97" s="25">
        <v>0</v>
      </c>
      <c r="J97" s="25">
        <v>0</v>
      </c>
      <c r="K97" s="25">
        <v>0</v>
      </c>
      <c r="L97" s="25">
        <v>0</v>
      </c>
      <c r="M97" s="25">
        <v>0</v>
      </c>
      <c r="N97" s="25">
        <v>0</v>
      </c>
      <c r="O97" s="25">
        <v>0</v>
      </c>
      <c r="P97" s="25">
        <v>0</v>
      </c>
      <c r="Q97" s="25">
        <v>0</v>
      </c>
      <c r="R97" s="25">
        <v>0</v>
      </c>
      <c r="S97" s="25">
        <v>0</v>
      </c>
      <c r="T97" s="25">
        <v>0</v>
      </c>
      <c r="U97" s="25">
        <v>0</v>
      </c>
      <c r="V97" s="25">
        <v>0</v>
      </c>
      <c r="W97" s="25">
        <v>0</v>
      </c>
      <c r="X97" s="25">
        <v>0</v>
      </c>
      <c r="Y97" s="25">
        <v>0</v>
      </c>
      <c r="Z97" s="25">
        <v>0</v>
      </c>
      <c r="AA97" s="25">
        <v>0</v>
      </c>
      <c r="AB97" s="25">
        <v>0</v>
      </c>
      <c r="AC97" s="25">
        <v>0</v>
      </c>
      <c r="AD97" s="25">
        <v>0</v>
      </c>
      <c r="AE97" s="25">
        <v>0</v>
      </c>
      <c r="AF97" s="25">
        <v>0</v>
      </c>
      <c r="AG97" s="25">
        <v>0</v>
      </c>
      <c r="AH97" s="25">
        <v>0</v>
      </c>
      <c r="AI97" s="25">
        <v>0</v>
      </c>
      <c r="AJ97" s="25">
        <v>0</v>
      </c>
    </row>
    <row r="98" spans="1:36" x14ac:dyDescent="0.25">
      <c r="A98" t="s">
        <v>520</v>
      </c>
      <c r="B98" t="s">
        <v>305</v>
      </c>
      <c r="C98" s="25">
        <v>0</v>
      </c>
      <c r="D98" s="25">
        <v>0</v>
      </c>
      <c r="E98" s="25">
        <v>0</v>
      </c>
      <c r="F98" s="25">
        <v>0</v>
      </c>
      <c r="G98" s="25">
        <v>0</v>
      </c>
      <c r="H98" s="25">
        <v>0</v>
      </c>
      <c r="I98" s="25">
        <v>0</v>
      </c>
      <c r="J98" s="25">
        <v>0</v>
      </c>
      <c r="K98" s="25">
        <v>0</v>
      </c>
      <c r="L98" s="25">
        <v>0</v>
      </c>
      <c r="M98" s="25">
        <v>0</v>
      </c>
      <c r="N98" s="25">
        <v>0</v>
      </c>
      <c r="O98" s="25">
        <v>0</v>
      </c>
      <c r="P98" s="25">
        <v>0</v>
      </c>
      <c r="Q98" s="25">
        <v>0</v>
      </c>
      <c r="R98" s="25">
        <v>0</v>
      </c>
      <c r="S98" s="25">
        <v>0</v>
      </c>
      <c r="T98" s="25">
        <v>0</v>
      </c>
      <c r="U98" s="25">
        <v>0</v>
      </c>
      <c r="V98" s="25">
        <v>0</v>
      </c>
      <c r="W98" s="25">
        <v>0</v>
      </c>
      <c r="X98" s="25">
        <v>0</v>
      </c>
      <c r="Y98" s="25">
        <v>0</v>
      </c>
      <c r="Z98" s="25">
        <v>0</v>
      </c>
      <c r="AA98" s="25">
        <v>0</v>
      </c>
      <c r="AB98" s="25">
        <v>0</v>
      </c>
      <c r="AC98" s="25">
        <v>0</v>
      </c>
      <c r="AD98" s="25">
        <v>0</v>
      </c>
      <c r="AE98" s="25">
        <v>0</v>
      </c>
      <c r="AF98" s="25">
        <v>0</v>
      </c>
      <c r="AG98" s="25">
        <v>0</v>
      </c>
      <c r="AH98" s="25">
        <v>0</v>
      </c>
      <c r="AI98" s="25">
        <v>0</v>
      </c>
      <c r="AJ98" s="25">
        <v>0</v>
      </c>
    </row>
    <row r="99" spans="1:36" x14ac:dyDescent="0.25">
      <c r="A99" t="s">
        <v>521</v>
      </c>
      <c r="B99" t="s">
        <v>305</v>
      </c>
      <c r="C99" s="25">
        <v>2</v>
      </c>
      <c r="D99" s="25">
        <v>2</v>
      </c>
      <c r="E99" s="25">
        <v>2</v>
      </c>
      <c r="F99" s="25">
        <v>2</v>
      </c>
      <c r="G99" s="25">
        <v>2</v>
      </c>
      <c r="H99" s="25">
        <v>2</v>
      </c>
      <c r="I99" s="25">
        <v>2</v>
      </c>
      <c r="J99" s="25">
        <v>2</v>
      </c>
      <c r="K99" s="25">
        <v>2</v>
      </c>
      <c r="L99" s="25">
        <v>2</v>
      </c>
      <c r="M99" s="25">
        <v>2</v>
      </c>
      <c r="N99" s="25">
        <v>2</v>
      </c>
      <c r="O99" s="25">
        <v>2</v>
      </c>
      <c r="P99" s="25">
        <v>2</v>
      </c>
      <c r="Q99" s="25">
        <v>2</v>
      </c>
      <c r="R99" s="25">
        <v>2</v>
      </c>
      <c r="S99" s="25">
        <v>2</v>
      </c>
      <c r="T99" s="25">
        <v>2</v>
      </c>
      <c r="U99" s="25">
        <v>2</v>
      </c>
      <c r="V99" s="25">
        <v>2</v>
      </c>
      <c r="W99" s="25">
        <v>2</v>
      </c>
      <c r="X99" s="25">
        <v>2</v>
      </c>
      <c r="Y99" s="25">
        <v>2</v>
      </c>
      <c r="Z99" s="25">
        <v>2</v>
      </c>
      <c r="AA99" s="25">
        <v>2</v>
      </c>
      <c r="AB99" s="25">
        <v>2</v>
      </c>
      <c r="AC99" s="25">
        <v>2</v>
      </c>
      <c r="AD99" s="25">
        <v>2</v>
      </c>
      <c r="AE99" s="25">
        <v>2</v>
      </c>
      <c r="AF99" s="25">
        <v>2</v>
      </c>
      <c r="AG99" s="25">
        <v>2</v>
      </c>
      <c r="AH99" s="25">
        <v>2</v>
      </c>
      <c r="AI99" s="25">
        <v>2</v>
      </c>
      <c r="AJ99" s="25">
        <v>2</v>
      </c>
    </row>
    <row r="100" spans="1:36" x14ac:dyDescent="0.25">
      <c r="A100" t="s">
        <v>522</v>
      </c>
      <c r="B100" t="s">
        <v>305</v>
      </c>
      <c r="C100" s="25">
        <v>0</v>
      </c>
      <c r="D100" s="25">
        <v>0</v>
      </c>
      <c r="E100" s="25">
        <v>0</v>
      </c>
      <c r="F100" s="25">
        <v>0</v>
      </c>
      <c r="G100" s="25">
        <v>0</v>
      </c>
      <c r="H100" s="25">
        <v>0</v>
      </c>
      <c r="I100" s="25">
        <v>0</v>
      </c>
      <c r="J100" s="25">
        <v>0</v>
      </c>
      <c r="K100" s="25">
        <v>0</v>
      </c>
      <c r="L100" s="25">
        <v>0</v>
      </c>
      <c r="M100" s="25">
        <v>0</v>
      </c>
      <c r="N100" s="25">
        <v>0</v>
      </c>
      <c r="O100" s="25">
        <v>0</v>
      </c>
      <c r="P100" s="25">
        <v>0</v>
      </c>
      <c r="Q100" s="25">
        <v>0</v>
      </c>
      <c r="R100" s="25">
        <v>0</v>
      </c>
      <c r="S100" s="25">
        <v>0</v>
      </c>
      <c r="T100" s="25">
        <v>0</v>
      </c>
      <c r="U100" s="25">
        <v>0</v>
      </c>
      <c r="V100" s="25">
        <v>0</v>
      </c>
      <c r="W100" s="25">
        <v>0</v>
      </c>
      <c r="X100" s="25">
        <v>0</v>
      </c>
      <c r="Y100" s="25">
        <v>0</v>
      </c>
      <c r="Z100" s="25">
        <v>0</v>
      </c>
      <c r="AA100" s="25">
        <v>0</v>
      </c>
      <c r="AB100" s="25">
        <v>0</v>
      </c>
      <c r="AC100" s="25">
        <v>0</v>
      </c>
      <c r="AD100" s="25">
        <v>0</v>
      </c>
      <c r="AE100" s="25">
        <v>0</v>
      </c>
      <c r="AF100" s="25">
        <v>0</v>
      </c>
      <c r="AG100" s="25">
        <v>0</v>
      </c>
      <c r="AH100" s="25">
        <v>0</v>
      </c>
      <c r="AI100" s="25">
        <v>0</v>
      </c>
      <c r="AJ100" s="25">
        <v>0</v>
      </c>
    </row>
    <row r="101" spans="1:36" x14ac:dyDescent="0.25">
      <c r="A101" t="s">
        <v>523</v>
      </c>
      <c r="B101" t="s">
        <v>305</v>
      </c>
      <c r="C101" s="25">
        <v>0</v>
      </c>
      <c r="D101" s="25">
        <v>0</v>
      </c>
      <c r="E101" s="25">
        <v>0</v>
      </c>
      <c r="F101" s="25">
        <v>0</v>
      </c>
      <c r="G101" s="25">
        <v>0</v>
      </c>
      <c r="H101" s="25">
        <v>0</v>
      </c>
      <c r="I101" s="25">
        <v>0</v>
      </c>
      <c r="J101" s="25">
        <v>0</v>
      </c>
      <c r="K101" s="25">
        <v>0</v>
      </c>
      <c r="L101" s="25">
        <v>0</v>
      </c>
      <c r="M101" s="25">
        <v>0</v>
      </c>
      <c r="N101" s="25">
        <v>0</v>
      </c>
      <c r="O101" s="25">
        <v>0</v>
      </c>
      <c r="P101" s="25">
        <v>0</v>
      </c>
      <c r="Q101" s="25">
        <v>0</v>
      </c>
      <c r="R101" s="25">
        <v>0</v>
      </c>
      <c r="S101" s="25">
        <v>0</v>
      </c>
      <c r="T101" s="25">
        <v>0</v>
      </c>
      <c r="U101" s="25">
        <v>0</v>
      </c>
      <c r="V101" s="25">
        <v>0</v>
      </c>
      <c r="W101" s="25">
        <v>0</v>
      </c>
      <c r="X101" s="25">
        <v>0</v>
      </c>
      <c r="Y101" s="25">
        <v>0</v>
      </c>
      <c r="Z101" s="25">
        <v>0</v>
      </c>
      <c r="AA101" s="25">
        <v>0</v>
      </c>
      <c r="AB101" s="25">
        <v>0</v>
      </c>
      <c r="AC101" s="25">
        <v>0</v>
      </c>
      <c r="AD101" s="25">
        <v>0</v>
      </c>
      <c r="AE101" s="25">
        <v>0</v>
      </c>
      <c r="AF101" s="25">
        <v>0</v>
      </c>
      <c r="AG101" s="25">
        <v>0</v>
      </c>
      <c r="AH101" s="25">
        <v>0</v>
      </c>
      <c r="AI101" s="25">
        <v>0</v>
      </c>
      <c r="AJ101" s="25">
        <v>0</v>
      </c>
    </row>
    <row r="102" spans="1:36" x14ac:dyDescent="0.25">
      <c r="A102" t="s">
        <v>524</v>
      </c>
      <c r="B102" t="s">
        <v>305</v>
      </c>
      <c r="C102" s="25">
        <v>0</v>
      </c>
      <c r="D102" s="25">
        <v>0</v>
      </c>
      <c r="E102" s="25">
        <v>0</v>
      </c>
      <c r="F102" s="25">
        <v>0</v>
      </c>
      <c r="G102" s="25">
        <v>0</v>
      </c>
      <c r="H102" s="25">
        <v>0</v>
      </c>
      <c r="I102" s="25">
        <v>0</v>
      </c>
      <c r="J102" s="25">
        <v>0</v>
      </c>
      <c r="K102" s="25">
        <v>0</v>
      </c>
      <c r="L102" s="25">
        <v>0</v>
      </c>
      <c r="M102" s="25">
        <v>0</v>
      </c>
      <c r="N102" s="25">
        <v>0</v>
      </c>
      <c r="O102" s="25">
        <v>0</v>
      </c>
      <c r="P102" s="25">
        <v>0</v>
      </c>
      <c r="Q102" s="25">
        <v>0</v>
      </c>
      <c r="R102" s="25">
        <v>0</v>
      </c>
      <c r="S102" s="25">
        <v>0</v>
      </c>
      <c r="T102" s="25">
        <v>0</v>
      </c>
      <c r="U102" s="25">
        <v>0</v>
      </c>
      <c r="V102" s="25">
        <v>0</v>
      </c>
      <c r="W102" s="25">
        <v>0</v>
      </c>
      <c r="X102" s="25">
        <v>0</v>
      </c>
      <c r="Y102" s="25">
        <v>0</v>
      </c>
      <c r="Z102" s="25">
        <v>0</v>
      </c>
      <c r="AA102" s="25">
        <v>0</v>
      </c>
      <c r="AB102" s="25">
        <v>0</v>
      </c>
      <c r="AC102" s="25">
        <v>0</v>
      </c>
      <c r="AD102" s="25">
        <v>0</v>
      </c>
      <c r="AE102" s="25">
        <v>0</v>
      </c>
      <c r="AF102" s="25">
        <v>0</v>
      </c>
      <c r="AG102" s="25">
        <v>0</v>
      </c>
      <c r="AH102" s="25">
        <v>0</v>
      </c>
      <c r="AI102" s="25">
        <v>0</v>
      </c>
      <c r="AJ102" s="25">
        <v>0</v>
      </c>
    </row>
    <row r="103" spans="1:36" x14ac:dyDescent="0.25">
      <c r="A103" t="s">
        <v>525</v>
      </c>
      <c r="B103" t="s">
        <v>305</v>
      </c>
      <c r="C103" s="25">
        <v>5</v>
      </c>
      <c r="D103" s="25">
        <v>5</v>
      </c>
      <c r="E103" s="25">
        <v>5</v>
      </c>
      <c r="F103" s="25">
        <v>5</v>
      </c>
      <c r="G103" s="25">
        <v>5</v>
      </c>
      <c r="H103" s="25">
        <v>5</v>
      </c>
      <c r="I103" s="25">
        <v>5</v>
      </c>
      <c r="J103" s="25">
        <v>5</v>
      </c>
      <c r="K103" s="25">
        <v>5</v>
      </c>
      <c r="L103" s="25">
        <v>5</v>
      </c>
      <c r="M103" s="25">
        <v>5</v>
      </c>
      <c r="N103" s="25">
        <v>5</v>
      </c>
      <c r="O103" s="25">
        <v>5</v>
      </c>
      <c r="P103" s="25">
        <v>5</v>
      </c>
      <c r="Q103" s="25">
        <v>5</v>
      </c>
      <c r="R103" s="25">
        <v>5</v>
      </c>
      <c r="S103" s="25">
        <v>5</v>
      </c>
      <c r="T103" s="25">
        <v>5</v>
      </c>
      <c r="U103" s="25">
        <v>5</v>
      </c>
      <c r="V103" s="25">
        <v>5</v>
      </c>
      <c r="W103" s="25">
        <v>5</v>
      </c>
      <c r="X103" s="25">
        <v>5</v>
      </c>
      <c r="Y103" s="25">
        <v>5</v>
      </c>
      <c r="Z103" s="25">
        <v>5</v>
      </c>
      <c r="AA103" s="25">
        <v>5</v>
      </c>
      <c r="AB103" s="25">
        <v>5</v>
      </c>
      <c r="AC103" s="25">
        <v>5</v>
      </c>
      <c r="AD103" s="25">
        <v>5</v>
      </c>
      <c r="AE103" s="25">
        <v>5</v>
      </c>
      <c r="AF103" s="25">
        <v>5</v>
      </c>
      <c r="AG103" s="25">
        <v>5</v>
      </c>
      <c r="AH103" s="25">
        <v>5</v>
      </c>
      <c r="AI103" s="25">
        <v>5</v>
      </c>
      <c r="AJ103" s="25">
        <v>5</v>
      </c>
    </row>
    <row r="104" spans="1:36" x14ac:dyDescent="0.25">
      <c r="A104" t="s">
        <v>526</v>
      </c>
      <c r="B104" t="s">
        <v>305</v>
      </c>
      <c r="C104" s="25">
        <v>0</v>
      </c>
      <c r="D104" s="25">
        <v>0</v>
      </c>
      <c r="E104" s="25">
        <v>0</v>
      </c>
      <c r="F104" s="25">
        <v>0</v>
      </c>
      <c r="G104" s="25">
        <v>0</v>
      </c>
      <c r="H104" s="25">
        <v>0</v>
      </c>
      <c r="I104" s="25">
        <v>0</v>
      </c>
      <c r="J104" s="25">
        <v>0</v>
      </c>
      <c r="K104" s="25">
        <v>0</v>
      </c>
      <c r="L104" s="25">
        <v>0</v>
      </c>
      <c r="M104" s="25">
        <v>0</v>
      </c>
      <c r="N104" s="25">
        <v>0</v>
      </c>
      <c r="O104" s="25">
        <v>0</v>
      </c>
      <c r="P104" s="25">
        <v>0</v>
      </c>
      <c r="Q104" s="25">
        <v>0</v>
      </c>
      <c r="R104" s="25">
        <v>0</v>
      </c>
      <c r="S104" s="25">
        <v>0</v>
      </c>
      <c r="T104" s="25">
        <v>0</v>
      </c>
      <c r="U104" s="25">
        <v>0</v>
      </c>
      <c r="V104" s="25">
        <v>0</v>
      </c>
      <c r="W104" s="25">
        <v>0</v>
      </c>
      <c r="X104" s="25">
        <v>0</v>
      </c>
      <c r="Y104" s="25">
        <v>0</v>
      </c>
      <c r="Z104" s="25">
        <v>0</v>
      </c>
      <c r="AA104" s="25">
        <v>0</v>
      </c>
      <c r="AB104" s="25">
        <v>0</v>
      </c>
      <c r="AC104" s="25">
        <v>0</v>
      </c>
      <c r="AD104" s="25">
        <v>0</v>
      </c>
      <c r="AE104" s="25">
        <v>0</v>
      </c>
      <c r="AF104" s="25">
        <v>0</v>
      </c>
      <c r="AG104" s="25">
        <v>0</v>
      </c>
      <c r="AH104" s="25">
        <v>0</v>
      </c>
      <c r="AI104" s="25">
        <v>0</v>
      </c>
      <c r="AJ104" s="25">
        <v>0</v>
      </c>
    </row>
    <row r="105" spans="1:36" x14ac:dyDescent="0.25">
      <c r="A105" t="s">
        <v>527</v>
      </c>
      <c r="B105" t="s">
        <v>305</v>
      </c>
      <c r="C105" s="25">
        <v>0</v>
      </c>
      <c r="D105" s="25">
        <v>0</v>
      </c>
      <c r="E105" s="25">
        <v>0</v>
      </c>
      <c r="F105" s="25">
        <v>0</v>
      </c>
      <c r="G105" s="25">
        <v>0</v>
      </c>
      <c r="H105" s="25">
        <v>0</v>
      </c>
      <c r="I105" s="25">
        <v>0</v>
      </c>
      <c r="J105" s="25">
        <v>0</v>
      </c>
      <c r="K105" s="25">
        <v>0</v>
      </c>
      <c r="L105" s="25">
        <v>0</v>
      </c>
      <c r="M105" s="25">
        <v>0</v>
      </c>
      <c r="N105" s="25">
        <v>0</v>
      </c>
      <c r="O105" s="25">
        <v>0</v>
      </c>
      <c r="P105" s="25">
        <v>0</v>
      </c>
      <c r="Q105" s="25">
        <v>0</v>
      </c>
      <c r="R105" s="25">
        <v>0</v>
      </c>
      <c r="S105" s="25">
        <v>0</v>
      </c>
      <c r="T105" s="25">
        <v>0</v>
      </c>
      <c r="U105" s="25">
        <v>0</v>
      </c>
      <c r="V105" s="25">
        <v>0</v>
      </c>
      <c r="W105" s="25">
        <v>0</v>
      </c>
      <c r="X105" s="25">
        <v>0</v>
      </c>
      <c r="Y105" s="25">
        <v>0</v>
      </c>
      <c r="Z105" s="25">
        <v>0</v>
      </c>
      <c r="AA105" s="25">
        <v>0</v>
      </c>
      <c r="AB105" s="25">
        <v>0</v>
      </c>
      <c r="AC105" s="25">
        <v>0</v>
      </c>
      <c r="AD105" s="25">
        <v>0</v>
      </c>
      <c r="AE105" s="25">
        <v>0</v>
      </c>
      <c r="AF105" s="25">
        <v>0</v>
      </c>
      <c r="AG105" s="25">
        <v>0</v>
      </c>
      <c r="AH105" s="25">
        <v>0</v>
      </c>
      <c r="AI105" s="25">
        <v>0</v>
      </c>
      <c r="AJ105" s="25">
        <v>0</v>
      </c>
    </row>
    <row r="106" spans="1:36" x14ac:dyDescent="0.25">
      <c r="A106" t="s">
        <v>528</v>
      </c>
      <c r="B106" t="s">
        <v>305</v>
      </c>
      <c r="C106" s="25">
        <v>93</v>
      </c>
      <c r="D106" s="25">
        <v>93</v>
      </c>
      <c r="E106" s="25">
        <v>93</v>
      </c>
      <c r="F106" s="25">
        <v>93</v>
      </c>
      <c r="G106" s="25">
        <v>93</v>
      </c>
      <c r="H106" s="25">
        <v>93</v>
      </c>
      <c r="I106" s="25">
        <v>93</v>
      </c>
      <c r="J106" s="25">
        <v>93</v>
      </c>
      <c r="K106" s="25">
        <v>93</v>
      </c>
      <c r="L106" s="25">
        <v>93</v>
      </c>
      <c r="M106" s="25">
        <v>93</v>
      </c>
      <c r="N106" s="25">
        <v>93</v>
      </c>
      <c r="O106" s="25">
        <v>93</v>
      </c>
      <c r="P106" s="25">
        <v>93</v>
      </c>
      <c r="Q106" s="25">
        <v>93</v>
      </c>
      <c r="R106" s="25">
        <v>93</v>
      </c>
      <c r="S106" s="25">
        <v>93</v>
      </c>
      <c r="T106" s="25">
        <v>93</v>
      </c>
      <c r="U106" s="25">
        <v>93</v>
      </c>
      <c r="V106" s="25">
        <v>93</v>
      </c>
      <c r="W106" s="25">
        <v>93</v>
      </c>
      <c r="X106" s="25">
        <v>93</v>
      </c>
      <c r="Y106" s="25">
        <v>93</v>
      </c>
      <c r="Z106" s="25">
        <v>93</v>
      </c>
      <c r="AA106" s="25">
        <v>93</v>
      </c>
      <c r="AB106" s="25">
        <v>93</v>
      </c>
      <c r="AC106" s="25">
        <v>93</v>
      </c>
      <c r="AD106" s="25">
        <v>93</v>
      </c>
      <c r="AE106" s="25">
        <v>93</v>
      </c>
      <c r="AF106" s="25">
        <v>93</v>
      </c>
      <c r="AG106" s="25">
        <v>93</v>
      </c>
      <c r="AH106" s="25">
        <v>93</v>
      </c>
      <c r="AI106" s="25">
        <v>93</v>
      </c>
      <c r="AJ106" s="25">
        <v>93</v>
      </c>
    </row>
    <row r="107" spans="1:36" x14ac:dyDescent="0.25">
      <c r="A107" t="s">
        <v>758</v>
      </c>
      <c r="B107" t="s">
        <v>305</v>
      </c>
      <c r="C107" s="25">
        <v>0</v>
      </c>
      <c r="D107" s="25">
        <v>0</v>
      </c>
      <c r="E107" s="25">
        <v>0</v>
      </c>
      <c r="F107" s="25">
        <v>0</v>
      </c>
      <c r="G107" s="25">
        <v>0</v>
      </c>
      <c r="H107" s="25">
        <v>0</v>
      </c>
      <c r="I107" s="25">
        <v>0</v>
      </c>
      <c r="J107" s="25">
        <v>0</v>
      </c>
      <c r="K107" s="25">
        <v>0</v>
      </c>
      <c r="L107" s="25">
        <v>0</v>
      </c>
      <c r="M107" s="25">
        <v>0</v>
      </c>
      <c r="N107" s="25">
        <v>0</v>
      </c>
      <c r="O107" s="25">
        <v>0</v>
      </c>
      <c r="P107" s="25">
        <v>0</v>
      </c>
      <c r="Q107" s="25">
        <v>0</v>
      </c>
      <c r="R107" s="25">
        <v>0</v>
      </c>
      <c r="S107" s="25">
        <v>0</v>
      </c>
      <c r="T107" s="25">
        <v>0</v>
      </c>
      <c r="U107" s="25">
        <v>0</v>
      </c>
      <c r="V107" s="25">
        <v>0</v>
      </c>
      <c r="W107" s="25">
        <v>0</v>
      </c>
      <c r="X107" s="25">
        <v>0</v>
      </c>
      <c r="Y107" s="25">
        <v>0</v>
      </c>
      <c r="Z107" s="25">
        <v>0</v>
      </c>
      <c r="AA107" s="25">
        <v>0</v>
      </c>
      <c r="AB107" s="25">
        <v>0</v>
      </c>
      <c r="AC107" s="25">
        <v>0</v>
      </c>
      <c r="AD107" s="25">
        <v>0</v>
      </c>
      <c r="AE107" s="25">
        <v>0</v>
      </c>
      <c r="AF107" s="25">
        <v>0</v>
      </c>
      <c r="AG107" s="25">
        <v>0</v>
      </c>
      <c r="AH107" s="25">
        <v>0</v>
      </c>
      <c r="AI107" s="25">
        <v>0</v>
      </c>
      <c r="AJ107" s="25">
        <v>0</v>
      </c>
    </row>
    <row r="108" spans="1:36" s="78" customFormat="1" x14ac:dyDescent="0.25">
      <c r="A108" s="78" t="s">
        <v>780</v>
      </c>
      <c r="C108" s="79">
        <f>+SUM(C97:C107)</f>
        <v>100</v>
      </c>
      <c r="D108" s="79">
        <f t="shared" ref="D108" si="166">+SUM(D97:D107)</f>
        <v>100</v>
      </c>
      <c r="E108" s="79">
        <f t="shared" ref="E108" si="167">+SUM(E97:E107)</f>
        <v>100</v>
      </c>
      <c r="F108" s="79">
        <f t="shared" ref="F108" si="168">+SUM(F97:F107)</f>
        <v>100</v>
      </c>
      <c r="G108" s="79">
        <f t="shared" ref="G108" si="169">+SUM(G97:G107)</f>
        <v>100</v>
      </c>
      <c r="H108" s="79">
        <f t="shared" ref="H108" si="170">+SUM(H97:H107)</f>
        <v>100</v>
      </c>
      <c r="I108" s="79">
        <f t="shared" ref="I108" si="171">+SUM(I97:I107)</f>
        <v>100</v>
      </c>
      <c r="J108" s="79">
        <f t="shared" ref="J108" si="172">+SUM(J97:J107)</f>
        <v>100</v>
      </c>
      <c r="K108" s="79">
        <f t="shared" ref="K108" si="173">+SUM(K97:K107)</f>
        <v>100</v>
      </c>
      <c r="L108" s="79">
        <f t="shared" ref="L108" si="174">+SUM(L97:L107)</f>
        <v>100</v>
      </c>
      <c r="M108" s="79">
        <f t="shared" ref="M108" si="175">+SUM(M97:M107)</f>
        <v>100</v>
      </c>
      <c r="N108" s="79">
        <f t="shared" ref="N108" si="176">+SUM(N97:N107)</f>
        <v>100</v>
      </c>
      <c r="O108" s="79">
        <f t="shared" ref="O108" si="177">+SUM(O97:O107)</f>
        <v>100</v>
      </c>
      <c r="P108" s="79">
        <f t="shared" ref="P108" si="178">+SUM(P97:P107)</f>
        <v>100</v>
      </c>
      <c r="Q108" s="79">
        <f t="shared" ref="Q108" si="179">+SUM(Q97:Q107)</f>
        <v>100</v>
      </c>
      <c r="R108" s="79">
        <f t="shared" ref="R108" si="180">+SUM(R97:R107)</f>
        <v>100</v>
      </c>
      <c r="S108" s="79">
        <f t="shared" ref="S108" si="181">+SUM(S97:S107)</f>
        <v>100</v>
      </c>
      <c r="T108" s="79">
        <f t="shared" ref="T108" si="182">+SUM(T97:T107)</f>
        <v>100</v>
      </c>
      <c r="U108" s="79">
        <f t="shared" ref="U108" si="183">+SUM(U97:U107)</f>
        <v>100</v>
      </c>
      <c r="V108" s="79">
        <f t="shared" ref="V108" si="184">+SUM(V97:V107)</f>
        <v>100</v>
      </c>
      <c r="W108" s="79">
        <f t="shared" ref="W108" si="185">+SUM(W97:W107)</f>
        <v>100</v>
      </c>
      <c r="X108" s="79">
        <f t="shared" ref="X108" si="186">+SUM(X97:X107)</f>
        <v>100</v>
      </c>
      <c r="Y108" s="79">
        <f t="shared" ref="Y108" si="187">+SUM(Y97:Y107)</f>
        <v>100</v>
      </c>
      <c r="Z108" s="79">
        <f t="shared" ref="Z108" si="188">+SUM(Z97:Z107)</f>
        <v>100</v>
      </c>
      <c r="AA108" s="79">
        <f t="shared" ref="AA108" si="189">+SUM(AA97:AA107)</f>
        <v>100</v>
      </c>
      <c r="AB108" s="79">
        <f t="shared" ref="AB108" si="190">+SUM(AB97:AB107)</f>
        <v>100</v>
      </c>
      <c r="AC108" s="79">
        <f t="shared" ref="AC108" si="191">+SUM(AC97:AC107)</f>
        <v>100</v>
      </c>
      <c r="AD108" s="79">
        <f t="shared" ref="AD108" si="192">+SUM(AD97:AD107)</f>
        <v>100</v>
      </c>
      <c r="AE108" s="79">
        <f t="shared" ref="AE108" si="193">+SUM(AE97:AE107)</f>
        <v>100</v>
      </c>
      <c r="AF108" s="79">
        <f t="shared" ref="AF108" si="194">+SUM(AF97:AF107)</f>
        <v>100</v>
      </c>
      <c r="AG108" s="79">
        <f t="shared" ref="AG108" si="195">+SUM(AG97:AG107)</f>
        <v>100</v>
      </c>
      <c r="AH108" s="79">
        <f t="shared" ref="AH108" si="196">+SUM(AH97:AH107)</f>
        <v>100</v>
      </c>
      <c r="AI108" s="79">
        <f t="shared" ref="AI108" si="197">+SUM(AI97:AI107)</f>
        <v>100</v>
      </c>
      <c r="AJ108" s="79">
        <f t="shared" ref="AJ108" si="198">+SUM(AJ97:AJ107)</f>
        <v>100</v>
      </c>
    </row>
    <row r="109" spans="1:36" s="76" customFormat="1" ht="15.75" x14ac:dyDescent="0.25">
      <c r="A109" s="74" t="s">
        <v>774</v>
      </c>
      <c r="B109" s="75"/>
      <c r="C109" s="74"/>
      <c r="D109" s="74"/>
      <c r="E109" s="74"/>
      <c r="F109" s="74"/>
      <c r="G109" s="74"/>
      <c r="H109" s="74"/>
      <c r="I109" s="74"/>
      <c r="J109" s="74"/>
      <c r="K109" s="74"/>
      <c r="L109" s="74"/>
      <c r="M109" s="74"/>
      <c r="N109" s="74"/>
      <c r="O109" s="74"/>
      <c r="P109" s="74"/>
      <c r="Q109" s="74"/>
      <c r="R109" s="74"/>
      <c r="S109" s="74"/>
      <c r="T109" s="74"/>
      <c r="U109" s="74"/>
      <c r="V109" s="74"/>
      <c r="W109" s="74"/>
      <c r="X109" s="74"/>
      <c r="Y109" s="74"/>
      <c r="Z109" s="74"/>
      <c r="AA109" s="74"/>
      <c r="AB109" s="74"/>
      <c r="AC109" s="74"/>
      <c r="AD109" s="74"/>
      <c r="AE109" s="74"/>
      <c r="AF109" s="74"/>
      <c r="AG109" s="74"/>
      <c r="AH109" s="74"/>
      <c r="AI109" s="74"/>
      <c r="AJ109" s="74"/>
    </row>
    <row r="110" spans="1:36" x14ac:dyDescent="0.25">
      <c r="A110" t="s">
        <v>529</v>
      </c>
      <c r="B110" t="s">
        <v>305</v>
      </c>
      <c r="C110" s="25">
        <v>0</v>
      </c>
      <c r="D110" s="25">
        <v>0</v>
      </c>
      <c r="E110" s="25">
        <v>0</v>
      </c>
      <c r="F110" s="25">
        <v>0</v>
      </c>
      <c r="G110" s="25">
        <v>0</v>
      </c>
      <c r="H110" s="25">
        <v>0</v>
      </c>
      <c r="I110" s="25">
        <v>0</v>
      </c>
      <c r="J110" s="25">
        <v>0</v>
      </c>
      <c r="K110" s="25">
        <v>0</v>
      </c>
      <c r="L110" s="25">
        <v>0</v>
      </c>
      <c r="M110" s="25">
        <v>0</v>
      </c>
      <c r="N110" s="25">
        <v>0</v>
      </c>
      <c r="O110" s="25">
        <v>0</v>
      </c>
      <c r="P110" s="25">
        <v>0</v>
      </c>
      <c r="Q110" s="25">
        <v>0</v>
      </c>
      <c r="R110" s="25">
        <v>0</v>
      </c>
      <c r="S110" s="25">
        <v>0</v>
      </c>
      <c r="T110" s="25">
        <v>0</v>
      </c>
      <c r="U110" s="25">
        <v>0</v>
      </c>
      <c r="V110" s="25">
        <v>0</v>
      </c>
      <c r="W110" s="25">
        <v>0</v>
      </c>
      <c r="X110" s="25">
        <v>0</v>
      </c>
      <c r="Y110" s="25">
        <v>0</v>
      </c>
      <c r="Z110" s="25">
        <v>0</v>
      </c>
      <c r="AA110" s="25">
        <v>0</v>
      </c>
      <c r="AB110" s="25">
        <v>0</v>
      </c>
      <c r="AC110" s="25">
        <v>0</v>
      </c>
      <c r="AD110" s="25">
        <v>0</v>
      </c>
      <c r="AE110" s="25">
        <v>0</v>
      </c>
      <c r="AF110" s="25">
        <v>0</v>
      </c>
      <c r="AG110" s="25">
        <v>0</v>
      </c>
      <c r="AH110" s="25">
        <v>0</v>
      </c>
      <c r="AI110" s="25">
        <v>0</v>
      </c>
      <c r="AJ110" s="25">
        <v>0</v>
      </c>
    </row>
    <row r="111" spans="1:36" x14ac:dyDescent="0.25">
      <c r="A111" t="s">
        <v>530</v>
      </c>
      <c r="B111" t="s">
        <v>305</v>
      </c>
      <c r="C111" s="25">
        <v>0</v>
      </c>
      <c r="D111" s="25">
        <v>0</v>
      </c>
      <c r="E111" s="25">
        <v>0</v>
      </c>
      <c r="F111" s="25">
        <v>0</v>
      </c>
      <c r="G111" s="25">
        <v>0</v>
      </c>
      <c r="H111" s="25">
        <v>0</v>
      </c>
      <c r="I111" s="25">
        <v>0</v>
      </c>
      <c r="J111" s="25">
        <v>0</v>
      </c>
      <c r="K111" s="25">
        <v>0</v>
      </c>
      <c r="L111" s="25">
        <v>0</v>
      </c>
      <c r="M111" s="25">
        <v>0</v>
      </c>
      <c r="N111" s="25">
        <v>0</v>
      </c>
      <c r="O111" s="25">
        <v>0</v>
      </c>
      <c r="P111" s="25">
        <v>0</v>
      </c>
      <c r="Q111" s="25">
        <v>0</v>
      </c>
      <c r="R111" s="25">
        <v>0</v>
      </c>
      <c r="S111" s="25">
        <v>0</v>
      </c>
      <c r="T111" s="25">
        <v>0</v>
      </c>
      <c r="U111" s="25">
        <v>0</v>
      </c>
      <c r="V111" s="25">
        <v>0</v>
      </c>
      <c r="W111" s="25">
        <v>0</v>
      </c>
      <c r="X111" s="25">
        <v>0</v>
      </c>
      <c r="Y111" s="25">
        <v>0</v>
      </c>
      <c r="Z111" s="25">
        <v>0</v>
      </c>
      <c r="AA111" s="25">
        <v>0</v>
      </c>
      <c r="AB111" s="25">
        <v>0</v>
      </c>
      <c r="AC111" s="25">
        <v>0</v>
      </c>
      <c r="AD111" s="25">
        <v>0</v>
      </c>
      <c r="AE111" s="25">
        <v>0</v>
      </c>
      <c r="AF111" s="25">
        <v>0</v>
      </c>
      <c r="AG111" s="25">
        <v>0</v>
      </c>
      <c r="AH111" s="25">
        <v>0</v>
      </c>
      <c r="AI111" s="25">
        <v>0</v>
      </c>
      <c r="AJ111" s="25">
        <v>0</v>
      </c>
    </row>
    <row r="112" spans="1:36" x14ac:dyDescent="0.25">
      <c r="A112" t="s">
        <v>531</v>
      </c>
      <c r="B112" t="s">
        <v>305</v>
      </c>
      <c r="C112" s="25">
        <v>1</v>
      </c>
      <c r="D112" s="25">
        <v>1</v>
      </c>
      <c r="E112" s="25">
        <v>1</v>
      </c>
      <c r="F112" s="25">
        <v>1</v>
      </c>
      <c r="G112" s="25">
        <v>1</v>
      </c>
      <c r="H112" s="25">
        <v>1</v>
      </c>
      <c r="I112" s="25">
        <v>1</v>
      </c>
      <c r="J112" s="25">
        <v>1</v>
      </c>
      <c r="K112" s="25">
        <v>1</v>
      </c>
      <c r="L112" s="25">
        <v>1</v>
      </c>
      <c r="M112" s="25">
        <v>1</v>
      </c>
      <c r="N112" s="25">
        <v>1</v>
      </c>
      <c r="O112" s="25">
        <v>1</v>
      </c>
      <c r="P112" s="25">
        <v>1</v>
      </c>
      <c r="Q112" s="25">
        <v>1</v>
      </c>
      <c r="R112" s="25">
        <v>1</v>
      </c>
      <c r="S112" s="25">
        <v>1</v>
      </c>
      <c r="T112" s="25">
        <v>1</v>
      </c>
      <c r="U112" s="25">
        <v>1</v>
      </c>
      <c r="V112" s="25">
        <v>1</v>
      </c>
      <c r="W112" s="25">
        <v>1</v>
      </c>
      <c r="X112" s="25">
        <v>1</v>
      </c>
      <c r="Y112" s="25">
        <v>1</v>
      </c>
      <c r="Z112" s="25">
        <v>1</v>
      </c>
      <c r="AA112" s="25">
        <v>1</v>
      </c>
      <c r="AB112" s="25">
        <v>1</v>
      </c>
      <c r="AC112" s="25">
        <v>1</v>
      </c>
      <c r="AD112" s="25">
        <v>1</v>
      </c>
      <c r="AE112" s="25">
        <v>1</v>
      </c>
      <c r="AF112" s="25">
        <v>1</v>
      </c>
      <c r="AG112" s="25">
        <v>1</v>
      </c>
      <c r="AH112" s="25">
        <v>1</v>
      </c>
      <c r="AI112" s="25">
        <v>1</v>
      </c>
      <c r="AJ112" s="25">
        <v>1</v>
      </c>
    </row>
    <row r="113" spans="1:36" x14ac:dyDescent="0.25">
      <c r="A113" t="s">
        <v>532</v>
      </c>
      <c r="B113" t="s">
        <v>305</v>
      </c>
      <c r="C113" s="25">
        <v>0</v>
      </c>
      <c r="D113" s="25">
        <v>0</v>
      </c>
      <c r="E113" s="25">
        <v>0</v>
      </c>
      <c r="F113" s="25">
        <v>0</v>
      </c>
      <c r="G113" s="25">
        <v>0</v>
      </c>
      <c r="H113" s="25">
        <v>0</v>
      </c>
      <c r="I113" s="25">
        <v>0</v>
      </c>
      <c r="J113" s="25">
        <v>0</v>
      </c>
      <c r="K113" s="25">
        <v>0</v>
      </c>
      <c r="L113" s="25">
        <v>0</v>
      </c>
      <c r="M113" s="25">
        <v>0</v>
      </c>
      <c r="N113" s="25">
        <v>0</v>
      </c>
      <c r="O113" s="25">
        <v>0</v>
      </c>
      <c r="P113" s="25">
        <v>0</v>
      </c>
      <c r="Q113" s="25">
        <v>0</v>
      </c>
      <c r="R113" s="25">
        <v>0</v>
      </c>
      <c r="S113" s="25">
        <v>0</v>
      </c>
      <c r="T113" s="25">
        <v>0</v>
      </c>
      <c r="U113" s="25">
        <v>0</v>
      </c>
      <c r="V113" s="25">
        <v>0</v>
      </c>
      <c r="W113" s="25">
        <v>0</v>
      </c>
      <c r="X113" s="25">
        <v>0</v>
      </c>
      <c r="Y113" s="25">
        <v>0</v>
      </c>
      <c r="Z113" s="25">
        <v>0</v>
      </c>
      <c r="AA113" s="25">
        <v>0</v>
      </c>
      <c r="AB113" s="25">
        <v>0</v>
      </c>
      <c r="AC113" s="25">
        <v>0</v>
      </c>
      <c r="AD113" s="25">
        <v>0</v>
      </c>
      <c r="AE113" s="25">
        <v>0</v>
      </c>
      <c r="AF113" s="25">
        <v>0</v>
      </c>
      <c r="AG113" s="25">
        <v>0</v>
      </c>
      <c r="AH113" s="25">
        <v>0</v>
      </c>
      <c r="AI113" s="25">
        <v>0</v>
      </c>
      <c r="AJ113" s="25">
        <v>0</v>
      </c>
    </row>
    <row r="114" spans="1:36" x14ac:dyDescent="0.25">
      <c r="A114" t="s">
        <v>533</v>
      </c>
      <c r="B114" t="s">
        <v>305</v>
      </c>
      <c r="C114" s="25">
        <v>0</v>
      </c>
      <c r="D114" s="25">
        <v>0</v>
      </c>
      <c r="E114" s="25">
        <v>0</v>
      </c>
      <c r="F114" s="25">
        <v>0</v>
      </c>
      <c r="G114" s="25">
        <v>0</v>
      </c>
      <c r="H114" s="25">
        <v>0</v>
      </c>
      <c r="I114" s="25">
        <v>0</v>
      </c>
      <c r="J114" s="25">
        <v>0</v>
      </c>
      <c r="K114" s="25">
        <v>0</v>
      </c>
      <c r="L114" s="25">
        <v>0</v>
      </c>
      <c r="M114" s="25">
        <v>0</v>
      </c>
      <c r="N114" s="25">
        <v>0</v>
      </c>
      <c r="O114" s="25">
        <v>0</v>
      </c>
      <c r="P114" s="25">
        <v>0</v>
      </c>
      <c r="Q114" s="25">
        <v>0</v>
      </c>
      <c r="R114" s="25">
        <v>0</v>
      </c>
      <c r="S114" s="25">
        <v>0</v>
      </c>
      <c r="T114" s="25">
        <v>0</v>
      </c>
      <c r="U114" s="25">
        <v>0</v>
      </c>
      <c r="V114" s="25">
        <v>0</v>
      </c>
      <c r="W114" s="25">
        <v>0</v>
      </c>
      <c r="X114" s="25">
        <v>0</v>
      </c>
      <c r="Y114" s="25">
        <v>0</v>
      </c>
      <c r="Z114" s="25">
        <v>0</v>
      </c>
      <c r="AA114" s="25">
        <v>0</v>
      </c>
      <c r="AB114" s="25">
        <v>0</v>
      </c>
      <c r="AC114" s="25">
        <v>0</v>
      </c>
      <c r="AD114" s="25">
        <v>0</v>
      </c>
      <c r="AE114" s="25">
        <v>0</v>
      </c>
      <c r="AF114" s="25">
        <v>0</v>
      </c>
      <c r="AG114" s="25">
        <v>0</v>
      </c>
      <c r="AH114" s="25">
        <v>0</v>
      </c>
      <c r="AI114" s="25">
        <v>0</v>
      </c>
      <c r="AJ114" s="25">
        <v>0</v>
      </c>
    </row>
    <row r="115" spans="1:36" x14ac:dyDescent="0.25">
      <c r="A115" t="s">
        <v>534</v>
      </c>
      <c r="B115" t="s">
        <v>305</v>
      </c>
      <c r="C115" s="25">
        <v>0</v>
      </c>
      <c r="D115" s="25">
        <v>0</v>
      </c>
      <c r="E115" s="25">
        <v>0</v>
      </c>
      <c r="F115" s="25">
        <v>0</v>
      </c>
      <c r="G115" s="25">
        <v>0</v>
      </c>
      <c r="H115" s="25">
        <v>0</v>
      </c>
      <c r="I115" s="25">
        <v>0</v>
      </c>
      <c r="J115" s="25">
        <v>0</v>
      </c>
      <c r="K115" s="25">
        <v>0</v>
      </c>
      <c r="L115" s="25">
        <v>0</v>
      </c>
      <c r="M115" s="25">
        <v>0</v>
      </c>
      <c r="N115" s="25">
        <v>0</v>
      </c>
      <c r="O115" s="25">
        <v>0</v>
      </c>
      <c r="P115" s="25">
        <v>0</v>
      </c>
      <c r="Q115" s="25">
        <v>0</v>
      </c>
      <c r="R115" s="25">
        <v>0</v>
      </c>
      <c r="S115" s="25">
        <v>0</v>
      </c>
      <c r="T115" s="25">
        <v>0</v>
      </c>
      <c r="U115" s="25">
        <v>0</v>
      </c>
      <c r="V115" s="25">
        <v>0</v>
      </c>
      <c r="W115" s="25">
        <v>0</v>
      </c>
      <c r="X115" s="25">
        <v>0</v>
      </c>
      <c r="Y115" s="25">
        <v>0</v>
      </c>
      <c r="Z115" s="25">
        <v>0</v>
      </c>
      <c r="AA115" s="25">
        <v>0</v>
      </c>
      <c r="AB115" s="25">
        <v>0</v>
      </c>
      <c r="AC115" s="25">
        <v>0</v>
      </c>
      <c r="AD115" s="25">
        <v>0</v>
      </c>
      <c r="AE115" s="25">
        <v>0</v>
      </c>
      <c r="AF115" s="25">
        <v>0</v>
      </c>
      <c r="AG115" s="25">
        <v>0</v>
      </c>
      <c r="AH115" s="25">
        <v>0</v>
      </c>
      <c r="AI115" s="25">
        <v>0</v>
      </c>
      <c r="AJ115" s="25">
        <v>0</v>
      </c>
    </row>
    <row r="116" spans="1:36" x14ac:dyDescent="0.25">
      <c r="A116" t="s">
        <v>535</v>
      </c>
      <c r="B116" t="s">
        <v>305</v>
      </c>
      <c r="C116" s="25">
        <v>0</v>
      </c>
      <c r="D116" s="25">
        <v>0</v>
      </c>
      <c r="E116" s="25">
        <v>0</v>
      </c>
      <c r="F116" s="25">
        <v>0</v>
      </c>
      <c r="G116" s="25">
        <v>0</v>
      </c>
      <c r="H116" s="25">
        <v>0</v>
      </c>
      <c r="I116" s="25">
        <v>0</v>
      </c>
      <c r="J116" s="25">
        <v>0</v>
      </c>
      <c r="K116" s="25">
        <v>0</v>
      </c>
      <c r="L116" s="25">
        <v>0</v>
      </c>
      <c r="M116" s="25">
        <v>0</v>
      </c>
      <c r="N116" s="25">
        <v>0</v>
      </c>
      <c r="O116" s="25">
        <v>0</v>
      </c>
      <c r="P116" s="25">
        <v>0</v>
      </c>
      <c r="Q116" s="25">
        <v>0</v>
      </c>
      <c r="R116" s="25">
        <v>0</v>
      </c>
      <c r="S116" s="25">
        <v>0</v>
      </c>
      <c r="T116" s="25">
        <v>0</v>
      </c>
      <c r="U116" s="25">
        <v>0</v>
      </c>
      <c r="V116" s="25">
        <v>0</v>
      </c>
      <c r="W116" s="25">
        <v>0</v>
      </c>
      <c r="X116" s="25">
        <v>0</v>
      </c>
      <c r="Y116" s="25">
        <v>0</v>
      </c>
      <c r="Z116" s="25">
        <v>0</v>
      </c>
      <c r="AA116" s="25">
        <v>0</v>
      </c>
      <c r="AB116" s="25">
        <v>0</v>
      </c>
      <c r="AC116" s="25">
        <v>0</v>
      </c>
      <c r="AD116" s="25">
        <v>0</v>
      </c>
      <c r="AE116" s="25">
        <v>0</v>
      </c>
      <c r="AF116" s="25">
        <v>0</v>
      </c>
      <c r="AG116" s="25">
        <v>0</v>
      </c>
      <c r="AH116" s="25">
        <v>0</v>
      </c>
      <c r="AI116" s="25">
        <v>0</v>
      </c>
      <c r="AJ116" s="25">
        <v>0</v>
      </c>
    </row>
    <row r="117" spans="1:36" x14ac:dyDescent="0.25">
      <c r="A117" t="s">
        <v>536</v>
      </c>
      <c r="B117" t="s">
        <v>305</v>
      </c>
      <c r="C117" s="25">
        <v>0</v>
      </c>
      <c r="D117" s="25">
        <v>0</v>
      </c>
      <c r="E117" s="25">
        <v>0</v>
      </c>
      <c r="F117" s="25">
        <v>0</v>
      </c>
      <c r="G117" s="25">
        <v>0</v>
      </c>
      <c r="H117" s="25">
        <v>0</v>
      </c>
      <c r="I117" s="25">
        <v>0</v>
      </c>
      <c r="J117" s="25">
        <v>0</v>
      </c>
      <c r="K117" s="25">
        <v>0</v>
      </c>
      <c r="L117" s="25">
        <v>0</v>
      </c>
      <c r="M117" s="25">
        <v>0</v>
      </c>
      <c r="N117" s="25">
        <v>0</v>
      </c>
      <c r="O117" s="25">
        <v>0</v>
      </c>
      <c r="P117" s="25">
        <v>0</v>
      </c>
      <c r="Q117" s="25">
        <v>0</v>
      </c>
      <c r="R117" s="25">
        <v>0</v>
      </c>
      <c r="S117" s="25">
        <v>0</v>
      </c>
      <c r="T117" s="25">
        <v>0</v>
      </c>
      <c r="U117" s="25">
        <v>0</v>
      </c>
      <c r="V117" s="25">
        <v>0</v>
      </c>
      <c r="W117" s="25">
        <v>0</v>
      </c>
      <c r="X117" s="25">
        <v>0</v>
      </c>
      <c r="Y117" s="25">
        <v>0</v>
      </c>
      <c r="Z117" s="25">
        <v>0</v>
      </c>
      <c r="AA117" s="25">
        <v>0</v>
      </c>
      <c r="AB117" s="25">
        <v>0</v>
      </c>
      <c r="AC117" s="25">
        <v>0</v>
      </c>
      <c r="AD117" s="25">
        <v>0</v>
      </c>
      <c r="AE117" s="25">
        <v>0</v>
      </c>
      <c r="AF117" s="25">
        <v>0</v>
      </c>
      <c r="AG117" s="25">
        <v>0</v>
      </c>
      <c r="AH117" s="25">
        <v>0</v>
      </c>
      <c r="AI117" s="25">
        <v>0</v>
      </c>
      <c r="AJ117" s="25">
        <v>0</v>
      </c>
    </row>
    <row r="118" spans="1:36" x14ac:dyDescent="0.25">
      <c r="A118" t="s">
        <v>537</v>
      </c>
      <c r="B118" t="s">
        <v>305</v>
      </c>
      <c r="C118" s="25">
        <v>0</v>
      </c>
      <c r="D118" s="25">
        <v>0</v>
      </c>
      <c r="E118" s="25">
        <v>0</v>
      </c>
      <c r="F118" s="25">
        <v>0</v>
      </c>
      <c r="G118" s="25">
        <v>0</v>
      </c>
      <c r="H118" s="25">
        <v>0</v>
      </c>
      <c r="I118" s="25">
        <v>0</v>
      </c>
      <c r="J118" s="25">
        <v>0</v>
      </c>
      <c r="K118" s="25">
        <v>0</v>
      </c>
      <c r="L118" s="25">
        <v>0</v>
      </c>
      <c r="M118" s="25">
        <v>0</v>
      </c>
      <c r="N118" s="25">
        <v>0</v>
      </c>
      <c r="O118" s="25">
        <v>0</v>
      </c>
      <c r="P118" s="25">
        <v>0</v>
      </c>
      <c r="Q118" s="25">
        <v>0</v>
      </c>
      <c r="R118" s="25">
        <v>0</v>
      </c>
      <c r="S118" s="25">
        <v>0</v>
      </c>
      <c r="T118" s="25">
        <v>0</v>
      </c>
      <c r="U118" s="25">
        <v>0</v>
      </c>
      <c r="V118" s="25">
        <v>0</v>
      </c>
      <c r="W118" s="25">
        <v>0</v>
      </c>
      <c r="X118" s="25">
        <v>0</v>
      </c>
      <c r="Y118" s="25">
        <v>0</v>
      </c>
      <c r="Z118" s="25">
        <v>0</v>
      </c>
      <c r="AA118" s="25">
        <v>0</v>
      </c>
      <c r="AB118" s="25">
        <v>0</v>
      </c>
      <c r="AC118" s="25">
        <v>0</v>
      </c>
      <c r="AD118" s="25">
        <v>0</v>
      </c>
      <c r="AE118" s="25">
        <v>0</v>
      </c>
      <c r="AF118" s="25">
        <v>0</v>
      </c>
      <c r="AG118" s="25">
        <v>0</v>
      </c>
      <c r="AH118" s="25">
        <v>0</v>
      </c>
      <c r="AI118" s="25">
        <v>0</v>
      </c>
      <c r="AJ118" s="25">
        <v>0</v>
      </c>
    </row>
    <row r="119" spans="1:36" x14ac:dyDescent="0.25">
      <c r="A119" t="s">
        <v>538</v>
      </c>
      <c r="B119" t="s">
        <v>305</v>
      </c>
      <c r="C119" s="25">
        <v>99</v>
      </c>
      <c r="D119" s="25">
        <v>99</v>
      </c>
      <c r="E119" s="25">
        <v>99</v>
      </c>
      <c r="F119" s="25">
        <v>99</v>
      </c>
      <c r="G119" s="25">
        <v>99</v>
      </c>
      <c r="H119" s="25">
        <v>99</v>
      </c>
      <c r="I119" s="25">
        <v>99</v>
      </c>
      <c r="J119" s="25">
        <v>99</v>
      </c>
      <c r="K119" s="25">
        <v>99</v>
      </c>
      <c r="L119" s="25">
        <v>99</v>
      </c>
      <c r="M119" s="25">
        <v>99</v>
      </c>
      <c r="N119" s="25">
        <v>99</v>
      </c>
      <c r="O119" s="25">
        <v>99</v>
      </c>
      <c r="P119" s="25">
        <v>99</v>
      </c>
      <c r="Q119" s="25">
        <v>99</v>
      </c>
      <c r="R119" s="25">
        <v>99</v>
      </c>
      <c r="S119" s="25">
        <v>99</v>
      </c>
      <c r="T119" s="25">
        <v>99</v>
      </c>
      <c r="U119" s="25">
        <v>99</v>
      </c>
      <c r="V119" s="25">
        <v>99</v>
      </c>
      <c r="W119" s="25">
        <v>99</v>
      </c>
      <c r="X119" s="25">
        <v>99</v>
      </c>
      <c r="Y119" s="25">
        <v>99</v>
      </c>
      <c r="Z119" s="25">
        <v>99</v>
      </c>
      <c r="AA119" s="25">
        <v>99</v>
      </c>
      <c r="AB119" s="25">
        <v>99</v>
      </c>
      <c r="AC119" s="25">
        <v>99</v>
      </c>
      <c r="AD119" s="25">
        <v>99</v>
      </c>
      <c r="AE119" s="25">
        <v>99</v>
      </c>
      <c r="AF119" s="25">
        <v>99</v>
      </c>
      <c r="AG119" s="25">
        <v>99</v>
      </c>
      <c r="AH119" s="25">
        <v>99</v>
      </c>
      <c r="AI119" s="25">
        <v>99</v>
      </c>
      <c r="AJ119" s="25">
        <v>99</v>
      </c>
    </row>
    <row r="120" spans="1:36" x14ac:dyDescent="0.25">
      <c r="A120" t="s">
        <v>759</v>
      </c>
      <c r="B120" t="s">
        <v>305</v>
      </c>
      <c r="C120" s="25">
        <v>0</v>
      </c>
      <c r="D120" s="25">
        <v>0</v>
      </c>
      <c r="E120" s="25">
        <v>0</v>
      </c>
      <c r="F120" s="25">
        <v>0</v>
      </c>
      <c r="G120" s="25">
        <v>0</v>
      </c>
      <c r="H120" s="25">
        <v>0</v>
      </c>
      <c r="I120" s="25">
        <v>0</v>
      </c>
      <c r="J120" s="25">
        <v>0</v>
      </c>
      <c r="K120" s="25">
        <v>0</v>
      </c>
      <c r="L120" s="25">
        <v>0</v>
      </c>
      <c r="M120" s="25">
        <v>0</v>
      </c>
      <c r="N120" s="25">
        <v>0</v>
      </c>
      <c r="O120" s="25">
        <v>0</v>
      </c>
      <c r="P120" s="25">
        <v>0</v>
      </c>
      <c r="Q120" s="25">
        <v>0</v>
      </c>
      <c r="R120" s="25">
        <v>0</v>
      </c>
      <c r="S120" s="25">
        <v>0</v>
      </c>
      <c r="T120" s="25">
        <v>0</v>
      </c>
      <c r="U120" s="25">
        <v>0</v>
      </c>
      <c r="V120" s="25">
        <v>0</v>
      </c>
      <c r="W120" s="25">
        <v>0</v>
      </c>
      <c r="X120" s="25">
        <v>0</v>
      </c>
      <c r="Y120" s="25">
        <v>0</v>
      </c>
      <c r="Z120" s="25">
        <v>0</v>
      </c>
      <c r="AA120" s="25">
        <v>0</v>
      </c>
      <c r="AB120" s="25">
        <v>0</v>
      </c>
      <c r="AC120" s="25">
        <v>0</v>
      </c>
      <c r="AD120" s="25">
        <v>0</v>
      </c>
      <c r="AE120" s="25">
        <v>0</v>
      </c>
      <c r="AF120" s="25">
        <v>0</v>
      </c>
      <c r="AG120" s="25">
        <v>0</v>
      </c>
      <c r="AH120" s="25">
        <v>0</v>
      </c>
      <c r="AI120" s="25">
        <v>0</v>
      </c>
      <c r="AJ120" s="25">
        <v>0</v>
      </c>
    </row>
    <row r="121" spans="1:36" s="78" customFormat="1" x14ac:dyDescent="0.25">
      <c r="A121" s="78" t="s">
        <v>780</v>
      </c>
      <c r="C121" s="79">
        <f>+SUM(C110:C120)</f>
        <v>100</v>
      </c>
      <c r="D121" s="79">
        <f t="shared" ref="D121" si="199">+SUM(D110:D120)</f>
        <v>100</v>
      </c>
      <c r="E121" s="79">
        <f t="shared" ref="E121" si="200">+SUM(E110:E120)</f>
        <v>100</v>
      </c>
      <c r="F121" s="79">
        <f t="shared" ref="F121" si="201">+SUM(F110:F120)</f>
        <v>100</v>
      </c>
      <c r="G121" s="79">
        <f t="shared" ref="G121" si="202">+SUM(G110:G120)</f>
        <v>100</v>
      </c>
      <c r="H121" s="79">
        <f t="shared" ref="H121" si="203">+SUM(H110:H120)</f>
        <v>100</v>
      </c>
      <c r="I121" s="79">
        <f t="shared" ref="I121" si="204">+SUM(I110:I120)</f>
        <v>100</v>
      </c>
      <c r="J121" s="79">
        <f t="shared" ref="J121" si="205">+SUM(J110:J120)</f>
        <v>100</v>
      </c>
      <c r="K121" s="79">
        <f t="shared" ref="K121" si="206">+SUM(K110:K120)</f>
        <v>100</v>
      </c>
      <c r="L121" s="79">
        <f t="shared" ref="L121" si="207">+SUM(L110:L120)</f>
        <v>100</v>
      </c>
      <c r="M121" s="79">
        <f t="shared" ref="M121" si="208">+SUM(M110:M120)</f>
        <v>100</v>
      </c>
      <c r="N121" s="79">
        <f t="shared" ref="N121" si="209">+SUM(N110:N120)</f>
        <v>100</v>
      </c>
      <c r="O121" s="79">
        <f t="shared" ref="O121" si="210">+SUM(O110:O120)</f>
        <v>100</v>
      </c>
      <c r="P121" s="79">
        <f t="shared" ref="P121" si="211">+SUM(P110:P120)</f>
        <v>100</v>
      </c>
      <c r="Q121" s="79">
        <f t="shared" ref="Q121" si="212">+SUM(Q110:Q120)</f>
        <v>100</v>
      </c>
      <c r="R121" s="79">
        <f t="shared" ref="R121" si="213">+SUM(R110:R120)</f>
        <v>100</v>
      </c>
      <c r="S121" s="79">
        <f t="shared" ref="S121" si="214">+SUM(S110:S120)</f>
        <v>100</v>
      </c>
      <c r="T121" s="79">
        <f t="shared" ref="T121" si="215">+SUM(T110:T120)</f>
        <v>100</v>
      </c>
      <c r="U121" s="79">
        <f t="shared" ref="U121" si="216">+SUM(U110:U120)</f>
        <v>100</v>
      </c>
      <c r="V121" s="79">
        <f t="shared" ref="V121" si="217">+SUM(V110:V120)</f>
        <v>100</v>
      </c>
      <c r="W121" s="79">
        <f t="shared" ref="W121" si="218">+SUM(W110:W120)</f>
        <v>100</v>
      </c>
      <c r="X121" s="79">
        <f t="shared" ref="X121" si="219">+SUM(X110:X120)</f>
        <v>100</v>
      </c>
      <c r="Y121" s="79">
        <f t="shared" ref="Y121" si="220">+SUM(Y110:Y120)</f>
        <v>100</v>
      </c>
      <c r="Z121" s="79">
        <f t="shared" ref="Z121" si="221">+SUM(Z110:Z120)</f>
        <v>100</v>
      </c>
      <c r="AA121" s="79">
        <f t="shared" ref="AA121" si="222">+SUM(AA110:AA120)</f>
        <v>100</v>
      </c>
      <c r="AB121" s="79">
        <f t="shared" ref="AB121" si="223">+SUM(AB110:AB120)</f>
        <v>100</v>
      </c>
      <c r="AC121" s="79">
        <f t="shared" ref="AC121" si="224">+SUM(AC110:AC120)</f>
        <v>100</v>
      </c>
      <c r="AD121" s="79">
        <f t="shared" ref="AD121" si="225">+SUM(AD110:AD120)</f>
        <v>100</v>
      </c>
      <c r="AE121" s="79">
        <f t="shared" ref="AE121" si="226">+SUM(AE110:AE120)</f>
        <v>100</v>
      </c>
      <c r="AF121" s="79">
        <f t="shared" ref="AF121" si="227">+SUM(AF110:AF120)</f>
        <v>100</v>
      </c>
      <c r="AG121" s="79">
        <f t="shared" ref="AG121" si="228">+SUM(AG110:AG120)</f>
        <v>100</v>
      </c>
      <c r="AH121" s="79">
        <f t="shared" ref="AH121" si="229">+SUM(AH110:AH120)</f>
        <v>100</v>
      </c>
      <c r="AI121" s="79">
        <f t="shared" ref="AI121" si="230">+SUM(AI110:AI120)</f>
        <v>100</v>
      </c>
      <c r="AJ121" s="79">
        <f t="shared" ref="AJ121" si="231">+SUM(AJ110:AJ120)</f>
        <v>100</v>
      </c>
    </row>
    <row r="122" spans="1:36" x14ac:dyDescent="0.25">
      <c r="A122" t="s">
        <v>539</v>
      </c>
      <c r="B122" t="s">
        <v>305</v>
      </c>
      <c r="C122" s="25">
        <v>0</v>
      </c>
      <c r="D122" s="25">
        <v>0</v>
      </c>
      <c r="E122" s="25">
        <v>0</v>
      </c>
      <c r="F122" s="25">
        <v>0</v>
      </c>
      <c r="G122" s="25">
        <v>0</v>
      </c>
      <c r="H122" s="25">
        <v>0</v>
      </c>
      <c r="I122" s="25">
        <v>0</v>
      </c>
      <c r="J122" s="25">
        <v>0</v>
      </c>
      <c r="K122" s="25">
        <v>0</v>
      </c>
      <c r="L122" s="25">
        <v>0</v>
      </c>
      <c r="M122" s="25">
        <v>0</v>
      </c>
      <c r="N122" s="25">
        <v>0</v>
      </c>
      <c r="O122" s="25">
        <v>0</v>
      </c>
      <c r="P122" s="25">
        <v>0</v>
      </c>
      <c r="Q122" s="25">
        <v>0</v>
      </c>
      <c r="R122" s="25">
        <v>0</v>
      </c>
      <c r="S122" s="25">
        <v>0</v>
      </c>
      <c r="T122" s="25">
        <v>0</v>
      </c>
      <c r="U122" s="25">
        <v>0</v>
      </c>
      <c r="V122" s="25">
        <v>0</v>
      </c>
      <c r="W122" s="25">
        <v>0</v>
      </c>
      <c r="X122" s="25">
        <v>0</v>
      </c>
      <c r="Y122" s="25">
        <v>0</v>
      </c>
      <c r="Z122" s="25">
        <v>0</v>
      </c>
      <c r="AA122" s="25">
        <v>0</v>
      </c>
      <c r="AB122" s="25">
        <v>0</v>
      </c>
      <c r="AC122" s="25">
        <v>0</v>
      </c>
      <c r="AD122" s="25">
        <v>0</v>
      </c>
      <c r="AE122" s="25">
        <v>0</v>
      </c>
      <c r="AF122" s="25">
        <v>0</v>
      </c>
      <c r="AG122" s="25">
        <v>0</v>
      </c>
      <c r="AH122" s="25">
        <v>0</v>
      </c>
      <c r="AI122" s="25">
        <v>0</v>
      </c>
      <c r="AJ122" s="25">
        <v>0</v>
      </c>
    </row>
    <row r="123" spans="1:36" x14ac:dyDescent="0.25">
      <c r="A123" t="s">
        <v>540</v>
      </c>
      <c r="B123" t="s">
        <v>305</v>
      </c>
      <c r="C123" s="25">
        <v>0</v>
      </c>
      <c r="D123" s="25">
        <v>0</v>
      </c>
      <c r="E123" s="25">
        <v>0</v>
      </c>
      <c r="F123" s="25">
        <v>0</v>
      </c>
      <c r="G123" s="25">
        <v>0</v>
      </c>
      <c r="H123" s="25">
        <v>0</v>
      </c>
      <c r="I123" s="25">
        <v>0</v>
      </c>
      <c r="J123" s="25">
        <v>0</v>
      </c>
      <c r="K123" s="25">
        <v>0</v>
      </c>
      <c r="L123" s="25">
        <v>0</v>
      </c>
      <c r="M123" s="25">
        <v>0</v>
      </c>
      <c r="N123" s="25">
        <v>0</v>
      </c>
      <c r="O123" s="25">
        <v>0</v>
      </c>
      <c r="P123" s="25">
        <v>0</v>
      </c>
      <c r="Q123" s="25">
        <v>0</v>
      </c>
      <c r="R123" s="25">
        <v>0</v>
      </c>
      <c r="S123" s="25">
        <v>0</v>
      </c>
      <c r="T123" s="25">
        <v>0</v>
      </c>
      <c r="U123" s="25">
        <v>0</v>
      </c>
      <c r="V123" s="25">
        <v>0</v>
      </c>
      <c r="W123" s="25">
        <v>0</v>
      </c>
      <c r="X123" s="25">
        <v>0</v>
      </c>
      <c r="Y123" s="25">
        <v>0</v>
      </c>
      <c r="Z123" s="25">
        <v>0</v>
      </c>
      <c r="AA123" s="25">
        <v>0</v>
      </c>
      <c r="AB123" s="25">
        <v>0</v>
      </c>
      <c r="AC123" s="25">
        <v>0</v>
      </c>
      <c r="AD123" s="25">
        <v>0</v>
      </c>
      <c r="AE123" s="25">
        <v>0</v>
      </c>
      <c r="AF123" s="25">
        <v>0</v>
      </c>
      <c r="AG123" s="25">
        <v>0</v>
      </c>
      <c r="AH123" s="25">
        <v>0</v>
      </c>
      <c r="AI123" s="25">
        <v>0</v>
      </c>
      <c r="AJ123" s="25">
        <v>0</v>
      </c>
    </row>
    <row r="124" spans="1:36" x14ac:dyDescent="0.25">
      <c r="A124" t="s">
        <v>541</v>
      </c>
      <c r="B124" t="s">
        <v>305</v>
      </c>
      <c r="C124" s="25">
        <v>2</v>
      </c>
      <c r="D124" s="25">
        <v>2</v>
      </c>
      <c r="E124" s="25">
        <v>2</v>
      </c>
      <c r="F124" s="25">
        <v>2</v>
      </c>
      <c r="G124" s="25">
        <v>2</v>
      </c>
      <c r="H124" s="25">
        <v>2</v>
      </c>
      <c r="I124" s="25">
        <v>2</v>
      </c>
      <c r="J124" s="25">
        <v>2</v>
      </c>
      <c r="K124" s="25">
        <v>2</v>
      </c>
      <c r="L124" s="25">
        <v>2</v>
      </c>
      <c r="M124" s="25">
        <v>2</v>
      </c>
      <c r="N124" s="25">
        <v>2</v>
      </c>
      <c r="O124" s="25">
        <v>2</v>
      </c>
      <c r="P124" s="25">
        <v>2</v>
      </c>
      <c r="Q124" s="25">
        <v>2</v>
      </c>
      <c r="R124" s="25">
        <v>2</v>
      </c>
      <c r="S124" s="25">
        <v>2</v>
      </c>
      <c r="T124" s="25">
        <v>2</v>
      </c>
      <c r="U124" s="25">
        <v>2</v>
      </c>
      <c r="V124" s="25">
        <v>2</v>
      </c>
      <c r="W124" s="25">
        <v>2</v>
      </c>
      <c r="X124" s="25">
        <v>2</v>
      </c>
      <c r="Y124" s="25">
        <v>2</v>
      </c>
      <c r="Z124" s="25">
        <v>2</v>
      </c>
      <c r="AA124" s="25">
        <v>2</v>
      </c>
      <c r="AB124" s="25">
        <v>2</v>
      </c>
      <c r="AC124" s="25">
        <v>2</v>
      </c>
      <c r="AD124" s="25">
        <v>2</v>
      </c>
      <c r="AE124" s="25">
        <v>2</v>
      </c>
      <c r="AF124" s="25">
        <v>2</v>
      </c>
      <c r="AG124" s="25">
        <v>2</v>
      </c>
      <c r="AH124" s="25">
        <v>2</v>
      </c>
      <c r="AI124" s="25">
        <v>2</v>
      </c>
      <c r="AJ124" s="25">
        <v>2</v>
      </c>
    </row>
    <row r="125" spans="1:36" x14ac:dyDescent="0.25">
      <c r="A125" t="s">
        <v>542</v>
      </c>
      <c r="B125" t="s">
        <v>305</v>
      </c>
      <c r="C125" s="25">
        <v>0</v>
      </c>
      <c r="D125" s="25">
        <v>0</v>
      </c>
      <c r="E125" s="25">
        <v>0</v>
      </c>
      <c r="F125" s="25">
        <v>0</v>
      </c>
      <c r="G125" s="25">
        <v>0</v>
      </c>
      <c r="H125" s="25">
        <v>0</v>
      </c>
      <c r="I125" s="25">
        <v>0</v>
      </c>
      <c r="J125" s="25">
        <v>0</v>
      </c>
      <c r="K125" s="25">
        <v>0</v>
      </c>
      <c r="L125" s="25">
        <v>0</v>
      </c>
      <c r="M125" s="25">
        <v>0</v>
      </c>
      <c r="N125" s="25">
        <v>0</v>
      </c>
      <c r="O125" s="25">
        <v>0</v>
      </c>
      <c r="P125" s="25">
        <v>0</v>
      </c>
      <c r="Q125" s="25">
        <v>0</v>
      </c>
      <c r="R125" s="25">
        <v>0</v>
      </c>
      <c r="S125" s="25">
        <v>0</v>
      </c>
      <c r="T125" s="25">
        <v>0</v>
      </c>
      <c r="U125" s="25">
        <v>0</v>
      </c>
      <c r="V125" s="25">
        <v>0</v>
      </c>
      <c r="W125" s="25">
        <v>0</v>
      </c>
      <c r="X125" s="25">
        <v>0</v>
      </c>
      <c r="Y125" s="25">
        <v>0</v>
      </c>
      <c r="Z125" s="25">
        <v>0</v>
      </c>
      <c r="AA125" s="25">
        <v>0</v>
      </c>
      <c r="AB125" s="25">
        <v>0</v>
      </c>
      <c r="AC125" s="25">
        <v>0</v>
      </c>
      <c r="AD125" s="25">
        <v>0</v>
      </c>
      <c r="AE125" s="25">
        <v>0</v>
      </c>
      <c r="AF125" s="25">
        <v>0</v>
      </c>
      <c r="AG125" s="25">
        <v>0</v>
      </c>
      <c r="AH125" s="25">
        <v>0</v>
      </c>
      <c r="AI125" s="25">
        <v>0</v>
      </c>
      <c r="AJ125" s="25">
        <v>0</v>
      </c>
    </row>
    <row r="126" spans="1:36" x14ac:dyDescent="0.25">
      <c r="A126" t="s">
        <v>543</v>
      </c>
      <c r="B126" t="s">
        <v>305</v>
      </c>
      <c r="C126" s="25">
        <v>0</v>
      </c>
      <c r="D126" s="25">
        <v>0</v>
      </c>
      <c r="E126" s="25">
        <v>0</v>
      </c>
      <c r="F126" s="25">
        <v>0</v>
      </c>
      <c r="G126" s="25">
        <v>0</v>
      </c>
      <c r="H126" s="25">
        <v>0</v>
      </c>
      <c r="I126" s="25">
        <v>0</v>
      </c>
      <c r="J126" s="25">
        <v>0</v>
      </c>
      <c r="K126" s="25">
        <v>0</v>
      </c>
      <c r="L126" s="25">
        <v>0</v>
      </c>
      <c r="M126" s="25">
        <v>0</v>
      </c>
      <c r="N126" s="25">
        <v>0</v>
      </c>
      <c r="O126" s="25">
        <v>0</v>
      </c>
      <c r="P126" s="25">
        <v>0</v>
      </c>
      <c r="Q126" s="25">
        <v>0</v>
      </c>
      <c r="R126" s="25">
        <v>0</v>
      </c>
      <c r="S126" s="25">
        <v>0</v>
      </c>
      <c r="T126" s="25">
        <v>0</v>
      </c>
      <c r="U126" s="25">
        <v>0</v>
      </c>
      <c r="V126" s="25">
        <v>0</v>
      </c>
      <c r="W126" s="25">
        <v>0</v>
      </c>
      <c r="X126" s="25">
        <v>0</v>
      </c>
      <c r="Y126" s="25">
        <v>0</v>
      </c>
      <c r="Z126" s="25">
        <v>0</v>
      </c>
      <c r="AA126" s="25">
        <v>0</v>
      </c>
      <c r="AB126" s="25">
        <v>0</v>
      </c>
      <c r="AC126" s="25">
        <v>0</v>
      </c>
      <c r="AD126" s="25">
        <v>0</v>
      </c>
      <c r="AE126" s="25">
        <v>0</v>
      </c>
      <c r="AF126" s="25">
        <v>0</v>
      </c>
      <c r="AG126" s="25">
        <v>0</v>
      </c>
      <c r="AH126" s="25">
        <v>0</v>
      </c>
      <c r="AI126" s="25">
        <v>0</v>
      </c>
      <c r="AJ126" s="25">
        <v>0</v>
      </c>
    </row>
    <row r="127" spans="1:36" x14ac:dyDescent="0.25">
      <c r="A127" t="s">
        <v>544</v>
      </c>
      <c r="B127" t="s">
        <v>305</v>
      </c>
      <c r="C127" s="25">
        <v>0</v>
      </c>
      <c r="D127" s="25">
        <v>0</v>
      </c>
      <c r="E127" s="25">
        <v>0</v>
      </c>
      <c r="F127" s="25">
        <v>0</v>
      </c>
      <c r="G127" s="25">
        <v>0</v>
      </c>
      <c r="H127" s="25">
        <v>0</v>
      </c>
      <c r="I127" s="25">
        <v>0</v>
      </c>
      <c r="J127" s="25">
        <v>0</v>
      </c>
      <c r="K127" s="25">
        <v>0</v>
      </c>
      <c r="L127" s="25">
        <v>0</v>
      </c>
      <c r="M127" s="25">
        <v>0</v>
      </c>
      <c r="N127" s="25">
        <v>0</v>
      </c>
      <c r="O127" s="25">
        <v>0</v>
      </c>
      <c r="P127" s="25">
        <v>0</v>
      </c>
      <c r="Q127" s="25">
        <v>0</v>
      </c>
      <c r="R127" s="25">
        <v>0</v>
      </c>
      <c r="S127" s="25">
        <v>0</v>
      </c>
      <c r="T127" s="25">
        <v>0</v>
      </c>
      <c r="U127" s="25">
        <v>0</v>
      </c>
      <c r="V127" s="25">
        <v>0</v>
      </c>
      <c r="W127" s="25">
        <v>0</v>
      </c>
      <c r="X127" s="25">
        <v>0</v>
      </c>
      <c r="Y127" s="25">
        <v>0</v>
      </c>
      <c r="Z127" s="25">
        <v>0</v>
      </c>
      <c r="AA127" s="25">
        <v>0</v>
      </c>
      <c r="AB127" s="25">
        <v>0</v>
      </c>
      <c r="AC127" s="25">
        <v>0</v>
      </c>
      <c r="AD127" s="25">
        <v>0</v>
      </c>
      <c r="AE127" s="25">
        <v>0</v>
      </c>
      <c r="AF127" s="25">
        <v>0</v>
      </c>
      <c r="AG127" s="25">
        <v>0</v>
      </c>
      <c r="AH127" s="25">
        <v>0</v>
      </c>
      <c r="AI127" s="25">
        <v>0</v>
      </c>
      <c r="AJ127" s="25">
        <v>0</v>
      </c>
    </row>
    <row r="128" spans="1:36" x14ac:dyDescent="0.25">
      <c r="A128" t="s">
        <v>545</v>
      </c>
      <c r="B128" t="s">
        <v>305</v>
      </c>
      <c r="C128" s="25">
        <v>5</v>
      </c>
      <c r="D128" s="25">
        <v>5</v>
      </c>
      <c r="E128" s="25">
        <v>5</v>
      </c>
      <c r="F128" s="25">
        <v>5</v>
      </c>
      <c r="G128" s="25">
        <v>5</v>
      </c>
      <c r="H128" s="25">
        <v>5</v>
      </c>
      <c r="I128" s="25">
        <v>5</v>
      </c>
      <c r="J128" s="25">
        <v>5</v>
      </c>
      <c r="K128" s="25">
        <v>5</v>
      </c>
      <c r="L128" s="25">
        <v>5</v>
      </c>
      <c r="M128" s="25">
        <v>5</v>
      </c>
      <c r="N128" s="25">
        <v>5</v>
      </c>
      <c r="O128" s="25">
        <v>5</v>
      </c>
      <c r="P128" s="25">
        <v>5</v>
      </c>
      <c r="Q128" s="25">
        <v>5</v>
      </c>
      <c r="R128" s="25">
        <v>5</v>
      </c>
      <c r="S128" s="25">
        <v>5</v>
      </c>
      <c r="T128" s="25">
        <v>5</v>
      </c>
      <c r="U128" s="25">
        <v>5</v>
      </c>
      <c r="V128" s="25">
        <v>5</v>
      </c>
      <c r="W128" s="25">
        <v>5</v>
      </c>
      <c r="X128" s="25">
        <v>5</v>
      </c>
      <c r="Y128" s="25">
        <v>5</v>
      </c>
      <c r="Z128" s="25">
        <v>5</v>
      </c>
      <c r="AA128" s="25">
        <v>5</v>
      </c>
      <c r="AB128" s="25">
        <v>5</v>
      </c>
      <c r="AC128" s="25">
        <v>5</v>
      </c>
      <c r="AD128" s="25">
        <v>5</v>
      </c>
      <c r="AE128" s="25">
        <v>5</v>
      </c>
      <c r="AF128" s="25">
        <v>5</v>
      </c>
      <c r="AG128" s="25">
        <v>5</v>
      </c>
      <c r="AH128" s="25">
        <v>5</v>
      </c>
      <c r="AI128" s="25">
        <v>5</v>
      </c>
      <c r="AJ128" s="25">
        <v>5</v>
      </c>
    </row>
    <row r="129" spans="1:36" x14ac:dyDescent="0.25">
      <c r="A129" t="s">
        <v>546</v>
      </c>
      <c r="B129" t="s">
        <v>305</v>
      </c>
      <c r="C129" s="25">
        <v>0</v>
      </c>
      <c r="D129" s="25">
        <v>0</v>
      </c>
      <c r="E129" s="25">
        <v>0</v>
      </c>
      <c r="F129" s="25">
        <v>0</v>
      </c>
      <c r="G129" s="25">
        <v>0</v>
      </c>
      <c r="H129" s="25">
        <v>0</v>
      </c>
      <c r="I129" s="25">
        <v>0</v>
      </c>
      <c r="J129" s="25">
        <v>0</v>
      </c>
      <c r="K129" s="25">
        <v>0</v>
      </c>
      <c r="L129" s="25">
        <v>0</v>
      </c>
      <c r="M129" s="25">
        <v>0</v>
      </c>
      <c r="N129" s="25">
        <v>0</v>
      </c>
      <c r="O129" s="25">
        <v>0</v>
      </c>
      <c r="P129" s="25">
        <v>0</v>
      </c>
      <c r="Q129" s="25">
        <v>0</v>
      </c>
      <c r="R129" s="25">
        <v>0</v>
      </c>
      <c r="S129" s="25">
        <v>0</v>
      </c>
      <c r="T129" s="25">
        <v>0</v>
      </c>
      <c r="U129" s="25">
        <v>0</v>
      </c>
      <c r="V129" s="25">
        <v>0</v>
      </c>
      <c r="W129" s="25">
        <v>0</v>
      </c>
      <c r="X129" s="25">
        <v>0</v>
      </c>
      <c r="Y129" s="25">
        <v>0</v>
      </c>
      <c r="Z129" s="25">
        <v>0</v>
      </c>
      <c r="AA129" s="25">
        <v>0</v>
      </c>
      <c r="AB129" s="25">
        <v>0</v>
      </c>
      <c r="AC129" s="25">
        <v>0</v>
      </c>
      <c r="AD129" s="25">
        <v>0</v>
      </c>
      <c r="AE129" s="25">
        <v>0</v>
      </c>
      <c r="AF129" s="25">
        <v>0</v>
      </c>
      <c r="AG129" s="25">
        <v>0</v>
      </c>
      <c r="AH129" s="25">
        <v>0</v>
      </c>
      <c r="AI129" s="25">
        <v>0</v>
      </c>
      <c r="AJ129" s="25">
        <v>0</v>
      </c>
    </row>
    <row r="130" spans="1:36" x14ac:dyDescent="0.25">
      <c r="A130" t="s">
        <v>547</v>
      </c>
      <c r="B130" t="s">
        <v>305</v>
      </c>
      <c r="C130" s="25">
        <v>0</v>
      </c>
      <c r="D130" s="25">
        <v>0</v>
      </c>
      <c r="E130" s="25">
        <v>0</v>
      </c>
      <c r="F130" s="25">
        <v>0</v>
      </c>
      <c r="G130" s="25">
        <v>0</v>
      </c>
      <c r="H130" s="25">
        <v>0</v>
      </c>
      <c r="I130" s="25">
        <v>0</v>
      </c>
      <c r="J130" s="25">
        <v>0</v>
      </c>
      <c r="K130" s="25">
        <v>0</v>
      </c>
      <c r="L130" s="25">
        <v>0</v>
      </c>
      <c r="M130" s="25">
        <v>0</v>
      </c>
      <c r="N130" s="25">
        <v>0</v>
      </c>
      <c r="O130" s="25">
        <v>0</v>
      </c>
      <c r="P130" s="25">
        <v>0</v>
      </c>
      <c r="Q130" s="25">
        <v>0</v>
      </c>
      <c r="R130" s="25">
        <v>0</v>
      </c>
      <c r="S130" s="25">
        <v>0</v>
      </c>
      <c r="T130" s="25">
        <v>0</v>
      </c>
      <c r="U130" s="25">
        <v>0</v>
      </c>
      <c r="V130" s="25">
        <v>0</v>
      </c>
      <c r="W130" s="25">
        <v>0</v>
      </c>
      <c r="X130" s="25">
        <v>0</v>
      </c>
      <c r="Y130" s="25">
        <v>0</v>
      </c>
      <c r="Z130" s="25">
        <v>0</v>
      </c>
      <c r="AA130" s="25">
        <v>0</v>
      </c>
      <c r="AB130" s="25">
        <v>0</v>
      </c>
      <c r="AC130" s="25">
        <v>0</v>
      </c>
      <c r="AD130" s="25">
        <v>0</v>
      </c>
      <c r="AE130" s="25">
        <v>0</v>
      </c>
      <c r="AF130" s="25">
        <v>0</v>
      </c>
      <c r="AG130" s="25">
        <v>0</v>
      </c>
      <c r="AH130" s="25">
        <v>0</v>
      </c>
      <c r="AI130" s="25">
        <v>0</v>
      </c>
      <c r="AJ130" s="25">
        <v>0</v>
      </c>
    </row>
    <row r="131" spans="1:36" x14ac:dyDescent="0.25">
      <c r="A131" t="s">
        <v>548</v>
      </c>
      <c r="B131" t="s">
        <v>305</v>
      </c>
      <c r="C131" s="25">
        <v>93</v>
      </c>
      <c r="D131" s="25">
        <v>93</v>
      </c>
      <c r="E131" s="25">
        <v>93</v>
      </c>
      <c r="F131" s="25">
        <v>93</v>
      </c>
      <c r="G131" s="25">
        <v>93</v>
      </c>
      <c r="H131" s="25">
        <v>93</v>
      </c>
      <c r="I131" s="25">
        <v>93</v>
      </c>
      <c r="J131" s="25">
        <v>93</v>
      </c>
      <c r="K131" s="25">
        <v>93</v>
      </c>
      <c r="L131" s="25">
        <v>93</v>
      </c>
      <c r="M131" s="25">
        <v>93</v>
      </c>
      <c r="N131" s="25">
        <v>93</v>
      </c>
      <c r="O131" s="25">
        <v>93</v>
      </c>
      <c r="P131" s="25">
        <v>93</v>
      </c>
      <c r="Q131" s="25">
        <v>93</v>
      </c>
      <c r="R131" s="25">
        <v>93</v>
      </c>
      <c r="S131" s="25">
        <v>93</v>
      </c>
      <c r="T131" s="25">
        <v>93</v>
      </c>
      <c r="U131" s="25">
        <v>93</v>
      </c>
      <c r="V131" s="25">
        <v>93</v>
      </c>
      <c r="W131" s="25">
        <v>93</v>
      </c>
      <c r="X131" s="25">
        <v>93</v>
      </c>
      <c r="Y131" s="25">
        <v>93</v>
      </c>
      <c r="Z131" s="25">
        <v>93</v>
      </c>
      <c r="AA131" s="25">
        <v>93</v>
      </c>
      <c r="AB131" s="25">
        <v>93</v>
      </c>
      <c r="AC131" s="25">
        <v>93</v>
      </c>
      <c r="AD131" s="25">
        <v>93</v>
      </c>
      <c r="AE131" s="25">
        <v>93</v>
      </c>
      <c r="AF131" s="25">
        <v>93</v>
      </c>
      <c r="AG131" s="25">
        <v>93</v>
      </c>
      <c r="AH131" s="25">
        <v>93</v>
      </c>
      <c r="AI131" s="25">
        <v>93</v>
      </c>
      <c r="AJ131" s="25">
        <v>93</v>
      </c>
    </row>
    <row r="132" spans="1:36" x14ac:dyDescent="0.25">
      <c r="A132" t="s">
        <v>760</v>
      </c>
      <c r="B132" t="s">
        <v>305</v>
      </c>
      <c r="C132" s="25">
        <v>0</v>
      </c>
      <c r="D132" s="25">
        <v>0</v>
      </c>
      <c r="E132" s="25">
        <v>0</v>
      </c>
      <c r="F132" s="25">
        <v>0</v>
      </c>
      <c r="G132" s="25">
        <v>0</v>
      </c>
      <c r="H132" s="25">
        <v>0</v>
      </c>
      <c r="I132" s="25">
        <v>0</v>
      </c>
      <c r="J132" s="25">
        <v>0</v>
      </c>
      <c r="K132" s="25">
        <v>0</v>
      </c>
      <c r="L132" s="25">
        <v>0</v>
      </c>
      <c r="M132" s="25">
        <v>0</v>
      </c>
      <c r="N132" s="25">
        <v>0</v>
      </c>
      <c r="O132" s="25">
        <v>0</v>
      </c>
      <c r="P132" s="25">
        <v>0</v>
      </c>
      <c r="Q132" s="25">
        <v>0</v>
      </c>
      <c r="R132" s="25">
        <v>0</v>
      </c>
      <c r="S132" s="25">
        <v>0</v>
      </c>
      <c r="T132" s="25">
        <v>0</v>
      </c>
      <c r="U132" s="25">
        <v>0</v>
      </c>
      <c r="V132" s="25">
        <v>0</v>
      </c>
      <c r="W132" s="25">
        <v>0</v>
      </c>
      <c r="X132" s="25">
        <v>0</v>
      </c>
      <c r="Y132" s="25">
        <v>0</v>
      </c>
      <c r="Z132" s="25">
        <v>0</v>
      </c>
      <c r="AA132" s="25">
        <v>0</v>
      </c>
      <c r="AB132" s="25">
        <v>0</v>
      </c>
      <c r="AC132" s="25">
        <v>0</v>
      </c>
      <c r="AD132" s="25">
        <v>0</v>
      </c>
      <c r="AE132" s="25">
        <v>0</v>
      </c>
      <c r="AF132" s="25">
        <v>0</v>
      </c>
      <c r="AG132" s="25">
        <v>0</v>
      </c>
      <c r="AH132" s="25">
        <v>0</v>
      </c>
      <c r="AI132" s="25">
        <v>0</v>
      </c>
      <c r="AJ132" s="25">
        <v>0</v>
      </c>
    </row>
    <row r="133" spans="1:36" s="78" customFormat="1" x14ac:dyDescent="0.25">
      <c r="A133" s="78" t="s">
        <v>780</v>
      </c>
      <c r="C133" s="79">
        <f>+SUM(C122:C132)</f>
        <v>100</v>
      </c>
      <c r="D133" s="79">
        <f t="shared" ref="D133" si="232">+SUM(D122:D132)</f>
        <v>100</v>
      </c>
      <c r="E133" s="79">
        <f t="shared" ref="E133" si="233">+SUM(E122:E132)</f>
        <v>100</v>
      </c>
      <c r="F133" s="79">
        <f t="shared" ref="F133" si="234">+SUM(F122:F132)</f>
        <v>100</v>
      </c>
      <c r="G133" s="79">
        <f t="shared" ref="G133" si="235">+SUM(G122:G132)</f>
        <v>100</v>
      </c>
      <c r="H133" s="79">
        <f t="shared" ref="H133" si="236">+SUM(H122:H132)</f>
        <v>100</v>
      </c>
      <c r="I133" s="79">
        <f t="shared" ref="I133" si="237">+SUM(I122:I132)</f>
        <v>100</v>
      </c>
      <c r="J133" s="79">
        <f t="shared" ref="J133" si="238">+SUM(J122:J132)</f>
        <v>100</v>
      </c>
      <c r="K133" s="79">
        <f t="shared" ref="K133" si="239">+SUM(K122:K132)</f>
        <v>100</v>
      </c>
      <c r="L133" s="79">
        <f t="shared" ref="L133" si="240">+SUM(L122:L132)</f>
        <v>100</v>
      </c>
      <c r="M133" s="79">
        <f t="shared" ref="M133" si="241">+SUM(M122:M132)</f>
        <v>100</v>
      </c>
      <c r="N133" s="79">
        <f t="shared" ref="N133" si="242">+SUM(N122:N132)</f>
        <v>100</v>
      </c>
      <c r="O133" s="79">
        <f t="shared" ref="O133" si="243">+SUM(O122:O132)</f>
        <v>100</v>
      </c>
      <c r="P133" s="79">
        <f t="shared" ref="P133" si="244">+SUM(P122:P132)</f>
        <v>100</v>
      </c>
      <c r="Q133" s="79">
        <f t="shared" ref="Q133" si="245">+SUM(Q122:Q132)</f>
        <v>100</v>
      </c>
      <c r="R133" s="79">
        <f t="shared" ref="R133" si="246">+SUM(R122:R132)</f>
        <v>100</v>
      </c>
      <c r="S133" s="79">
        <f t="shared" ref="S133" si="247">+SUM(S122:S132)</f>
        <v>100</v>
      </c>
      <c r="T133" s="79">
        <f t="shared" ref="T133" si="248">+SUM(T122:T132)</f>
        <v>100</v>
      </c>
      <c r="U133" s="79">
        <f t="shared" ref="U133" si="249">+SUM(U122:U132)</f>
        <v>100</v>
      </c>
      <c r="V133" s="79">
        <f t="shared" ref="V133" si="250">+SUM(V122:V132)</f>
        <v>100</v>
      </c>
      <c r="W133" s="79">
        <f t="shared" ref="W133" si="251">+SUM(W122:W132)</f>
        <v>100</v>
      </c>
      <c r="X133" s="79">
        <f t="shared" ref="X133" si="252">+SUM(X122:X132)</f>
        <v>100</v>
      </c>
      <c r="Y133" s="79">
        <f t="shared" ref="Y133" si="253">+SUM(Y122:Y132)</f>
        <v>100</v>
      </c>
      <c r="Z133" s="79">
        <f t="shared" ref="Z133" si="254">+SUM(Z122:Z132)</f>
        <v>100</v>
      </c>
      <c r="AA133" s="79">
        <f t="shared" ref="AA133" si="255">+SUM(AA122:AA132)</f>
        <v>100</v>
      </c>
      <c r="AB133" s="79">
        <f t="shared" ref="AB133" si="256">+SUM(AB122:AB132)</f>
        <v>100</v>
      </c>
      <c r="AC133" s="79">
        <f t="shared" ref="AC133" si="257">+SUM(AC122:AC132)</f>
        <v>100</v>
      </c>
      <c r="AD133" s="79">
        <f t="shared" ref="AD133" si="258">+SUM(AD122:AD132)</f>
        <v>100</v>
      </c>
      <c r="AE133" s="79">
        <f t="shared" ref="AE133" si="259">+SUM(AE122:AE132)</f>
        <v>100</v>
      </c>
      <c r="AF133" s="79">
        <f t="shared" ref="AF133" si="260">+SUM(AF122:AF132)</f>
        <v>100</v>
      </c>
      <c r="AG133" s="79">
        <f t="shared" ref="AG133" si="261">+SUM(AG122:AG132)</f>
        <v>100</v>
      </c>
      <c r="AH133" s="79">
        <f t="shared" ref="AH133" si="262">+SUM(AH122:AH132)</f>
        <v>100</v>
      </c>
      <c r="AI133" s="79">
        <f t="shared" ref="AI133" si="263">+SUM(AI122:AI132)</f>
        <v>100</v>
      </c>
      <c r="AJ133" s="79">
        <f t="shared" ref="AJ133" si="264">+SUM(AJ122:AJ132)</f>
        <v>100</v>
      </c>
    </row>
    <row r="134" spans="1:36" s="76" customFormat="1" ht="15.75" x14ac:dyDescent="0.25">
      <c r="A134" s="74" t="s">
        <v>775</v>
      </c>
      <c r="B134" s="75"/>
      <c r="C134" s="74"/>
      <c r="D134" s="74"/>
      <c r="E134" s="74"/>
      <c r="F134" s="74"/>
      <c r="G134" s="74"/>
      <c r="H134" s="74"/>
      <c r="I134" s="74"/>
      <c r="J134" s="74"/>
      <c r="K134" s="74"/>
      <c r="L134" s="74"/>
      <c r="M134" s="74"/>
      <c r="N134" s="74"/>
      <c r="O134" s="74"/>
      <c r="P134" s="74"/>
      <c r="Q134" s="74"/>
      <c r="R134" s="74"/>
      <c r="S134" s="74"/>
      <c r="T134" s="74"/>
      <c r="U134" s="74"/>
      <c r="V134" s="74"/>
      <c r="W134" s="74"/>
      <c r="X134" s="74"/>
      <c r="Y134" s="74"/>
      <c r="Z134" s="74"/>
      <c r="AA134" s="74"/>
      <c r="AB134" s="74"/>
      <c r="AC134" s="74"/>
      <c r="AD134" s="74"/>
      <c r="AE134" s="74"/>
      <c r="AF134" s="74"/>
      <c r="AG134" s="74"/>
      <c r="AH134" s="74"/>
      <c r="AI134" s="74"/>
      <c r="AJ134" s="74"/>
    </row>
    <row r="135" spans="1:36" x14ac:dyDescent="0.25">
      <c r="A135" t="s">
        <v>549</v>
      </c>
      <c r="B135" t="s">
        <v>305</v>
      </c>
      <c r="C135" s="25">
        <v>0</v>
      </c>
      <c r="D135" s="25">
        <v>0</v>
      </c>
      <c r="E135" s="25">
        <v>0</v>
      </c>
      <c r="F135" s="25">
        <v>0</v>
      </c>
      <c r="G135" s="25">
        <v>0</v>
      </c>
      <c r="H135" s="25">
        <v>0</v>
      </c>
      <c r="I135" s="25">
        <v>0</v>
      </c>
      <c r="J135" s="25">
        <v>0</v>
      </c>
      <c r="K135" s="25">
        <v>0</v>
      </c>
      <c r="L135" s="25">
        <v>0</v>
      </c>
      <c r="M135" s="25">
        <v>0</v>
      </c>
      <c r="N135" s="25">
        <v>0</v>
      </c>
      <c r="O135" s="25">
        <v>0</v>
      </c>
      <c r="P135" s="25">
        <v>0</v>
      </c>
      <c r="Q135" s="25">
        <v>0</v>
      </c>
      <c r="R135" s="25">
        <v>0</v>
      </c>
      <c r="S135" s="25">
        <v>0</v>
      </c>
      <c r="T135" s="25">
        <v>0</v>
      </c>
      <c r="U135" s="25">
        <v>0</v>
      </c>
      <c r="V135" s="25">
        <v>0</v>
      </c>
      <c r="W135" s="25">
        <v>0</v>
      </c>
      <c r="X135" s="25">
        <v>0</v>
      </c>
      <c r="Y135" s="25">
        <v>0</v>
      </c>
      <c r="Z135" s="25">
        <v>0</v>
      </c>
      <c r="AA135" s="25">
        <v>0</v>
      </c>
      <c r="AB135" s="25">
        <v>0</v>
      </c>
      <c r="AC135" s="25">
        <v>0</v>
      </c>
      <c r="AD135" s="25">
        <v>0</v>
      </c>
      <c r="AE135" s="25">
        <v>0</v>
      </c>
      <c r="AF135" s="25">
        <v>0</v>
      </c>
      <c r="AG135" s="25">
        <v>0</v>
      </c>
      <c r="AH135" s="25">
        <v>0</v>
      </c>
      <c r="AI135" s="25">
        <v>0</v>
      </c>
      <c r="AJ135" s="25">
        <v>0</v>
      </c>
    </row>
    <row r="136" spans="1:36" x14ac:dyDescent="0.25">
      <c r="A136" t="s">
        <v>550</v>
      </c>
      <c r="B136" t="s">
        <v>305</v>
      </c>
      <c r="C136" s="25">
        <v>0</v>
      </c>
      <c r="D136" s="25">
        <v>0</v>
      </c>
      <c r="E136" s="25">
        <v>0</v>
      </c>
      <c r="F136" s="25">
        <v>0</v>
      </c>
      <c r="G136" s="25">
        <v>0</v>
      </c>
      <c r="H136" s="25">
        <v>0</v>
      </c>
      <c r="I136" s="25">
        <v>0</v>
      </c>
      <c r="J136" s="25">
        <v>0</v>
      </c>
      <c r="K136" s="25">
        <v>0</v>
      </c>
      <c r="L136" s="25">
        <v>0</v>
      </c>
      <c r="M136" s="25">
        <v>0</v>
      </c>
      <c r="N136" s="25">
        <v>0</v>
      </c>
      <c r="O136" s="25">
        <v>0</v>
      </c>
      <c r="P136" s="25">
        <v>0</v>
      </c>
      <c r="Q136" s="25">
        <v>0</v>
      </c>
      <c r="R136" s="25">
        <v>0</v>
      </c>
      <c r="S136" s="25">
        <v>0</v>
      </c>
      <c r="T136" s="25">
        <v>0</v>
      </c>
      <c r="U136" s="25">
        <v>0</v>
      </c>
      <c r="V136" s="25">
        <v>0</v>
      </c>
      <c r="W136" s="25">
        <v>0</v>
      </c>
      <c r="X136" s="25">
        <v>0</v>
      </c>
      <c r="Y136" s="25">
        <v>0</v>
      </c>
      <c r="Z136" s="25">
        <v>0</v>
      </c>
      <c r="AA136" s="25">
        <v>0</v>
      </c>
      <c r="AB136" s="25">
        <v>0</v>
      </c>
      <c r="AC136" s="25">
        <v>0</v>
      </c>
      <c r="AD136" s="25">
        <v>0</v>
      </c>
      <c r="AE136" s="25">
        <v>0</v>
      </c>
      <c r="AF136" s="25">
        <v>0</v>
      </c>
      <c r="AG136" s="25">
        <v>0</v>
      </c>
      <c r="AH136" s="25">
        <v>0</v>
      </c>
      <c r="AI136" s="25">
        <v>0</v>
      </c>
      <c r="AJ136" s="25">
        <v>0</v>
      </c>
    </row>
    <row r="137" spans="1:36" x14ac:dyDescent="0.25">
      <c r="A137" t="s">
        <v>551</v>
      </c>
      <c r="B137" t="s">
        <v>305</v>
      </c>
      <c r="C137" s="25">
        <v>0</v>
      </c>
      <c r="D137" s="25">
        <v>0</v>
      </c>
      <c r="E137" s="25">
        <v>0</v>
      </c>
      <c r="F137" s="25">
        <v>0</v>
      </c>
      <c r="G137" s="25">
        <v>0</v>
      </c>
      <c r="H137" s="25">
        <v>0</v>
      </c>
      <c r="I137" s="25">
        <v>0</v>
      </c>
      <c r="J137" s="25">
        <v>0</v>
      </c>
      <c r="K137" s="25">
        <v>0</v>
      </c>
      <c r="L137" s="25">
        <v>0</v>
      </c>
      <c r="M137" s="25">
        <v>0</v>
      </c>
      <c r="N137" s="25">
        <v>0</v>
      </c>
      <c r="O137" s="25">
        <v>0</v>
      </c>
      <c r="P137" s="25">
        <v>0</v>
      </c>
      <c r="Q137" s="25">
        <v>0</v>
      </c>
      <c r="R137" s="25">
        <v>0</v>
      </c>
      <c r="S137" s="25">
        <v>0</v>
      </c>
      <c r="T137" s="25">
        <v>0</v>
      </c>
      <c r="U137" s="25">
        <v>0</v>
      </c>
      <c r="V137" s="25">
        <v>0</v>
      </c>
      <c r="W137" s="25">
        <v>0</v>
      </c>
      <c r="X137" s="25">
        <v>0</v>
      </c>
      <c r="Y137" s="25">
        <v>0</v>
      </c>
      <c r="Z137" s="25">
        <v>0</v>
      </c>
      <c r="AA137" s="25">
        <v>0</v>
      </c>
      <c r="AB137" s="25">
        <v>0</v>
      </c>
      <c r="AC137" s="25">
        <v>0</v>
      </c>
      <c r="AD137" s="25">
        <v>0</v>
      </c>
      <c r="AE137" s="25">
        <v>0</v>
      </c>
      <c r="AF137" s="25">
        <v>0</v>
      </c>
      <c r="AG137" s="25">
        <v>0</v>
      </c>
      <c r="AH137" s="25">
        <v>0</v>
      </c>
      <c r="AI137" s="25">
        <v>0</v>
      </c>
      <c r="AJ137" s="25">
        <v>0</v>
      </c>
    </row>
    <row r="138" spans="1:36" x14ac:dyDescent="0.25">
      <c r="A138" t="s">
        <v>552</v>
      </c>
      <c r="B138" t="s">
        <v>305</v>
      </c>
      <c r="C138" s="25">
        <v>0</v>
      </c>
      <c r="D138" s="25">
        <v>0</v>
      </c>
      <c r="E138" s="25">
        <v>0</v>
      </c>
      <c r="F138" s="25">
        <v>0</v>
      </c>
      <c r="G138" s="25">
        <v>0</v>
      </c>
      <c r="H138" s="25">
        <v>0</v>
      </c>
      <c r="I138" s="25">
        <v>0</v>
      </c>
      <c r="J138" s="25">
        <v>0</v>
      </c>
      <c r="K138" s="25">
        <v>0</v>
      </c>
      <c r="L138" s="25">
        <v>0</v>
      </c>
      <c r="M138" s="25">
        <v>0</v>
      </c>
      <c r="N138" s="25">
        <v>0</v>
      </c>
      <c r="O138" s="25">
        <v>0</v>
      </c>
      <c r="P138" s="25">
        <v>0</v>
      </c>
      <c r="Q138" s="25">
        <v>0</v>
      </c>
      <c r="R138" s="25">
        <v>0</v>
      </c>
      <c r="S138" s="25">
        <v>0</v>
      </c>
      <c r="T138" s="25">
        <v>0</v>
      </c>
      <c r="U138" s="25">
        <v>0</v>
      </c>
      <c r="V138" s="25">
        <v>0</v>
      </c>
      <c r="W138" s="25">
        <v>0</v>
      </c>
      <c r="X138" s="25">
        <v>0</v>
      </c>
      <c r="Y138" s="25">
        <v>0</v>
      </c>
      <c r="Z138" s="25">
        <v>0</v>
      </c>
      <c r="AA138" s="25">
        <v>0</v>
      </c>
      <c r="AB138" s="25">
        <v>0</v>
      </c>
      <c r="AC138" s="25">
        <v>0</v>
      </c>
      <c r="AD138" s="25">
        <v>0</v>
      </c>
      <c r="AE138" s="25">
        <v>0</v>
      </c>
      <c r="AF138" s="25">
        <v>0</v>
      </c>
      <c r="AG138" s="25">
        <v>0</v>
      </c>
      <c r="AH138" s="25">
        <v>0</v>
      </c>
      <c r="AI138" s="25">
        <v>0</v>
      </c>
      <c r="AJ138" s="25">
        <v>0</v>
      </c>
    </row>
    <row r="139" spans="1:36" x14ac:dyDescent="0.25">
      <c r="A139" t="s">
        <v>553</v>
      </c>
      <c r="B139" t="s">
        <v>305</v>
      </c>
      <c r="C139" s="25">
        <v>0</v>
      </c>
      <c r="D139" s="25">
        <v>0</v>
      </c>
      <c r="E139" s="25">
        <v>0</v>
      </c>
      <c r="F139" s="25">
        <v>0</v>
      </c>
      <c r="G139" s="25">
        <v>0</v>
      </c>
      <c r="H139" s="25">
        <v>0</v>
      </c>
      <c r="I139" s="25">
        <v>0</v>
      </c>
      <c r="J139" s="25">
        <v>0</v>
      </c>
      <c r="K139" s="25">
        <v>0</v>
      </c>
      <c r="L139" s="25">
        <v>0</v>
      </c>
      <c r="M139" s="25">
        <v>0</v>
      </c>
      <c r="N139" s="25">
        <v>0</v>
      </c>
      <c r="O139" s="25">
        <v>0</v>
      </c>
      <c r="P139" s="25">
        <v>0</v>
      </c>
      <c r="Q139" s="25">
        <v>0</v>
      </c>
      <c r="R139" s="25">
        <v>0</v>
      </c>
      <c r="S139" s="25">
        <v>0</v>
      </c>
      <c r="T139" s="25">
        <v>0</v>
      </c>
      <c r="U139" s="25">
        <v>0</v>
      </c>
      <c r="V139" s="25">
        <v>0</v>
      </c>
      <c r="W139" s="25">
        <v>0</v>
      </c>
      <c r="X139" s="25">
        <v>0</v>
      </c>
      <c r="Y139" s="25">
        <v>0</v>
      </c>
      <c r="Z139" s="25">
        <v>0</v>
      </c>
      <c r="AA139" s="25">
        <v>0</v>
      </c>
      <c r="AB139" s="25">
        <v>0</v>
      </c>
      <c r="AC139" s="25">
        <v>0</v>
      </c>
      <c r="AD139" s="25">
        <v>0</v>
      </c>
      <c r="AE139" s="25">
        <v>0</v>
      </c>
      <c r="AF139" s="25">
        <v>0</v>
      </c>
      <c r="AG139" s="25">
        <v>0</v>
      </c>
      <c r="AH139" s="25">
        <v>0</v>
      </c>
      <c r="AI139" s="25">
        <v>0</v>
      </c>
      <c r="AJ139" s="25">
        <v>0</v>
      </c>
    </row>
    <row r="140" spans="1:36" x14ac:dyDescent="0.25">
      <c r="A140" t="s">
        <v>554</v>
      </c>
      <c r="B140" t="s">
        <v>305</v>
      </c>
      <c r="C140" s="25">
        <v>0</v>
      </c>
      <c r="D140" s="25">
        <v>0</v>
      </c>
      <c r="E140" s="25">
        <v>0</v>
      </c>
      <c r="F140" s="25">
        <v>0</v>
      </c>
      <c r="G140" s="25">
        <v>0</v>
      </c>
      <c r="H140" s="25">
        <v>0</v>
      </c>
      <c r="I140" s="25">
        <v>0</v>
      </c>
      <c r="J140" s="25">
        <v>0</v>
      </c>
      <c r="K140" s="25">
        <v>0</v>
      </c>
      <c r="L140" s="25">
        <v>0</v>
      </c>
      <c r="M140" s="25">
        <v>0</v>
      </c>
      <c r="N140" s="25">
        <v>0</v>
      </c>
      <c r="O140" s="25">
        <v>0</v>
      </c>
      <c r="P140" s="25">
        <v>0</v>
      </c>
      <c r="Q140" s="25">
        <v>0</v>
      </c>
      <c r="R140" s="25">
        <v>0</v>
      </c>
      <c r="S140" s="25">
        <v>0</v>
      </c>
      <c r="T140" s="25">
        <v>0</v>
      </c>
      <c r="U140" s="25">
        <v>0</v>
      </c>
      <c r="V140" s="25">
        <v>0</v>
      </c>
      <c r="W140" s="25">
        <v>0</v>
      </c>
      <c r="X140" s="25">
        <v>0</v>
      </c>
      <c r="Y140" s="25">
        <v>0</v>
      </c>
      <c r="Z140" s="25">
        <v>0</v>
      </c>
      <c r="AA140" s="25">
        <v>0</v>
      </c>
      <c r="AB140" s="25">
        <v>0</v>
      </c>
      <c r="AC140" s="25">
        <v>0</v>
      </c>
      <c r="AD140" s="25">
        <v>0</v>
      </c>
      <c r="AE140" s="25">
        <v>0</v>
      </c>
      <c r="AF140" s="25">
        <v>0</v>
      </c>
      <c r="AG140" s="25">
        <v>0</v>
      </c>
      <c r="AH140" s="25">
        <v>0</v>
      </c>
      <c r="AI140" s="25">
        <v>0</v>
      </c>
      <c r="AJ140" s="25">
        <v>0</v>
      </c>
    </row>
    <row r="141" spans="1:36" x14ac:dyDescent="0.25">
      <c r="A141" t="s">
        <v>555</v>
      </c>
      <c r="B141" t="s">
        <v>305</v>
      </c>
      <c r="C141" s="25">
        <v>0</v>
      </c>
      <c r="D141" s="25">
        <v>0</v>
      </c>
      <c r="E141" s="25">
        <v>0</v>
      </c>
      <c r="F141" s="25">
        <v>0</v>
      </c>
      <c r="G141" s="25">
        <v>0</v>
      </c>
      <c r="H141" s="25">
        <v>0</v>
      </c>
      <c r="I141" s="25">
        <v>0</v>
      </c>
      <c r="J141" s="25">
        <v>0</v>
      </c>
      <c r="K141" s="25">
        <v>0</v>
      </c>
      <c r="L141" s="25">
        <v>0</v>
      </c>
      <c r="M141" s="25">
        <v>0</v>
      </c>
      <c r="N141" s="25">
        <v>0</v>
      </c>
      <c r="O141" s="25">
        <v>0</v>
      </c>
      <c r="P141" s="25">
        <v>0</v>
      </c>
      <c r="Q141" s="25">
        <v>0</v>
      </c>
      <c r="R141" s="25">
        <v>0</v>
      </c>
      <c r="S141" s="25">
        <v>0</v>
      </c>
      <c r="T141" s="25">
        <v>0</v>
      </c>
      <c r="U141" s="25">
        <v>0</v>
      </c>
      <c r="V141" s="25">
        <v>0</v>
      </c>
      <c r="W141" s="25">
        <v>0</v>
      </c>
      <c r="X141" s="25">
        <v>0</v>
      </c>
      <c r="Y141" s="25">
        <v>0</v>
      </c>
      <c r="Z141" s="25">
        <v>0</v>
      </c>
      <c r="AA141" s="25">
        <v>0</v>
      </c>
      <c r="AB141" s="25">
        <v>0</v>
      </c>
      <c r="AC141" s="25">
        <v>0</v>
      </c>
      <c r="AD141" s="25">
        <v>0</v>
      </c>
      <c r="AE141" s="25">
        <v>0</v>
      </c>
      <c r="AF141" s="25">
        <v>0</v>
      </c>
      <c r="AG141" s="25">
        <v>0</v>
      </c>
      <c r="AH141" s="25">
        <v>0</v>
      </c>
      <c r="AI141" s="25">
        <v>0</v>
      </c>
      <c r="AJ141" s="25">
        <v>0</v>
      </c>
    </row>
    <row r="142" spans="1:36" x14ac:dyDescent="0.25">
      <c r="A142" t="s">
        <v>556</v>
      </c>
      <c r="B142" t="s">
        <v>305</v>
      </c>
      <c r="C142" s="25">
        <v>0</v>
      </c>
      <c r="D142" s="25">
        <v>0</v>
      </c>
      <c r="E142" s="25">
        <v>0</v>
      </c>
      <c r="F142" s="25">
        <v>0</v>
      </c>
      <c r="G142" s="25">
        <v>0</v>
      </c>
      <c r="H142" s="25">
        <v>0</v>
      </c>
      <c r="I142" s="25">
        <v>0</v>
      </c>
      <c r="J142" s="25">
        <v>0</v>
      </c>
      <c r="K142" s="25">
        <v>0</v>
      </c>
      <c r="L142" s="25">
        <v>0</v>
      </c>
      <c r="M142" s="25">
        <v>0</v>
      </c>
      <c r="N142" s="25">
        <v>0</v>
      </c>
      <c r="O142" s="25">
        <v>0</v>
      </c>
      <c r="P142" s="25">
        <v>0</v>
      </c>
      <c r="Q142" s="25">
        <v>0</v>
      </c>
      <c r="R142" s="25">
        <v>0</v>
      </c>
      <c r="S142" s="25">
        <v>0</v>
      </c>
      <c r="T142" s="25">
        <v>0</v>
      </c>
      <c r="U142" s="25">
        <v>0</v>
      </c>
      <c r="V142" s="25">
        <v>0</v>
      </c>
      <c r="W142" s="25">
        <v>0</v>
      </c>
      <c r="X142" s="25">
        <v>0</v>
      </c>
      <c r="Y142" s="25">
        <v>0</v>
      </c>
      <c r="Z142" s="25">
        <v>0</v>
      </c>
      <c r="AA142" s="25">
        <v>0</v>
      </c>
      <c r="AB142" s="25">
        <v>0</v>
      </c>
      <c r="AC142" s="25">
        <v>0</v>
      </c>
      <c r="AD142" s="25">
        <v>0</v>
      </c>
      <c r="AE142" s="25">
        <v>0</v>
      </c>
      <c r="AF142" s="25">
        <v>0</v>
      </c>
      <c r="AG142" s="25">
        <v>0</v>
      </c>
      <c r="AH142" s="25">
        <v>0</v>
      </c>
      <c r="AI142" s="25">
        <v>0</v>
      </c>
      <c r="AJ142" s="25">
        <v>0</v>
      </c>
    </row>
    <row r="143" spans="1:36" x14ac:dyDescent="0.25">
      <c r="A143" t="s">
        <v>557</v>
      </c>
      <c r="B143" t="s">
        <v>305</v>
      </c>
      <c r="C143" s="25">
        <v>0</v>
      </c>
      <c r="D143" s="25">
        <v>0</v>
      </c>
      <c r="E143" s="25">
        <v>0</v>
      </c>
      <c r="F143" s="25">
        <v>0</v>
      </c>
      <c r="G143" s="25">
        <v>0</v>
      </c>
      <c r="H143" s="25">
        <v>0</v>
      </c>
      <c r="I143" s="25">
        <v>0</v>
      </c>
      <c r="J143" s="25">
        <v>0</v>
      </c>
      <c r="K143" s="25">
        <v>0</v>
      </c>
      <c r="L143" s="25">
        <v>0</v>
      </c>
      <c r="M143" s="25">
        <v>0</v>
      </c>
      <c r="N143" s="25">
        <v>0</v>
      </c>
      <c r="O143" s="25">
        <v>0</v>
      </c>
      <c r="P143" s="25">
        <v>0</v>
      </c>
      <c r="Q143" s="25">
        <v>0</v>
      </c>
      <c r="R143" s="25">
        <v>0</v>
      </c>
      <c r="S143" s="25">
        <v>0</v>
      </c>
      <c r="T143" s="25">
        <v>0</v>
      </c>
      <c r="U143" s="25">
        <v>0</v>
      </c>
      <c r="V143" s="25">
        <v>0</v>
      </c>
      <c r="W143" s="25">
        <v>0</v>
      </c>
      <c r="X143" s="25">
        <v>0</v>
      </c>
      <c r="Y143" s="25">
        <v>0</v>
      </c>
      <c r="Z143" s="25">
        <v>0</v>
      </c>
      <c r="AA143" s="25">
        <v>0</v>
      </c>
      <c r="AB143" s="25">
        <v>0</v>
      </c>
      <c r="AC143" s="25">
        <v>0</v>
      </c>
      <c r="AD143" s="25">
        <v>0</v>
      </c>
      <c r="AE143" s="25">
        <v>0</v>
      </c>
      <c r="AF143" s="25">
        <v>0</v>
      </c>
      <c r="AG143" s="25">
        <v>0</v>
      </c>
      <c r="AH143" s="25">
        <v>0</v>
      </c>
      <c r="AI143" s="25">
        <v>0</v>
      </c>
      <c r="AJ143" s="25">
        <v>0</v>
      </c>
    </row>
    <row r="144" spans="1:36" x14ac:dyDescent="0.25">
      <c r="A144" t="s">
        <v>558</v>
      </c>
      <c r="B144" t="s">
        <v>305</v>
      </c>
      <c r="C144" s="25">
        <v>100</v>
      </c>
      <c r="D144" s="25">
        <v>100</v>
      </c>
      <c r="E144" s="25">
        <v>100</v>
      </c>
      <c r="F144" s="25">
        <v>100</v>
      </c>
      <c r="G144" s="25">
        <v>100</v>
      </c>
      <c r="H144" s="25">
        <v>100</v>
      </c>
      <c r="I144" s="25">
        <v>100</v>
      </c>
      <c r="J144" s="25">
        <v>100</v>
      </c>
      <c r="K144" s="25">
        <v>100</v>
      </c>
      <c r="L144" s="25">
        <v>100</v>
      </c>
      <c r="M144" s="25">
        <v>100</v>
      </c>
      <c r="N144" s="25">
        <v>100</v>
      </c>
      <c r="O144" s="25">
        <v>100</v>
      </c>
      <c r="P144" s="25">
        <v>100</v>
      </c>
      <c r="Q144" s="25">
        <v>100</v>
      </c>
      <c r="R144" s="25">
        <v>100</v>
      </c>
      <c r="S144" s="25">
        <v>100</v>
      </c>
      <c r="T144" s="25">
        <v>100</v>
      </c>
      <c r="U144" s="25">
        <v>100</v>
      </c>
      <c r="V144" s="25">
        <v>100</v>
      </c>
      <c r="W144" s="25">
        <v>100</v>
      </c>
      <c r="X144" s="25">
        <v>100</v>
      </c>
      <c r="Y144" s="25">
        <v>100</v>
      </c>
      <c r="Z144" s="25">
        <v>100</v>
      </c>
      <c r="AA144" s="25">
        <v>100</v>
      </c>
      <c r="AB144" s="25">
        <v>100</v>
      </c>
      <c r="AC144" s="25">
        <v>100</v>
      </c>
      <c r="AD144" s="25">
        <v>100</v>
      </c>
      <c r="AE144" s="25">
        <v>100</v>
      </c>
      <c r="AF144" s="25">
        <v>100</v>
      </c>
      <c r="AG144" s="25">
        <v>100</v>
      </c>
      <c r="AH144" s="25">
        <v>100</v>
      </c>
      <c r="AI144" s="25">
        <v>100</v>
      </c>
      <c r="AJ144" s="25">
        <v>100</v>
      </c>
    </row>
    <row r="145" spans="1:36" x14ac:dyDescent="0.25">
      <c r="A145" t="s">
        <v>761</v>
      </c>
      <c r="B145" t="s">
        <v>305</v>
      </c>
      <c r="C145" s="25">
        <v>0</v>
      </c>
      <c r="D145" s="25">
        <v>0</v>
      </c>
      <c r="E145" s="25">
        <v>0</v>
      </c>
      <c r="F145" s="25">
        <v>0</v>
      </c>
      <c r="G145" s="25">
        <v>0</v>
      </c>
      <c r="H145" s="25">
        <v>0</v>
      </c>
      <c r="I145" s="25">
        <v>0</v>
      </c>
      <c r="J145" s="25">
        <v>0</v>
      </c>
      <c r="K145" s="25">
        <v>0</v>
      </c>
      <c r="L145" s="25">
        <v>0</v>
      </c>
      <c r="M145" s="25">
        <v>0</v>
      </c>
      <c r="N145" s="25">
        <v>0</v>
      </c>
      <c r="O145" s="25">
        <v>0</v>
      </c>
      <c r="P145" s="25">
        <v>0</v>
      </c>
      <c r="Q145" s="25">
        <v>0</v>
      </c>
      <c r="R145" s="25">
        <v>0</v>
      </c>
      <c r="S145" s="25">
        <v>0</v>
      </c>
      <c r="T145" s="25">
        <v>0</v>
      </c>
      <c r="U145" s="25">
        <v>0</v>
      </c>
      <c r="V145" s="25">
        <v>0</v>
      </c>
      <c r="W145" s="25">
        <v>0</v>
      </c>
      <c r="X145" s="25">
        <v>0</v>
      </c>
      <c r="Y145" s="25">
        <v>0</v>
      </c>
      <c r="Z145" s="25">
        <v>0</v>
      </c>
      <c r="AA145" s="25">
        <v>0</v>
      </c>
      <c r="AB145" s="25">
        <v>0</v>
      </c>
      <c r="AC145" s="25">
        <v>0</v>
      </c>
      <c r="AD145" s="25">
        <v>0</v>
      </c>
      <c r="AE145" s="25">
        <v>0</v>
      </c>
      <c r="AF145" s="25">
        <v>0</v>
      </c>
      <c r="AG145" s="25">
        <v>0</v>
      </c>
      <c r="AH145" s="25">
        <v>0</v>
      </c>
      <c r="AI145" s="25">
        <v>0</v>
      </c>
      <c r="AJ145" s="25">
        <v>0</v>
      </c>
    </row>
    <row r="146" spans="1:36" s="78" customFormat="1" x14ac:dyDescent="0.25">
      <c r="A146" s="78" t="s">
        <v>780</v>
      </c>
      <c r="C146" s="79">
        <f>+SUM(C135:C145)</f>
        <v>100</v>
      </c>
      <c r="D146" s="79">
        <f t="shared" ref="D146" si="265">+SUM(D135:D145)</f>
        <v>100</v>
      </c>
      <c r="E146" s="79">
        <f t="shared" ref="E146" si="266">+SUM(E135:E145)</f>
        <v>100</v>
      </c>
      <c r="F146" s="79">
        <f t="shared" ref="F146" si="267">+SUM(F135:F145)</f>
        <v>100</v>
      </c>
      <c r="G146" s="79">
        <f t="shared" ref="G146" si="268">+SUM(G135:G145)</f>
        <v>100</v>
      </c>
      <c r="H146" s="79">
        <f t="shared" ref="H146" si="269">+SUM(H135:H145)</f>
        <v>100</v>
      </c>
      <c r="I146" s="79">
        <f t="shared" ref="I146" si="270">+SUM(I135:I145)</f>
        <v>100</v>
      </c>
      <c r="J146" s="79">
        <f t="shared" ref="J146" si="271">+SUM(J135:J145)</f>
        <v>100</v>
      </c>
      <c r="K146" s="79">
        <f t="shared" ref="K146" si="272">+SUM(K135:K145)</f>
        <v>100</v>
      </c>
      <c r="L146" s="79">
        <f t="shared" ref="L146" si="273">+SUM(L135:L145)</f>
        <v>100</v>
      </c>
      <c r="M146" s="79">
        <f t="shared" ref="M146" si="274">+SUM(M135:M145)</f>
        <v>100</v>
      </c>
      <c r="N146" s="79">
        <f t="shared" ref="N146" si="275">+SUM(N135:N145)</f>
        <v>100</v>
      </c>
      <c r="O146" s="79">
        <f t="shared" ref="O146" si="276">+SUM(O135:O145)</f>
        <v>100</v>
      </c>
      <c r="P146" s="79">
        <f t="shared" ref="P146" si="277">+SUM(P135:P145)</f>
        <v>100</v>
      </c>
      <c r="Q146" s="79">
        <f t="shared" ref="Q146" si="278">+SUM(Q135:Q145)</f>
        <v>100</v>
      </c>
      <c r="R146" s="79">
        <f t="shared" ref="R146" si="279">+SUM(R135:R145)</f>
        <v>100</v>
      </c>
      <c r="S146" s="79">
        <f t="shared" ref="S146" si="280">+SUM(S135:S145)</f>
        <v>100</v>
      </c>
      <c r="T146" s="79">
        <f t="shared" ref="T146" si="281">+SUM(T135:T145)</f>
        <v>100</v>
      </c>
      <c r="U146" s="79">
        <f t="shared" ref="U146" si="282">+SUM(U135:U145)</f>
        <v>100</v>
      </c>
      <c r="V146" s="79">
        <f t="shared" ref="V146" si="283">+SUM(V135:V145)</f>
        <v>100</v>
      </c>
      <c r="W146" s="79">
        <f t="shared" ref="W146" si="284">+SUM(W135:W145)</f>
        <v>100</v>
      </c>
      <c r="X146" s="79">
        <f t="shared" ref="X146" si="285">+SUM(X135:X145)</f>
        <v>100</v>
      </c>
      <c r="Y146" s="79">
        <f t="shared" ref="Y146" si="286">+SUM(Y135:Y145)</f>
        <v>100</v>
      </c>
      <c r="Z146" s="79">
        <f t="shared" ref="Z146" si="287">+SUM(Z135:Z145)</f>
        <v>100</v>
      </c>
      <c r="AA146" s="79">
        <f t="shared" ref="AA146" si="288">+SUM(AA135:AA145)</f>
        <v>100</v>
      </c>
      <c r="AB146" s="79">
        <f t="shared" ref="AB146" si="289">+SUM(AB135:AB145)</f>
        <v>100</v>
      </c>
      <c r="AC146" s="79">
        <f t="shared" ref="AC146" si="290">+SUM(AC135:AC145)</f>
        <v>100</v>
      </c>
      <c r="AD146" s="79">
        <f t="shared" ref="AD146" si="291">+SUM(AD135:AD145)</f>
        <v>100</v>
      </c>
      <c r="AE146" s="79">
        <f t="shared" ref="AE146" si="292">+SUM(AE135:AE145)</f>
        <v>100</v>
      </c>
      <c r="AF146" s="79">
        <f t="shared" ref="AF146" si="293">+SUM(AF135:AF145)</f>
        <v>100</v>
      </c>
      <c r="AG146" s="79">
        <f t="shared" ref="AG146" si="294">+SUM(AG135:AG145)</f>
        <v>100</v>
      </c>
      <c r="AH146" s="79">
        <f t="shared" ref="AH146" si="295">+SUM(AH135:AH145)</f>
        <v>100</v>
      </c>
      <c r="AI146" s="79">
        <f t="shared" ref="AI146" si="296">+SUM(AI135:AI145)</f>
        <v>100</v>
      </c>
      <c r="AJ146" s="79">
        <f t="shared" ref="AJ146" si="297">+SUM(AJ135:AJ145)</f>
        <v>100</v>
      </c>
    </row>
    <row r="147" spans="1:36" x14ac:dyDescent="0.25">
      <c r="A147" t="s">
        <v>559</v>
      </c>
      <c r="B147" t="s">
        <v>305</v>
      </c>
      <c r="C147" s="25">
        <v>0</v>
      </c>
      <c r="D147" s="25">
        <v>0</v>
      </c>
      <c r="E147" s="25">
        <v>0</v>
      </c>
      <c r="F147" s="25">
        <v>0</v>
      </c>
      <c r="G147" s="25">
        <v>0</v>
      </c>
      <c r="H147" s="25">
        <v>0</v>
      </c>
      <c r="I147" s="25">
        <v>0</v>
      </c>
      <c r="J147" s="25">
        <v>0</v>
      </c>
      <c r="K147" s="25">
        <v>0</v>
      </c>
      <c r="L147" s="25">
        <v>0</v>
      </c>
      <c r="M147" s="25">
        <v>0</v>
      </c>
      <c r="N147" s="25">
        <v>0</v>
      </c>
      <c r="O147" s="25">
        <v>0</v>
      </c>
      <c r="P147" s="25">
        <v>0</v>
      </c>
      <c r="Q147" s="25">
        <v>0</v>
      </c>
      <c r="R147" s="25">
        <v>0</v>
      </c>
      <c r="S147" s="25">
        <v>0</v>
      </c>
      <c r="T147" s="25">
        <v>0</v>
      </c>
      <c r="U147" s="25">
        <v>0</v>
      </c>
      <c r="V147" s="25">
        <v>0</v>
      </c>
      <c r="W147" s="25">
        <v>0</v>
      </c>
      <c r="X147" s="25">
        <v>0</v>
      </c>
      <c r="Y147" s="25">
        <v>0</v>
      </c>
      <c r="Z147" s="25">
        <v>0</v>
      </c>
      <c r="AA147" s="25">
        <v>0</v>
      </c>
      <c r="AB147" s="25">
        <v>0</v>
      </c>
      <c r="AC147" s="25">
        <v>0</v>
      </c>
      <c r="AD147" s="25">
        <v>0</v>
      </c>
      <c r="AE147" s="25">
        <v>0</v>
      </c>
      <c r="AF147" s="25">
        <v>0</v>
      </c>
      <c r="AG147" s="25">
        <v>0</v>
      </c>
      <c r="AH147" s="25">
        <v>0</v>
      </c>
      <c r="AI147" s="25">
        <v>0</v>
      </c>
      <c r="AJ147" s="25">
        <v>0</v>
      </c>
    </row>
    <row r="148" spans="1:36" x14ac:dyDescent="0.25">
      <c r="A148" t="s">
        <v>560</v>
      </c>
      <c r="B148" t="s">
        <v>305</v>
      </c>
      <c r="C148" s="25">
        <v>0</v>
      </c>
      <c r="D148" s="25">
        <v>0</v>
      </c>
      <c r="E148" s="25">
        <v>0</v>
      </c>
      <c r="F148" s="25">
        <v>0</v>
      </c>
      <c r="G148" s="25">
        <v>0</v>
      </c>
      <c r="H148" s="25">
        <v>0</v>
      </c>
      <c r="I148" s="25">
        <v>0</v>
      </c>
      <c r="J148" s="25">
        <v>0</v>
      </c>
      <c r="K148" s="25">
        <v>0</v>
      </c>
      <c r="L148" s="25">
        <v>0</v>
      </c>
      <c r="M148" s="25">
        <v>0</v>
      </c>
      <c r="N148" s="25">
        <v>0</v>
      </c>
      <c r="O148" s="25">
        <v>0</v>
      </c>
      <c r="P148" s="25">
        <v>0</v>
      </c>
      <c r="Q148" s="25">
        <v>0</v>
      </c>
      <c r="R148" s="25">
        <v>0</v>
      </c>
      <c r="S148" s="25">
        <v>0</v>
      </c>
      <c r="T148" s="25">
        <v>0</v>
      </c>
      <c r="U148" s="25">
        <v>0</v>
      </c>
      <c r="V148" s="25">
        <v>0</v>
      </c>
      <c r="W148" s="25">
        <v>0</v>
      </c>
      <c r="X148" s="25">
        <v>0</v>
      </c>
      <c r="Y148" s="25">
        <v>0</v>
      </c>
      <c r="Z148" s="25">
        <v>0</v>
      </c>
      <c r="AA148" s="25">
        <v>0</v>
      </c>
      <c r="AB148" s="25">
        <v>0</v>
      </c>
      <c r="AC148" s="25">
        <v>0</v>
      </c>
      <c r="AD148" s="25">
        <v>0</v>
      </c>
      <c r="AE148" s="25">
        <v>0</v>
      </c>
      <c r="AF148" s="25">
        <v>0</v>
      </c>
      <c r="AG148" s="25">
        <v>0</v>
      </c>
      <c r="AH148" s="25">
        <v>0</v>
      </c>
      <c r="AI148" s="25">
        <v>0</v>
      </c>
      <c r="AJ148" s="25">
        <v>0</v>
      </c>
    </row>
    <row r="149" spans="1:36" x14ac:dyDescent="0.25">
      <c r="A149" t="s">
        <v>561</v>
      </c>
      <c r="B149" t="s">
        <v>305</v>
      </c>
      <c r="C149" s="25">
        <v>0</v>
      </c>
      <c r="D149" s="25">
        <v>0</v>
      </c>
      <c r="E149" s="25">
        <v>0</v>
      </c>
      <c r="F149" s="25">
        <v>0</v>
      </c>
      <c r="G149" s="25">
        <v>0</v>
      </c>
      <c r="H149" s="25">
        <v>0</v>
      </c>
      <c r="I149" s="25">
        <v>0</v>
      </c>
      <c r="J149" s="25">
        <v>0</v>
      </c>
      <c r="K149" s="25">
        <v>0</v>
      </c>
      <c r="L149" s="25">
        <v>0</v>
      </c>
      <c r="M149" s="25">
        <v>0</v>
      </c>
      <c r="N149" s="25">
        <v>0</v>
      </c>
      <c r="O149" s="25">
        <v>0</v>
      </c>
      <c r="P149" s="25">
        <v>0</v>
      </c>
      <c r="Q149" s="25">
        <v>0</v>
      </c>
      <c r="R149" s="25">
        <v>0</v>
      </c>
      <c r="S149" s="25">
        <v>0</v>
      </c>
      <c r="T149" s="25">
        <v>0</v>
      </c>
      <c r="U149" s="25">
        <v>0</v>
      </c>
      <c r="V149" s="25">
        <v>0</v>
      </c>
      <c r="W149" s="25">
        <v>0</v>
      </c>
      <c r="X149" s="25">
        <v>0</v>
      </c>
      <c r="Y149" s="25">
        <v>0</v>
      </c>
      <c r="Z149" s="25">
        <v>0</v>
      </c>
      <c r="AA149" s="25">
        <v>0</v>
      </c>
      <c r="AB149" s="25">
        <v>0</v>
      </c>
      <c r="AC149" s="25">
        <v>0</v>
      </c>
      <c r="AD149" s="25">
        <v>0</v>
      </c>
      <c r="AE149" s="25">
        <v>0</v>
      </c>
      <c r="AF149" s="25">
        <v>0</v>
      </c>
      <c r="AG149" s="25">
        <v>0</v>
      </c>
      <c r="AH149" s="25">
        <v>0</v>
      </c>
      <c r="AI149" s="25">
        <v>0</v>
      </c>
      <c r="AJ149" s="25">
        <v>0</v>
      </c>
    </row>
    <row r="150" spans="1:36" x14ac:dyDescent="0.25">
      <c r="A150" t="s">
        <v>562</v>
      </c>
      <c r="B150" t="s">
        <v>305</v>
      </c>
      <c r="C150" s="25">
        <v>0</v>
      </c>
      <c r="D150" s="25">
        <v>0</v>
      </c>
      <c r="E150" s="25">
        <v>0</v>
      </c>
      <c r="F150" s="25">
        <v>0</v>
      </c>
      <c r="G150" s="25">
        <v>0</v>
      </c>
      <c r="H150" s="25">
        <v>0</v>
      </c>
      <c r="I150" s="25">
        <v>0</v>
      </c>
      <c r="J150" s="25">
        <v>0</v>
      </c>
      <c r="K150" s="25">
        <v>0</v>
      </c>
      <c r="L150" s="25">
        <v>0</v>
      </c>
      <c r="M150" s="25">
        <v>0</v>
      </c>
      <c r="N150" s="25">
        <v>0</v>
      </c>
      <c r="O150" s="25">
        <v>0</v>
      </c>
      <c r="P150" s="25">
        <v>0</v>
      </c>
      <c r="Q150" s="25">
        <v>0</v>
      </c>
      <c r="R150" s="25">
        <v>0</v>
      </c>
      <c r="S150" s="25">
        <v>0</v>
      </c>
      <c r="T150" s="25">
        <v>0</v>
      </c>
      <c r="U150" s="25">
        <v>0</v>
      </c>
      <c r="V150" s="25">
        <v>0</v>
      </c>
      <c r="W150" s="25">
        <v>0</v>
      </c>
      <c r="X150" s="25">
        <v>0</v>
      </c>
      <c r="Y150" s="25">
        <v>0</v>
      </c>
      <c r="Z150" s="25">
        <v>0</v>
      </c>
      <c r="AA150" s="25">
        <v>0</v>
      </c>
      <c r="AB150" s="25">
        <v>0</v>
      </c>
      <c r="AC150" s="25">
        <v>0</v>
      </c>
      <c r="AD150" s="25">
        <v>0</v>
      </c>
      <c r="AE150" s="25">
        <v>0</v>
      </c>
      <c r="AF150" s="25">
        <v>0</v>
      </c>
      <c r="AG150" s="25">
        <v>0</v>
      </c>
      <c r="AH150" s="25">
        <v>0</v>
      </c>
      <c r="AI150" s="25">
        <v>0</v>
      </c>
      <c r="AJ150" s="25">
        <v>0</v>
      </c>
    </row>
    <row r="151" spans="1:36" x14ac:dyDescent="0.25">
      <c r="A151" t="s">
        <v>563</v>
      </c>
      <c r="B151" t="s">
        <v>305</v>
      </c>
      <c r="C151" s="25">
        <v>0</v>
      </c>
      <c r="D151" s="25">
        <v>0</v>
      </c>
      <c r="E151" s="25">
        <v>0</v>
      </c>
      <c r="F151" s="25">
        <v>0</v>
      </c>
      <c r="G151" s="25">
        <v>0</v>
      </c>
      <c r="H151" s="25">
        <v>0</v>
      </c>
      <c r="I151" s="25">
        <v>0</v>
      </c>
      <c r="J151" s="25">
        <v>0</v>
      </c>
      <c r="K151" s="25">
        <v>0</v>
      </c>
      <c r="L151" s="25">
        <v>0</v>
      </c>
      <c r="M151" s="25">
        <v>0</v>
      </c>
      <c r="N151" s="25">
        <v>0</v>
      </c>
      <c r="O151" s="25">
        <v>0</v>
      </c>
      <c r="P151" s="25">
        <v>0</v>
      </c>
      <c r="Q151" s="25">
        <v>0</v>
      </c>
      <c r="R151" s="25">
        <v>0</v>
      </c>
      <c r="S151" s="25">
        <v>0</v>
      </c>
      <c r="T151" s="25">
        <v>0</v>
      </c>
      <c r="U151" s="25">
        <v>0</v>
      </c>
      <c r="V151" s="25">
        <v>0</v>
      </c>
      <c r="W151" s="25">
        <v>0</v>
      </c>
      <c r="X151" s="25">
        <v>0</v>
      </c>
      <c r="Y151" s="25">
        <v>0</v>
      </c>
      <c r="Z151" s="25">
        <v>0</v>
      </c>
      <c r="AA151" s="25">
        <v>0</v>
      </c>
      <c r="AB151" s="25">
        <v>0</v>
      </c>
      <c r="AC151" s="25">
        <v>0</v>
      </c>
      <c r="AD151" s="25">
        <v>0</v>
      </c>
      <c r="AE151" s="25">
        <v>0</v>
      </c>
      <c r="AF151" s="25">
        <v>0</v>
      </c>
      <c r="AG151" s="25">
        <v>0</v>
      </c>
      <c r="AH151" s="25">
        <v>0</v>
      </c>
      <c r="AI151" s="25">
        <v>0</v>
      </c>
      <c r="AJ151" s="25">
        <v>0</v>
      </c>
    </row>
    <row r="152" spans="1:36" x14ac:dyDescent="0.25">
      <c r="A152" t="s">
        <v>564</v>
      </c>
      <c r="B152" t="s">
        <v>305</v>
      </c>
      <c r="C152" s="25">
        <v>0</v>
      </c>
      <c r="D152" s="25">
        <v>0</v>
      </c>
      <c r="E152" s="25">
        <v>0</v>
      </c>
      <c r="F152" s="25">
        <v>0</v>
      </c>
      <c r="G152" s="25">
        <v>0</v>
      </c>
      <c r="H152" s="25">
        <v>0</v>
      </c>
      <c r="I152" s="25">
        <v>0</v>
      </c>
      <c r="J152" s="25">
        <v>0</v>
      </c>
      <c r="K152" s="25">
        <v>0</v>
      </c>
      <c r="L152" s="25">
        <v>0</v>
      </c>
      <c r="M152" s="25">
        <v>0</v>
      </c>
      <c r="N152" s="25">
        <v>0</v>
      </c>
      <c r="O152" s="25">
        <v>0</v>
      </c>
      <c r="P152" s="25">
        <v>0</v>
      </c>
      <c r="Q152" s="25">
        <v>0</v>
      </c>
      <c r="R152" s="25">
        <v>0</v>
      </c>
      <c r="S152" s="25">
        <v>0</v>
      </c>
      <c r="T152" s="25">
        <v>0</v>
      </c>
      <c r="U152" s="25">
        <v>0</v>
      </c>
      <c r="V152" s="25">
        <v>0</v>
      </c>
      <c r="W152" s="25">
        <v>0</v>
      </c>
      <c r="X152" s="25">
        <v>0</v>
      </c>
      <c r="Y152" s="25">
        <v>0</v>
      </c>
      <c r="Z152" s="25">
        <v>0</v>
      </c>
      <c r="AA152" s="25">
        <v>0</v>
      </c>
      <c r="AB152" s="25">
        <v>0</v>
      </c>
      <c r="AC152" s="25">
        <v>0</v>
      </c>
      <c r="AD152" s="25">
        <v>0</v>
      </c>
      <c r="AE152" s="25">
        <v>0</v>
      </c>
      <c r="AF152" s="25">
        <v>0</v>
      </c>
      <c r="AG152" s="25">
        <v>0</v>
      </c>
      <c r="AH152" s="25">
        <v>0</v>
      </c>
      <c r="AI152" s="25">
        <v>0</v>
      </c>
      <c r="AJ152" s="25">
        <v>0</v>
      </c>
    </row>
    <row r="153" spans="1:36" x14ac:dyDescent="0.25">
      <c r="A153" t="s">
        <v>565</v>
      </c>
      <c r="B153" t="s">
        <v>305</v>
      </c>
      <c r="C153" s="25">
        <v>0</v>
      </c>
      <c r="D153" s="25">
        <v>0</v>
      </c>
      <c r="E153" s="25">
        <v>0</v>
      </c>
      <c r="F153" s="25">
        <v>0</v>
      </c>
      <c r="G153" s="25">
        <v>0</v>
      </c>
      <c r="H153" s="25">
        <v>0</v>
      </c>
      <c r="I153" s="25">
        <v>0</v>
      </c>
      <c r="J153" s="25">
        <v>0</v>
      </c>
      <c r="K153" s="25">
        <v>0</v>
      </c>
      <c r="L153" s="25">
        <v>0</v>
      </c>
      <c r="M153" s="25">
        <v>0</v>
      </c>
      <c r="N153" s="25">
        <v>0</v>
      </c>
      <c r="O153" s="25">
        <v>0</v>
      </c>
      <c r="P153" s="25">
        <v>0</v>
      </c>
      <c r="Q153" s="25">
        <v>0</v>
      </c>
      <c r="R153" s="25">
        <v>0</v>
      </c>
      <c r="S153" s="25">
        <v>0</v>
      </c>
      <c r="T153" s="25">
        <v>0</v>
      </c>
      <c r="U153" s="25">
        <v>0</v>
      </c>
      <c r="V153" s="25">
        <v>0</v>
      </c>
      <c r="W153" s="25">
        <v>0</v>
      </c>
      <c r="X153" s="25">
        <v>0</v>
      </c>
      <c r="Y153" s="25">
        <v>0</v>
      </c>
      <c r="Z153" s="25">
        <v>0</v>
      </c>
      <c r="AA153" s="25">
        <v>0</v>
      </c>
      <c r="AB153" s="25">
        <v>0</v>
      </c>
      <c r="AC153" s="25">
        <v>0</v>
      </c>
      <c r="AD153" s="25">
        <v>0</v>
      </c>
      <c r="AE153" s="25">
        <v>0</v>
      </c>
      <c r="AF153" s="25">
        <v>0</v>
      </c>
      <c r="AG153" s="25">
        <v>0</v>
      </c>
      <c r="AH153" s="25">
        <v>0</v>
      </c>
      <c r="AI153" s="25">
        <v>0</v>
      </c>
      <c r="AJ153" s="25">
        <v>0</v>
      </c>
    </row>
    <row r="154" spans="1:36" x14ac:dyDescent="0.25">
      <c r="A154" t="s">
        <v>566</v>
      </c>
      <c r="B154" t="s">
        <v>305</v>
      </c>
      <c r="C154" s="25">
        <v>0</v>
      </c>
      <c r="D154" s="25">
        <v>0</v>
      </c>
      <c r="E154" s="25">
        <v>0</v>
      </c>
      <c r="F154" s="25">
        <v>0</v>
      </c>
      <c r="G154" s="25">
        <v>0</v>
      </c>
      <c r="H154" s="25">
        <v>0</v>
      </c>
      <c r="I154" s="25">
        <v>0</v>
      </c>
      <c r="J154" s="25">
        <v>0</v>
      </c>
      <c r="K154" s="25">
        <v>0</v>
      </c>
      <c r="L154" s="25">
        <v>0</v>
      </c>
      <c r="M154" s="25">
        <v>0</v>
      </c>
      <c r="N154" s="25">
        <v>0</v>
      </c>
      <c r="O154" s="25">
        <v>0</v>
      </c>
      <c r="P154" s="25">
        <v>0</v>
      </c>
      <c r="Q154" s="25">
        <v>0</v>
      </c>
      <c r="R154" s="25">
        <v>0</v>
      </c>
      <c r="S154" s="25">
        <v>0</v>
      </c>
      <c r="T154" s="25">
        <v>0</v>
      </c>
      <c r="U154" s="25">
        <v>0</v>
      </c>
      <c r="V154" s="25">
        <v>0</v>
      </c>
      <c r="W154" s="25">
        <v>0</v>
      </c>
      <c r="X154" s="25">
        <v>0</v>
      </c>
      <c r="Y154" s="25">
        <v>0</v>
      </c>
      <c r="Z154" s="25">
        <v>0</v>
      </c>
      <c r="AA154" s="25">
        <v>0</v>
      </c>
      <c r="AB154" s="25">
        <v>0</v>
      </c>
      <c r="AC154" s="25">
        <v>0</v>
      </c>
      <c r="AD154" s="25">
        <v>0</v>
      </c>
      <c r="AE154" s="25">
        <v>0</v>
      </c>
      <c r="AF154" s="25">
        <v>0</v>
      </c>
      <c r="AG154" s="25">
        <v>0</v>
      </c>
      <c r="AH154" s="25">
        <v>0</v>
      </c>
      <c r="AI154" s="25">
        <v>0</v>
      </c>
      <c r="AJ154" s="25">
        <v>0</v>
      </c>
    </row>
    <row r="155" spans="1:36" x14ac:dyDescent="0.25">
      <c r="A155" t="s">
        <v>567</v>
      </c>
      <c r="B155" t="s">
        <v>305</v>
      </c>
      <c r="C155" s="25">
        <v>0</v>
      </c>
      <c r="D155" s="25">
        <v>0</v>
      </c>
      <c r="E155" s="25">
        <v>0</v>
      </c>
      <c r="F155" s="25">
        <v>0</v>
      </c>
      <c r="G155" s="25">
        <v>0</v>
      </c>
      <c r="H155" s="25">
        <v>0</v>
      </c>
      <c r="I155" s="25">
        <v>0</v>
      </c>
      <c r="J155" s="25">
        <v>0</v>
      </c>
      <c r="K155" s="25">
        <v>0</v>
      </c>
      <c r="L155" s="25">
        <v>0</v>
      </c>
      <c r="M155" s="25">
        <v>0</v>
      </c>
      <c r="N155" s="25">
        <v>0</v>
      </c>
      <c r="O155" s="25">
        <v>0</v>
      </c>
      <c r="P155" s="25">
        <v>0</v>
      </c>
      <c r="Q155" s="25">
        <v>0</v>
      </c>
      <c r="R155" s="25">
        <v>0</v>
      </c>
      <c r="S155" s="25">
        <v>0</v>
      </c>
      <c r="T155" s="25">
        <v>0</v>
      </c>
      <c r="U155" s="25">
        <v>0</v>
      </c>
      <c r="V155" s="25">
        <v>0</v>
      </c>
      <c r="W155" s="25">
        <v>0</v>
      </c>
      <c r="X155" s="25">
        <v>0</v>
      </c>
      <c r="Y155" s="25">
        <v>0</v>
      </c>
      <c r="Z155" s="25">
        <v>0</v>
      </c>
      <c r="AA155" s="25">
        <v>0</v>
      </c>
      <c r="AB155" s="25">
        <v>0</v>
      </c>
      <c r="AC155" s="25">
        <v>0</v>
      </c>
      <c r="AD155" s="25">
        <v>0</v>
      </c>
      <c r="AE155" s="25">
        <v>0</v>
      </c>
      <c r="AF155" s="25">
        <v>0</v>
      </c>
      <c r="AG155" s="25">
        <v>0</v>
      </c>
      <c r="AH155" s="25">
        <v>0</v>
      </c>
      <c r="AI155" s="25">
        <v>0</v>
      </c>
      <c r="AJ155" s="25">
        <v>0</v>
      </c>
    </row>
    <row r="156" spans="1:36" x14ac:dyDescent="0.25">
      <c r="A156" t="s">
        <v>568</v>
      </c>
      <c r="B156" t="s">
        <v>305</v>
      </c>
      <c r="C156" s="25">
        <v>100</v>
      </c>
      <c r="D156" s="25">
        <v>100</v>
      </c>
      <c r="E156" s="25">
        <v>100</v>
      </c>
      <c r="F156" s="25">
        <v>100</v>
      </c>
      <c r="G156" s="25">
        <v>100</v>
      </c>
      <c r="H156" s="25">
        <v>100</v>
      </c>
      <c r="I156" s="25">
        <v>100</v>
      </c>
      <c r="J156" s="25">
        <v>100</v>
      </c>
      <c r="K156" s="25">
        <v>100</v>
      </c>
      <c r="L156" s="25">
        <v>100</v>
      </c>
      <c r="M156" s="25">
        <v>100</v>
      </c>
      <c r="N156" s="25">
        <v>100</v>
      </c>
      <c r="O156" s="25">
        <v>100</v>
      </c>
      <c r="P156" s="25">
        <v>100</v>
      </c>
      <c r="Q156" s="25">
        <v>100</v>
      </c>
      <c r="R156" s="25">
        <v>100</v>
      </c>
      <c r="S156" s="25">
        <v>100</v>
      </c>
      <c r="T156" s="25">
        <v>100</v>
      </c>
      <c r="U156" s="25">
        <v>100</v>
      </c>
      <c r="V156" s="25">
        <v>100</v>
      </c>
      <c r="W156" s="25">
        <v>100</v>
      </c>
      <c r="X156" s="25">
        <v>100</v>
      </c>
      <c r="Y156" s="25">
        <v>100</v>
      </c>
      <c r="Z156" s="25">
        <v>100</v>
      </c>
      <c r="AA156" s="25">
        <v>100</v>
      </c>
      <c r="AB156" s="25">
        <v>100</v>
      </c>
      <c r="AC156" s="25">
        <v>100</v>
      </c>
      <c r="AD156" s="25">
        <v>100</v>
      </c>
      <c r="AE156" s="25">
        <v>100</v>
      </c>
      <c r="AF156" s="25">
        <v>100</v>
      </c>
      <c r="AG156" s="25">
        <v>100</v>
      </c>
      <c r="AH156" s="25">
        <v>100</v>
      </c>
      <c r="AI156" s="25">
        <v>100</v>
      </c>
      <c r="AJ156" s="25">
        <v>100</v>
      </c>
    </row>
    <row r="157" spans="1:36" x14ac:dyDescent="0.25">
      <c r="A157" t="s">
        <v>762</v>
      </c>
      <c r="B157" t="s">
        <v>305</v>
      </c>
      <c r="C157" s="25">
        <v>0</v>
      </c>
      <c r="D157" s="25">
        <v>0</v>
      </c>
      <c r="E157" s="25">
        <v>0</v>
      </c>
      <c r="F157" s="25">
        <v>0</v>
      </c>
      <c r="G157" s="25">
        <v>0</v>
      </c>
      <c r="H157" s="25">
        <v>0</v>
      </c>
      <c r="I157" s="25">
        <v>0</v>
      </c>
      <c r="J157" s="25">
        <v>0</v>
      </c>
      <c r="K157" s="25">
        <v>0</v>
      </c>
      <c r="L157" s="25">
        <v>0</v>
      </c>
      <c r="M157" s="25">
        <v>0</v>
      </c>
      <c r="N157" s="25">
        <v>0</v>
      </c>
      <c r="O157" s="25">
        <v>0</v>
      </c>
      <c r="P157" s="25">
        <v>0</v>
      </c>
      <c r="Q157" s="25">
        <v>0</v>
      </c>
      <c r="R157" s="25">
        <v>0</v>
      </c>
      <c r="S157" s="25">
        <v>0</v>
      </c>
      <c r="T157" s="25">
        <v>0</v>
      </c>
      <c r="U157" s="25">
        <v>0</v>
      </c>
      <c r="V157" s="25">
        <v>0</v>
      </c>
      <c r="W157" s="25">
        <v>0</v>
      </c>
      <c r="X157" s="25">
        <v>0</v>
      </c>
      <c r="Y157" s="25">
        <v>0</v>
      </c>
      <c r="Z157" s="25">
        <v>0</v>
      </c>
      <c r="AA157" s="25">
        <v>0</v>
      </c>
      <c r="AB157" s="25">
        <v>0</v>
      </c>
      <c r="AC157" s="25">
        <v>0</v>
      </c>
      <c r="AD157" s="25">
        <v>0</v>
      </c>
      <c r="AE157" s="25">
        <v>0</v>
      </c>
      <c r="AF157" s="25">
        <v>0</v>
      </c>
      <c r="AG157" s="25">
        <v>0</v>
      </c>
      <c r="AH157" s="25">
        <v>0</v>
      </c>
      <c r="AI157" s="25">
        <v>0</v>
      </c>
      <c r="AJ157" s="25">
        <v>0</v>
      </c>
    </row>
    <row r="158" spans="1:36" s="78" customFormat="1" x14ac:dyDescent="0.25">
      <c r="A158" s="78" t="s">
        <v>780</v>
      </c>
      <c r="C158" s="79">
        <f>+SUM(C147:C157)</f>
        <v>100</v>
      </c>
      <c r="D158" s="79">
        <f t="shared" ref="D158" si="298">+SUM(D147:D157)</f>
        <v>100</v>
      </c>
      <c r="E158" s="79">
        <f t="shared" ref="E158" si="299">+SUM(E147:E157)</f>
        <v>100</v>
      </c>
      <c r="F158" s="79">
        <f t="shared" ref="F158" si="300">+SUM(F147:F157)</f>
        <v>100</v>
      </c>
      <c r="G158" s="79">
        <f t="shared" ref="G158" si="301">+SUM(G147:G157)</f>
        <v>100</v>
      </c>
      <c r="H158" s="79">
        <f t="shared" ref="H158" si="302">+SUM(H147:H157)</f>
        <v>100</v>
      </c>
      <c r="I158" s="79">
        <f t="shared" ref="I158" si="303">+SUM(I147:I157)</f>
        <v>100</v>
      </c>
      <c r="J158" s="79">
        <f t="shared" ref="J158" si="304">+SUM(J147:J157)</f>
        <v>100</v>
      </c>
      <c r="K158" s="79">
        <f t="shared" ref="K158" si="305">+SUM(K147:K157)</f>
        <v>100</v>
      </c>
      <c r="L158" s="79">
        <f t="shared" ref="L158" si="306">+SUM(L147:L157)</f>
        <v>100</v>
      </c>
      <c r="M158" s="79">
        <f t="shared" ref="M158" si="307">+SUM(M147:M157)</f>
        <v>100</v>
      </c>
      <c r="N158" s="79">
        <f t="shared" ref="N158" si="308">+SUM(N147:N157)</f>
        <v>100</v>
      </c>
      <c r="O158" s="79">
        <f t="shared" ref="O158" si="309">+SUM(O147:O157)</f>
        <v>100</v>
      </c>
      <c r="P158" s="79">
        <f t="shared" ref="P158" si="310">+SUM(P147:P157)</f>
        <v>100</v>
      </c>
      <c r="Q158" s="79">
        <f t="shared" ref="Q158" si="311">+SUM(Q147:Q157)</f>
        <v>100</v>
      </c>
      <c r="R158" s="79">
        <f t="shared" ref="R158" si="312">+SUM(R147:R157)</f>
        <v>100</v>
      </c>
      <c r="S158" s="79">
        <f t="shared" ref="S158" si="313">+SUM(S147:S157)</f>
        <v>100</v>
      </c>
      <c r="T158" s="79">
        <f t="shared" ref="T158" si="314">+SUM(T147:T157)</f>
        <v>100</v>
      </c>
      <c r="U158" s="79">
        <f t="shared" ref="U158" si="315">+SUM(U147:U157)</f>
        <v>100</v>
      </c>
      <c r="V158" s="79">
        <f t="shared" ref="V158" si="316">+SUM(V147:V157)</f>
        <v>100</v>
      </c>
      <c r="W158" s="79">
        <f t="shared" ref="W158" si="317">+SUM(W147:W157)</f>
        <v>100</v>
      </c>
      <c r="X158" s="79">
        <f t="shared" ref="X158" si="318">+SUM(X147:X157)</f>
        <v>100</v>
      </c>
      <c r="Y158" s="79">
        <f t="shared" ref="Y158" si="319">+SUM(Y147:Y157)</f>
        <v>100</v>
      </c>
      <c r="Z158" s="79">
        <f t="shared" ref="Z158" si="320">+SUM(Z147:Z157)</f>
        <v>100</v>
      </c>
      <c r="AA158" s="79">
        <f t="shared" ref="AA158" si="321">+SUM(AA147:AA157)</f>
        <v>100</v>
      </c>
      <c r="AB158" s="79">
        <f t="shared" ref="AB158" si="322">+SUM(AB147:AB157)</f>
        <v>100</v>
      </c>
      <c r="AC158" s="79">
        <f t="shared" ref="AC158" si="323">+SUM(AC147:AC157)</f>
        <v>100</v>
      </c>
      <c r="AD158" s="79">
        <f t="shared" ref="AD158" si="324">+SUM(AD147:AD157)</f>
        <v>100</v>
      </c>
      <c r="AE158" s="79">
        <f t="shared" ref="AE158" si="325">+SUM(AE147:AE157)</f>
        <v>100</v>
      </c>
      <c r="AF158" s="79">
        <f t="shared" ref="AF158" si="326">+SUM(AF147:AF157)</f>
        <v>100</v>
      </c>
      <c r="AG158" s="79">
        <f t="shared" ref="AG158" si="327">+SUM(AG147:AG157)</f>
        <v>100</v>
      </c>
      <c r="AH158" s="79">
        <f t="shared" ref="AH158" si="328">+SUM(AH147:AH157)</f>
        <v>100</v>
      </c>
      <c r="AI158" s="79">
        <f t="shared" ref="AI158" si="329">+SUM(AI147:AI157)</f>
        <v>100</v>
      </c>
      <c r="AJ158" s="79">
        <f t="shared" ref="AJ158" si="330">+SUM(AJ147:AJ157)</f>
        <v>100</v>
      </c>
    </row>
    <row r="159" spans="1:36" s="76" customFormat="1" ht="15.75" x14ac:dyDescent="0.25">
      <c r="A159" s="74" t="s">
        <v>776</v>
      </c>
      <c r="B159" s="75"/>
      <c r="C159" s="74"/>
      <c r="D159" s="74"/>
      <c r="E159" s="74"/>
      <c r="F159" s="74"/>
      <c r="G159" s="74"/>
      <c r="H159" s="74"/>
      <c r="I159" s="74"/>
      <c r="J159" s="74"/>
      <c r="K159" s="74"/>
      <c r="L159" s="74"/>
      <c r="M159" s="74"/>
      <c r="N159" s="74"/>
      <c r="O159" s="74"/>
      <c r="P159" s="74"/>
      <c r="Q159" s="74"/>
      <c r="R159" s="74"/>
      <c r="S159" s="74"/>
      <c r="T159" s="74"/>
      <c r="U159" s="74"/>
      <c r="V159" s="74"/>
      <c r="W159" s="74"/>
      <c r="X159" s="74"/>
      <c r="Y159" s="74"/>
      <c r="Z159" s="74"/>
      <c r="AA159" s="74"/>
      <c r="AB159" s="74"/>
      <c r="AC159" s="74"/>
      <c r="AD159" s="74"/>
      <c r="AE159" s="74"/>
      <c r="AF159" s="74"/>
      <c r="AG159" s="74"/>
      <c r="AH159" s="74"/>
      <c r="AI159" s="74"/>
      <c r="AJ159" s="74"/>
    </row>
    <row r="160" spans="1:36" x14ac:dyDescent="0.25">
      <c r="A160" s="77" t="s">
        <v>569</v>
      </c>
      <c r="B160" t="s">
        <v>305</v>
      </c>
      <c r="C160" s="25">
        <v>71</v>
      </c>
      <c r="D160" s="25">
        <v>71</v>
      </c>
      <c r="E160" s="25">
        <v>71</v>
      </c>
      <c r="F160" s="25">
        <v>71</v>
      </c>
      <c r="G160" s="25">
        <v>71</v>
      </c>
      <c r="H160" s="25">
        <v>71</v>
      </c>
      <c r="I160" s="25">
        <v>71</v>
      </c>
      <c r="J160" s="25">
        <v>71</v>
      </c>
      <c r="K160" s="25">
        <v>71</v>
      </c>
      <c r="L160" s="25">
        <v>71</v>
      </c>
      <c r="M160" s="25">
        <v>71</v>
      </c>
      <c r="N160" s="25">
        <v>71</v>
      </c>
      <c r="O160" s="25">
        <v>71</v>
      </c>
      <c r="P160" s="25">
        <v>71</v>
      </c>
      <c r="Q160" s="25">
        <v>71</v>
      </c>
      <c r="R160" s="25">
        <v>71</v>
      </c>
      <c r="S160" s="25">
        <v>71</v>
      </c>
      <c r="T160" s="25">
        <v>71</v>
      </c>
      <c r="U160" s="25">
        <v>71</v>
      </c>
      <c r="V160" s="25">
        <v>71</v>
      </c>
      <c r="W160" s="25">
        <v>71</v>
      </c>
      <c r="X160" s="25">
        <v>71</v>
      </c>
      <c r="Y160" s="25">
        <v>71</v>
      </c>
      <c r="Z160" s="25">
        <v>71</v>
      </c>
      <c r="AA160" s="25">
        <v>71</v>
      </c>
      <c r="AB160" s="25">
        <v>71</v>
      </c>
      <c r="AC160" s="25">
        <v>71</v>
      </c>
      <c r="AD160" s="25">
        <v>71</v>
      </c>
      <c r="AE160" s="25">
        <v>71</v>
      </c>
      <c r="AF160" s="25">
        <v>71</v>
      </c>
      <c r="AG160" s="25">
        <v>71</v>
      </c>
      <c r="AH160" s="25">
        <v>71</v>
      </c>
      <c r="AI160" s="25">
        <v>71</v>
      </c>
      <c r="AJ160" s="25">
        <v>71</v>
      </c>
    </row>
    <row r="161" spans="1:36" x14ac:dyDescent="0.25">
      <c r="A161" s="77" t="s">
        <v>570</v>
      </c>
      <c r="B161" t="s">
        <v>305</v>
      </c>
      <c r="C161" s="25">
        <v>11</v>
      </c>
      <c r="D161" s="25">
        <v>11</v>
      </c>
      <c r="E161" s="25">
        <v>11</v>
      </c>
      <c r="F161" s="25">
        <v>11</v>
      </c>
      <c r="G161" s="25">
        <v>11</v>
      </c>
      <c r="H161" s="25">
        <v>11</v>
      </c>
      <c r="I161" s="25">
        <v>11</v>
      </c>
      <c r="J161" s="25">
        <v>11</v>
      </c>
      <c r="K161" s="25">
        <v>11</v>
      </c>
      <c r="L161" s="25">
        <v>11</v>
      </c>
      <c r="M161" s="25">
        <v>11</v>
      </c>
      <c r="N161" s="25">
        <v>11</v>
      </c>
      <c r="O161" s="25">
        <v>11</v>
      </c>
      <c r="P161" s="25">
        <v>11</v>
      </c>
      <c r="Q161" s="25">
        <v>11</v>
      </c>
      <c r="R161" s="25">
        <v>11</v>
      </c>
      <c r="S161" s="25">
        <v>11</v>
      </c>
      <c r="T161" s="25">
        <v>11</v>
      </c>
      <c r="U161" s="25">
        <v>11</v>
      </c>
      <c r="V161" s="25">
        <v>11</v>
      </c>
      <c r="W161" s="25">
        <v>11</v>
      </c>
      <c r="X161" s="25">
        <v>11</v>
      </c>
      <c r="Y161" s="25">
        <v>11</v>
      </c>
      <c r="Z161" s="25">
        <v>11</v>
      </c>
      <c r="AA161" s="25">
        <v>11</v>
      </c>
      <c r="AB161" s="25">
        <v>11</v>
      </c>
      <c r="AC161" s="25">
        <v>11</v>
      </c>
      <c r="AD161" s="25">
        <v>11</v>
      </c>
      <c r="AE161" s="25">
        <v>11</v>
      </c>
      <c r="AF161" s="25">
        <v>11</v>
      </c>
      <c r="AG161" s="25">
        <v>11</v>
      </c>
      <c r="AH161" s="25">
        <v>11</v>
      </c>
      <c r="AI161" s="25">
        <v>11</v>
      </c>
      <c r="AJ161" s="25">
        <v>11</v>
      </c>
    </row>
    <row r="162" spans="1:36" x14ac:dyDescent="0.25">
      <c r="A162" s="77" t="s">
        <v>571</v>
      </c>
      <c r="B162" t="s">
        <v>305</v>
      </c>
      <c r="C162" s="25">
        <v>13</v>
      </c>
      <c r="D162" s="25">
        <v>13</v>
      </c>
      <c r="E162" s="25">
        <v>13</v>
      </c>
      <c r="F162" s="25">
        <v>13</v>
      </c>
      <c r="G162" s="25">
        <v>13</v>
      </c>
      <c r="H162" s="25">
        <v>13</v>
      </c>
      <c r="I162" s="25">
        <v>13</v>
      </c>
      <c r="J162" s="25">
        <v>13</v>
      </c>
      <c r="K162" s="25">
        <v>13</v>
      </c>
      <c r="L162" s="25">
        <v>13</v>
      </c>
      <c r="M162" s="25">
        <v>13</v>
      </c>
      <c r="N162" s="25">
        <v>13</v>
      </c>
      <c r="O162" s="25">
        <v>13</v>
      </c>
      <c r="P162" s="25">
        <v>13</v>
      </c>
      <c r="Q162" s="25">
        <v>13</v>
      </c>
      <c r="R162" s="25">
        <v>13</v>
      </c>
      <c r="S162" s="25">
        <v>13</v>
      </c>
      <c r="T162" s="25">
        <v>13</v>
      </c>
      <c r="U162" s="25">
        <v>13</v>
      </c>
      <c r="V162" s="25">
        <v>13</v>
      </c>
      <c r="W162" s="25">
        <v>13</v>
      </c>
      <c r="X162" s="25">
        <v>13</v>
      </c>
      <c r="Y162" s="25">
        <v>13</v>
      </c>
      <c r="Z162" s="25">
        <v>13</v>
      </c>
      <c r="AA162" s="25">
        <v>13</v>
      </c>
      <c r="AB162" s="25">
        <v>13</v>
      </c>
      <c r="AC162" s="25">
        <v>13</v>
      </c>
      <c r="AD162" s="25">
        <v>13</v>
      </c>
      <c r="AE162" s="25">
        <v>13</v>
      </c>
      <c r="AF162" s="25">
        <v>13</v>
      </c>
      <c r="AG162" s="25">
        <v>13</v>
      </c>
      <c r="AH162" s="25">
        <v>13</v>
      </c>
      <c r="AI162" s="25">
        <v>13</v>
      </c>
      <c r="AJ162" s="25">
        <v>13</v>
      </c>
    </row>
    <row r="163" spans="1:36" x14ac:dyDescent="0.25">
      <c r="A163" s="77" t="s">
        <v>572</v>
      </c>
      <c r="B163" t="s">
        <v>305</v>
      </c>
      <c r="C163" s="25">
        <v>0</v>
      </c>
      <c r="D163" s="25">
        <v>0</v>
      </c>
      <c r="E163" s="25">
        <v>0</v>
      </c>
      <c r="F163" s="25">
        <v>0</v>
      </c>
      <c r="G163" s="25">
        <v>0</v>
      </c>
      <c r="H163" s="25">
        <v>0</v>
      </c>
      <c r="I163" s="25">
        <v>0</v>
      </c>
      <c r="J163" s="25">
        <v>0</v>
      </c>
      <c r="K163" s="25">
        <v>0</v>
      </c>
      <c r="L163" s="25">
        <v>0</v>
      </c>
      <c r="M163" s="25">
        <v>0</v>
      </c>
      <c r="N163" s="25">
        <v>0</v>
      </c>
      <c r="O163" s="25">
        <v>0</v>
      </c>
      <c r="P163" s="25">
        <v>0</v>
      </c>
      <c r="Q163" s="25">
        <v>0</v>
      </c>
      <c r="R163" s="25">
        <v>0</v>
      </c>
      <c r="S163" s="25">
        <v>0</v>
      </c>
      <c r="T163" s="25">
        <v>0</v>
      </c>
      <c r="U163" s="25">
        <v>0</v>
      </c>
      <c r="V163" s="25">
        <v>0</v>
      </c>
      <c r="W163" s="25">
        <v>0</v>
      </c>
      <c r="X163" s="25">
        <v>0</v>
      </c>
      <c r="Y163" s="25">
        <v>0</v>
      </c>
      <c r="Z163" s="25">
        <v>0</v>
      </c>
      <c r="AA163" s="25">
        <v>0</v>
      </c>
      <c r="AB163" s="25">
        <v>0</v>
      </c>
      <c r="AC163" s="25">
        <v>0</v>
      </c>
      <c r="AD163" s="25">
        <v>0</v>
      </c>
      <c r="AE163" s="25">
        <v>0</v>
      </c>
      <c r="AF163" s="25">
        <v>0</v>
      </c>
      <c r="AG163" s="25">
        <v>0</v>
      </c>
      <c r="AH163" s="25">
        <v>0</v>
      </c>
      <c r="AI163" s="25">
        <v>0</v>
      </c>
      <c r="AJ163" s="25">
        <v>0</v>
      </c>
    </row>
    <row r="164" spans="1:36" x14ac:dyDescent="0.25">
      <c r="A164" s="77" t="s">
        <v>573</v>
      </c>
      <c r="B164" t="s">
        <v>305</v>
      </c>
      <c r="C164" s="25">
        <v>3</v>
      </c>
      <c r="D164" s="25">
        <v>3</v>
      </c>
      <c r="E164" s="25">
        <v>3</v>
      </c>
      <c r="F164" s="25">
        <v>3</v>
      </c>
      <c r="G164" s="25">
        <v>3</v>
      </c>
      <c r="H164" s="25">
        <v>3</v>
      </c>
      <c r="I164" s="25">
        <v>3</v>
      </c>
      <c r="J164" s="25">
        <v>3</v>
      </c>
      <c r="K164" s="25">
        <v>3</v>
      </c>
      <c r="L164" s="25">
        <v>3</v>
      </c>
      <c r="M164" s="25">
        <v>3</v>
      </c>
      <c r="N164" s="25">
        <v>3</v>
      </c>
      <c r="O164" s="25">
        <v>3</v>
      </c>
      <c r="P164" s="25">
        <v>3</v>
      </c>
      <c r="Q164" s="25">
        <v>3</v>
      </c>
      <c r="R164" s="25">
        <v>3</v>
      </c>
      <c r="S164" s="25">
        <v>3</v>
      </c>
      <c r="T164" s="25">
        <v>3</v>
      </c>
      <c r="U164" s="25">
        <v>3</v>
      </c>
      <c r="V164" s="25">
        <v>3</v>
      </c>
      <c r="W164" s="25">
        <v>3</v>
      </c>
      <c r="X164" s="25">
        <v>3</v>
      </c>
      <c r="Y164" s="25">
        <v>3</v>
      </c>
      <c r="Z164" s="25">
        <v>3</v>
      </c>
      <c r="AA164" s="25">
        <v>3</v>
      </c>
      <c r="AB164" s="25">
        <v>3</v>
      </c>
      <c r="AC164" s="25">
        <v>3</v>
      </c>
      <c r="AD164" s="25">
        <v>3</v>
      </c>
      <c r="AE164" s="25">
        <v>3</v>
      </c>
      <c r="AF164" s="25">
        <v>3</v>
      </c>
      <c r="AG164" s="25">
        <v>3</v>
      </c>
      <c r="AH164" s="25">
        <v>3</v>
      </c>
      <c r="AI164" s="25">
        <v>3</v>
      </c>
      <c r="AJ164" s="25">
        <v>3</v>
      </c>
    </row>
    <row r="165" spans="1:36" x14ac:dyDescent="0.25">
      <c r="A165" s="77" t="s">
        <v>574</v>
      </c>
      <c r="B165" t="s">
        <v>305</v>
      </c>
      <c r="C165" s="25">
        <v>2</v>
      </c>
      <c r="D165" s="25">
        <v>2</v>
      </c>
      <c r="E165" s="25">
        <v>2</v>
      </c>
      <c r="F165" s="25">
        <v>2</v>
      </c>
      <c r="G165" s="25">
        <v>2</v>
      </c>
      <c r="H165" s="25">
        <v>2</v>
      </c>
      <c r="I165" s="25">
        <v>2</v>
      </c>
      <c r="J165" s="25">
        <v>2</v>
      </c>
      <c r="K165" s="25">
        <v>2</v>
      </c>
      <c r="L165" s="25">
        <v>2</v>
      </c>
      <c r="M165" s="25">
        <v>2</v>
      </c>
      <c r="N165" s="25">
        <v>2</v>
      </c>
      <c r="O165" s="25">
        <v>2</v>
      </c>
      <c r="P165" s="25">
        <v>2</v>
      </c>
      <c r="Q165" s="25">
        <v>2</v>
      </c>
      <c r="R165" s="25">
        <v>2</v>
      </c>
      <c r="S165" s="25">
        <v>2</v>
      </c>
      <c r="T165" s="25">
        <v>2</v>
      </c>
      <c r="U165" s="25">
        <v>2</v>
      </c>
      <c r="V165" s="25">
        <v>2</v>
      </c>
      <c r="W165" s="25">
        <v>2</v>
      </c>
      <c r="X165" s="25">
        <v>2</v>
      </c>
      <c r="Y165" s="25">
        <v>2</v>
      </c>
      <c r="Z165" s="25">
        <v>2</v>
      </c>
      <c r="AA165" s="25">
        <v>2</v>
      </c>
      <c r="AB165" s="25">
        <v>2</v>
      </c>
      <c r="AC165" s="25">
        <v>2</v>
      </c>
      <c r="AD165" s="25">
        <v>2</v>
      </c>
      <c r="AE165" s="25">
        <v>2</v>
      </c>
      <c r="AF165" s="25">
        <v>2</v>
      </c>
      <c r="AG165" s="25">
        <v>2</v>
      </c>
      <c r="AH165" s="25">
        <v>2</v>
      </c>
      <c r="AI165" s="25">
        <v>2</v>
      </c>
      <c r="AJ165" s="25">
        <v>2</v>
      </c>
    </row>
    <row r="166" spans="1:36" x14ac:dyDescent="0.25">
      <c r="A166" s="77" t="s">
        <v>575</v>
      </c>
      <c r="B166" t="s">
        <v>305</v>
      </c>
      <c r="C166" s="25">
        <v>0</v>
      </c>
      <c r="D166" s="25">
        <v>0</v>
      </c>
      <c r="E166" s="25">
        <v>0</v>
      </c>
      <c r="F166" s="25">
        <v>0</v>
      </c>
      <c r="G166" s="25">
        <v>0</v>
      </c>
      <c r="H166" s="25">
        <v>0</v>
      </c>
      <c r="I166" s="25">
        <v>0</v>
      </c>
      <c r="J166" s="25">
        <v>0</v>
      </c>
      <c r="K166" s="25">
        <v>0</v>
      </c>
      <c r="L166" s="25">
        <v>0</v>
      </c>
      <c r="M166" s="25">
        <v>0</v>
      </c>
      <c r="N166" s="25">
        <v>0</v>
      </c>
      <c r="O166" s="25">
        <v>0</v>
      </c>
      <c r="P166" s="25">
        <v>0</v>
      </c>
      <c r="Q166" s="25">
        <v>0</v>
      </c>
      <c r="R166" s="25">
        <v>0</v>
      </c>
      <c r="S166" s="25">
        <v>0</v>
      </c>
      <c r="T166" s="25">
        <v>0</v>
      </c>
      <c r="U166" s="25">
        <v>0</v>
      </c>
      <c r="V166" s="25">
        <v>0</v>
      </c>
      <c r="W166" s="25">
        <v>0</v>
      </c>
      <c r="X166" s="25">
        <v>0</v>
      </c>
      <c r="Y166" s="25">
        <v>0</v>
      </c>
      <c r="Z166" s="25">
        <v>0</v>
      </c>
      <c r="AA166" s="25">
        <v>0</v>
      </c>
      <c r="AB166" s="25">
        <v>0</v>
      </c>
      <c r="AC166" s="25">
        <v>0</v>
      </c>
      <c r="AD166" s="25">
        <v>0</v>
      </c>
      <c r="AE166" s="25">
        <v>0</v>
      </c>
      <c r="AF166" s="25">
        <v>0</v>
      </c>
      <c r="AG166" s="25">
        <v>0</v>
      </c>
      <c r="AH166" s="25">
        <v>0</v>
      </c>
      <c r="AI166" s="25">
        <v>0</v>
      </c>
      <c r="AJ166" s="25">
        <v>0</v>
      </c>
    </row>
    <row r="167" spans="1:36" x14ac:dyDescent="0.25">
      <c r="A167" s="77" t="s">
        <v>576</v>
      </c>
      <c r="B167" t="s">
        <v>305</v>
      </c>
      <c r="C167" s="25">
        <v>0</v>
      </c>
      <c r="D167" s="25">
        <v>0</v>
      </c>
      <c r="E167" s="25">
        <v>0</v>
      </c>
      <c r="F167" s="25">
        <v>0</v>
      </c>
      <c r="G167" s="25">
        <v>0</v>
      </c>
      <c r="H167" s="25">
        <v>0</v>
      </c>
      <c r="I167" s="25">
        <v>0</v>
      </c>
      <c r="J167" s="25">
        <v>0</v>
      </c>
      <c r="K167" s="25">
        <v>0</v>
      </c>
      <c r="L167" s="25">
        <v>0</v>
      </c>
      <c r="M167" s="25">
        <v>0</v>
      </c>
      <c r="N167" s="25">
        <v>0</v>
      </c>
      <c r="O167" s="25">
        <v>0</v>
      </c>
      <c r="P167" s="25">
        <v>0</v>
      </c>
      <c r="Q167" s="25">
        <v>0</v>
      </c>
      <c r="R167" s="25">
        <v>0</v>
      </c>
      <c r="S167" s="25">
        <v>0</v>
      </c>
      <c r="T167" s="25">
        <v>0</v>
      </c>
      <c r="U167" s="25">
        <v>0</v>
      </c>
      <c r="V167" s="25">
        <v>0</v>
      </c>
      <c r="W167" s="25">
        <v>0</v>
      </c>
      <c r="X167" s="25">
        <v>0</v>
      </c>
      <c r="Y167" s="25">
        <v>0</v>
      </c>
      <c r="Z167" s="25">
        <v>0</v>
      </c>
      <c r="AA167" s="25">
        <v>0</v>
      </c>
      <c r="AB167" s="25">
        <v>0</v>
      </c>
      <c r="AC167" s="25">
        <v>0</v>
      </c>
      <c r="AD167" s="25">
        <v>0</v>
      </c>
      <c r="AE167" s="25">
        <v>0</v>
      </c>
      <c r="AF167" s="25">
        <v>0</v>
      </c>
      <c r="AG167" s="25">
        <v>0</v>
      </c>
      <c r="AH167" s="25">
        <v>0</v>
      </c>
      <c r="AI167" s="25">
        <v>0</v>
      </c>
      <c r="AJ167" s="25">
        <v>0</v>
      </c>
    </row>
    <row r="168" spans="1:36" x14ac:dyDescent="0.25">
      <c r="A168" s="77" t="s">
        <v>577</v>
      </c>
      <c r="B168" t="s">
        <v>305</v>
      </c>
      <c r="C168" s="25">
        <v>0</v>
      </c>
      <c r="D168" s="25">
        <v>0</v>
      </c>
      <c r="E168" s="25">
        <v>0</v>
      </c>
      <c r="F168" s="25">
        <v>0</v>
      </c>
      <c r="G168" s="25">
        <v>0</v>
      </c>
      <c r="H168" s="25">
        <v>0</v>
      </c>
      <c r="I168" s="25">
        <v>0</v>
      </c>
      <c r="J168" s="25">
        <v>0</v>
      </c>
      <c r="K168" s="25">
        <v>0</v>
      </c>
      <c r="L168" s="25">
        <v>0</v>
      </c>
      <c r="M168" s="25">
        <v>0</v>
      </c>
      <c r="N168" s="25">
        <v>0</v>
      </c>
      <c r="O168" s="25">
        <v>0</v>
      </c>
      <c r="P168" s="25">
        <v>0</v>
      </c>
      <c r="Q168" s="25">
        <v>0</v>
      </c>
      <c r="R168" s="25">
        <v>0</v>
      </c>
      <c r="S168" s="25">
        <v>0</v>
      </c>
      <c r="T168" s="25">
        <v>0</v>
      </c>
      <c r="U168" s="25">
        <v>0</v>
      </c>
      <c r="V168" s="25">
        <v>0</v>
      </c>
      <c r="W168" s="25">
        <v>0</v>
      </c>
      <c r="X168" s="25">
        <v>0</v>
      </c>
      <c r="Y168" s="25">
        <v>0</v>
      </c>
      <c r="Z168" s="25">
        <v>0</v>
      </c>
      <c r="AA168" s="25">
        <v>0</v>
      </c>
      <c r="AB168" s="25">
        <v>0</v>
      </c>
      <c r="AC168" s="25">
        <v>0</v>
      </c>
      <c r="AD168" s="25">
        <v>0</v>
      </c>
      <c r="AE168" s="25">
        <v>0</v>
      </c>
      <c r="AF168" s="25">
        <v>0</v>
      </c>
      <c r="AG168" s="25">
        <v>0</v>
      </c>
      <c r="AH168" s="25">
        <v>0</v>
      </c>
      <c r="AI168" s="25">
        <v>0</v>
      </c>
      <c r="AJ168" s="25">
        <v>0</v>
      </c>
    </row>
    <row r="169" spans="1:36" x14ac:dyDescent="0.25">
      <c r="A169" s="77" t="s">
        <v>578</v>
      </c>
      <c r="B169" t="s">
        <v>305</v>
      </c>
      <c r="C169" s="25">
        <v>0</v>
      </c>
      <c r="D169" s="25">
        <v>0</v>
      </c>
      <c r="E169" s="25">
        <v>0</v>
      </c>
      <c r="F169" s="25">
        <v>0</v>
      </c>
      <c r="G169" s="25">
        <v>0</v>
      </c>
      <c r="H169" s="25">
        <v>0</v>
      </c>
      <c r="I169" s="25">
        <v>0</v>
      </c>
      <c r="J169" s="25">
        <v>0</v>
      </c>
      <c r="K169" s="25">
        <v>0</v>
      </c>
      <c r="L169" s="25">
        <v>0</v>
      </c>
      <c r="M169" s="25">
        <v>0</v>
      </c>
      <c r="N169" s="25">
        <v>0</v>
      </c>
      <c r="O169" s="25">
        <v>0</v>
      </c>
      <c r="P169" s="25">
        <v>0</v>
      </c>
      <c r="Q169" s="25">
        <v>0</v>
      </c>
      <c r="R169" s="25">
        <v>0</v>
      </c>
      <c r="S169" s="25">
        <v>0</v>
      </c>
      <c r="T169" s="25">
        <v>0</v>
      </c>
      <c r="U169" s="25">
        <v>0</v>
      </c>
      <c r="V169" s="25">
        <v>0</v>
      </c>
      <c r="W169" s="25">
        <v>0</v>
      </c>
      <c r="X169" s="25">
        <v>0</v>
      </c>
      <c r="Y169" s="25">
        <v>0</v>
      </c>
      <c r="Z169" s="25">
        <v>0</v>
      </c>
      <c r="AA169" s="25">
        <v>0</v>
      </c>
      <c r="AB169" s="25">
        <v>0</v>
      </c>
      <c r="AC169" s="25">
        <v>0</v>
      </c>
      <c r="AD169" s="25">
        <v>0</v>
      </c>
      <c r="AE169" s="25">
        <v>0</v>
      </c>
      <c r="AF169" s="25">
        <v>0</v>
      </c>
      <c r="AG169" s="25">
        <v>0</v>
      </c>
      <c r="AH169" s="25">
        <v>0</v>
      </c>
      <c r="AI169" s="25">
        <v>0</v>
      </c>
      <c r="AJ169" s="25">
        <v>0</v>
      </c>
    </row>
    <row r="170" spans="1:36" x14ac:dyDescent="0.25">
      <c r="A170" s="77" t="s">
        <v>763</v>
      </c>
      <c r="B170" t="s">
        <v>305</v>
      </c>
      <c r="C170" s="25">
        <v>0</v>
      </c>
      <c r="D170" s="25">
        <v>0</v>
      </c>
      <c r="E170" s="25">
        <v>0</v>
      </c>
      <c r="F170" s="25">
        <v>0</v>
      </c>
      <c r="G170" s="25">
        <v>0</v>
      </c>
      <c r="H170" s="25">
        <v>0</v>
      </c>
      <c r="I170" s="25">
        <v>0</v>
      </c>
      <c r="J170" s="25">
        <v>0</v>
      </c>
      <c r="K170" s="25">
        <v>0</v>
      </c>
      <c r="L170" s="25">
        <v>0</v>
      </c>
      <c r="M170" s="25">
        <v>0</v>
      </c>
      <c r="N170" s="25">
        <v>0</v>
      </c>
      <c r="O170" s="25">
        <v>0</v>
      </c>
      <c r="P170" s="25">
        <v>0</v>
      </c>
      <c r="Q170" s="25">
        <v>0</v>
      </c>
      <c r="R170" s="25">
        <v>0</v>
      </c>
      <c r="S170" s="25">
        <v>0</v>
      </c>
      <c r="T170" s="25">
        <v>0</v>
      </c>
      <c r="U170" s="25">
        <v>0</v>
      </c>
      <c r="V170" s="25">
        <v>0</v>
      </c>
      <c r="W170" s="25">
        <v>0</v>
      </c>
      <c r="X170" s="25">
        <v>0</v>
      </c>
      <c r="Y170" s="25">
        <v>0</v>
      </c>
      <c r="Z170" s="25">
        <v>0</v>
      </c>
      <c r="AA170" s="25">
        <v>0</v>
      </c>
      <c r="AB170" s="25">
        <v>0</v>
      </c>
      <c r="AC170" s="25">
        <v>0</v>
      </c>
      <c r="AD170" s="25">
        <v>0</v>
      </c>
      <c r="AE170" s="25">
        <v>0</v>
      </c>
      <c r="AF170" s="25">
        <v>0</v>
      </c>
      <c r="AG170" s="25">
        <v>0</v>
      </c>
      <c r="AH170" s="25">
        <v>0</v>
      </c>
      <c r="AI170" s="25">
        <v>0</v>
      </c>
      <c r="AJ170" s="25">
        <v>0</v>
      </c>
    </row>
    <row r="171" spans="1:36" s="78" customFormat="1" x14ac:dyDescent="0.25">
      <c r="A171" s="78" t="s">
        <v>780</v>
      </c>
      <c r="C171" s="79">
        <f>+SUM(C160:C170)</f>
        <v>100</v>
      </c>
      <c r="D171" s="79">
        <f t="shared" ref="D171" si="331">+SUM(D160:D170)</f>
        <v>100</v>
      </c>
      <c r="E171" s="79">
        <f t="shared" ref="E171" si="332">+SUM(E160:E170)</f>
        <v>100</v>
      </c>
      <c r="F171" s="79">
        <f t="shared" ref="F171" si="333">+SUM(F160:F170)</f>
        <v>100</v>
      </c>
      <c r="G171" s="79">
        <f t="shared" ref="G171" si="334">+SUM(G160:G170)</f>
        <v>100</v>
      </c>
      <c r="H171" s="79">
        <f t="shared" ref="H171" si="335">+SUM(H160:H170)</f>
        <v>100</v>
      </c>
      <c r="I171" s="79">
        <f t="shared" ref="I171" si="336">+SUM(I160:I170)</f>
        <v>100</v>
      </c>
      <c r="J171" s="79">
        <f t="shared" ref="J171" si="337">+SUM(J160:J170)</f>
        <v>100</v>
      </c>
      <c r="K171" s="79">
        <f t="shared" ref="K171" si="338">+SUM(K160:K170)</f>
        <v>100</v>
      </c>
      <c r="L171" s="79">
        <f t="shared" ref="L171" si="339">+SUM(L160:L170)</f>
        <v>100</v>
      </c>
      <c r="M171" s="79">
        <f t="shared" ref="M171" si="340">+SUM(M160:M170)</f>
        <v>100</v>
      </c>
      <c r="N171" s="79">
        <f t="shared" ref="N171" si="341">+SUM(N160:N170)</f>
        <v>100</v>
      </c>
      <c r="O171" s="79">
        <f t="shared" ref="O171" si="342">+SUM(O160:O170)</f>
        <v>100</v>
      </c>
      <c r="P171" s="79">
        <f t="shared" ref="P171" si="343">+SUM(P160:P170)</f>
        <v>100</v>
      </c>
      <c r="Q171" s="79">
        <f t="shared" ref="Q171" si="344">+SUM(Q160:Q170)</f>
        <v>100</v>
      </c>
      <c r="R171" s="79">
        <f t="shared" ref="R171" si="345">+SUM(R160:R170)</f>
        <v>100</v>
      </c>
      <c r="S171" s="79">
        <f t="shared" ref="S171" si="346">+SUM(S160:S170)</f>
        <v>100</v>
      </c>
      <c r="T171" s="79">
        <f t="shared" ref="T171" si="347">+SUM(T160:T170)</f>
        <v>100</v>
      </c>
      <c r="U171" s="79">
        <f t="shared" ref="U171" si="348">+SUM(U160:U170)</f>
        <v>100</v>
      </c>
      <c r="V171" s="79">
        <f t="shared" ref="V171" si="349">+SUM(V160:V170)</f>
        <v>100</v>
      </c>
      <c r="W171" s="79">
        <f t="shared" ref="W171" si="350">+SUM(W160:W170)</f>
        <v>100</v>
      </c>
      <c r="X171" s="79">
        <f t="shared" ref="X171" si="351">+SUM(X160:X170)</f>
        <v>100</v>
      </c>
      <c r="Y171" s="79">
        <f t="shared" ref="Y171" si="352">+SUM(Y160:Y170)</f>
        <v>100</v>
      </c>
      <c r="Z171" s="79">
        <f t="shared" ref="Z171" si="353">+SUM(Z160:Z170)</f>
        <v>100</v>
      </c>
      <c r="AA171" s="79">
        <f t="shared" ref="AA171" si="354">+SUM(AA160:AA170)</f>
        <v>100</v>
      </c>
      <c r="AB171" s="79">
        <f t="shared" ref="AB171" si="355">+SUM(AB160:AB170)</f>
        <v>100</v>
      </c>
      <c r="AC171" s="79">
        <f t="shared" ref="AC171" si="356">+SUM(AC160:AC170)</f>
        <v>100</v>
      </c>
      <c r="AD171" s="79">
        <f t="shared" ref="AD171" si="357">+SUM(AD160:AD170)</f>
        <v>100</v>
      </c>
      <c r="AE171" s="79">
        <f t="shared" ref="AE171" si="358">+SUM(AE160:AE170)</f>
        <v>100</v>
      </c>
      <c r="AF171" s="79">
        <f t="shared" ref="AF171" si="359">+SUM(AF160:AF170)</f>
        <v>100</v>
      </c>
      <c r="AG171" s="79">
        <f t="shared" ref="AG171" si="360">+SUM(AG160:AG170)</f>
        <v>100</v>
      </c>
      <c r="AH171" s="79">
        <f t="shared" ref="AH171" si="361">+SUM(AH160:AH170)</f>
        <v>100</v>
      </c>
      <c r="AI171" s="79">
        <f t="shared" ref="AI171" si="362">+SUM(AI160:AI170)</f>
        <v>100</v>
      </c>
      <c r="AJ171" s="79">
        <f t="shared" ref="AJ171" si="363">+SUM(AJ160:AJ170)</f>
        <v>100</v>
      </c>
    </row>
    <row r="172" spans="1:36" x14ac:dyDescent="0.25">
      <c r="A172" t="s">
        <v>579</v>
      </c>
      <c r="B172" t="s">
        <v>305</v>
      </c>
      <c r="C172" s="25">
        <v>25</v>
      </c>
      <c r="D172" s="25">
        <v>25</v>
      </c>
      <c r="E172" s="25">
        <v>25</v>
      </c>
      <c r="F172" s="25">
        <v>25</v>
      </c>
      <c r="G172" s="25">
        <v>25</v>
      </c>
      <c r="H172" s="25">
        <v>25</v>
      </c>
      <c r="I172" s="25">
        <v>25</v>
      </c>
      <c r="J172" s="25">
        <v>25</v>
      </c>
      <c r="K172" s="25">
        <v>25</v>
      </c>
      <c r="L172" s="25">
        <v>25</v>
      </c>
      <c r="M172" s="25">
        <v>25</v>
      </c>
      <c r="N172" s="25">
        <v>25</v>
      </c>
      <c r="O172" s="25">
        <v>25</v>
      </c>
      <c r="P172" s="25">
        <v>25</v>
      </c>
      <c r="Q172" s="25">
        <v>25</v>
      </c>
      <c r="R172" s="25">
        <v>25</v>
      </c>
      <c r="S172" s="25">
        <v>25</v>
      </c>
      <c r="T172" s="25">
        <v>25</v>
      </c>
      <c r="U172" s="25">
        <v>25</v>
      </c>
      <c r="V172" s="25">
        <v>25</v>
      </c>
      <c r="W172" s="25">
        <v>25</v>
      </c>
      <c r="X172" s="25">
        <v>25</v>
      </c>
      <c r="Y172" s="25">
        <v>25</v>
      </c>
      <c r="Z172" s="25">
        <v>25</v>
      </c>
      <c r="AA172" s="25">
        <v>25</v>
      </c>
      <c r="AB172" s="25">
        <v>25</v>
      </c>
      <c r="AC172" s="25">
        <v>25</v>
      </c>
      <c r="AD172" s="25">
        <v>25</v>
      </c>
      <c r="AE172" s="25">
        <v>25</v>
      </c>
      <c r="AF172" s="25">
        <v>25</v>
      </c>
      <c r="AG172" s="25">
        <v>25</v>
      </c>
      <c r="AH172" s="25">
        <v>25</v>
      </c>
      <c r="AI172" s="25">
        <v>25</v>
      </c>
      <c r="AJ172" s="25">
        <v>25</v>
      </c>
    </row>
    <row r="173" spans="1:36" x14ac:dyDescent="0.25">
      <c r="A173" t="s">
        <v>580</v>
      </c>
      <c r="B173" t="s">
        <v>305</v>
      </c>
      <c r="C173" s="25">
        <v>10</v>
      </c>
      <c r="D173" s="25">
        <v>10</v>
      </c>
      <c r="E173" s="25">
        <v>10</v>
      </c>
      <c r="F173" s="25">
        <v>10</v>
      </c>
      <c r="G173" s="25">
        <v>10</v>
      </c>
      <c r="H173" s="25">
        <v>10</v>
      </c>
      <c r="I173" s="25">
        <v>10</v>
      </c>
      <c r="J173" s="25">
        <v>10</v>
      </c>
      <c r="K173" s="25">
        <v>10</v>
      </c>
      <c r="L173" s="25">
        <v>10</v>
      </c>
      <c r="M173" s="25">
        <v>10</v>
      </c>
      <c r="N173" s="25">
        <v>10</v>
      </c>
      <c r="O173" s="25">
        <v>10</v>
      </c>
      <c r="P173" s="25">
        <v>10</v>
      </c>
      <c r="Q173" s="25">
        <v>10</v>
      </c>
      <c r="R173" s="25">
        <v>10</v>
      </c>
      <c r="S173" s="25">
        <v>10</v>
      </c>
      <c r="T173" s="25">
        <v>10</v>
      </c>
      <c r="U173" s="25">
        <v>10</v>
      </c>
      <c r="V173" s="25">
        <v>10</v>
      </c>
      <c r="W173" s="25">
        <v>10</v>
      </c>
      <c r="X173" s="25">
        <v>10</v>
      </c>
      <c r="Y173" s="25">
        <v>10</v>
      </c>
      <c r="Z173" s="25">
        <v>10</v>
      </c>
      <c r="AA173" s="25">
        <v>10</v>
      </c>
      <c r="AB173" s="25">
        <v>10</v>
      </c>
      <c r="AC173" s="25">
        <v>10</v>
      </c>
      <c r="AD173" s="25">
        <v>10</v>
      </c>
      <c r="AE173" s="25">
        <v>10</v>
      </c>
      <c r="AF173" s="25">
        <v>10</v>
      </c>
      <c r="AG173" s="25">
        <v>10</v>
      </c>
      <c r="AH173" s="25">
        <v>10</v>
      </c>
      <c r="AI173" s="25">
        <v>10</v>
      </c>
      <c r="AJ173" s="25">
        <v>10</v>
      </c>
    </row>
    <row r="174" spans="1:36" x14ac:dyDescent="0.25">
      <c r="A174" t="s">
        <v>581</v>
      </c>
      <c r="B174" t="s">
        <v>305</v>
      </c>
      <c r="C174" s="25">
        <v>35</v>
      </c>
      <c r="D174" s="25">
        <v>35</v>
      </c>
      <c r="E174" s="25">
        <v>35</v>
      </c>
      <c r="F174" s="25">
        <v>35</v>
      </c>
      <c r="G174" s="25">
        <v>35</v>
      </c>
      <c r="H174" s="25">
        <v>35</v>
      </c>
      <c r="I174" s="25">
        <v>35</v>
      </c>
      <c r="J174" s="25">
        <v>35</v>
      </c>
      <c r="K174" s="25">
        <v>35</v>
      </c>
      <c r="L174" s="25">
        <v>35</v>
      </c>
      <c r="M174" s="25">
        <v>35</v>
      </c>
      <c r="N174" s="25">
        <v>35</v>
      </c>
      <c r="O174" s="25">
        <v>35</v>
      </c>
      <c r="P174" s="25">
        <v>35</v>
      </c>
      <c r="Q174" s="25">
        <v>35</v>
      </c>
      <c r="R174" s="25">
        <v>35</v>
      </c>
      <c r="S174" s="25">
        <v>35</v>
      </c>
      <c r="T174" s="25">
        <v>35</v>
      </c>
      <c r="U174" s="25">
        <v>35</v>
      </c>
      <c r="V174" s="25">
        <v>35</v>
      </c>
      <c r="W174" s="25">
        <v>35</v>
      </c>
      <c r="X174" s="25">
        <v>35</v>
      </c>
      <c r="Y174" s="25">
        <v>35</v>
      </c>
      <c r="Z174" s="25">
        <v>35</v>
      </c>
      <c r="AA174" s="25">
        <v>35</v>
      </c>
      <c r="AB174" s="25">
        <v>35</v>
      </c>
      <c r="AC174" s="25">
        <v>35</v>
      </c>
      <c r="AD174" s="25">
        <v>35</v>
      </c>
      <c r="AE174" s="25">
        <v>35</v>
      </c>
      <c r="AF174" s="25">
        <v>35</v>
      </c>
      <c r="AG174" s="25">
        <v>35</v>
      </c>
      <c r="AH174" s="25">
        <v>35</v>
      </c>
      <c r="AI174" s="25">
        <v>35</v>
      </c>
      <c r="AJ174" s="25">
        <v>35</v>
      </c>
    </row>
    <row r="175" spans="1:36" x14ac:dyDescent="0.25">
      <c r="A175" t="s">
        <v>582</v>
      </c>
      <c r="B175" t="s">
        <v>305</v>
      </c>
      <c r="C175" s="25">
        <v>0</v>
      </c>
      <c r="D175" s="25">
        <v>0</v>
      </c>
      <c r="E175" s="25">
        <v>0</v>
      </c>
      <c r="F175" s="25">
        <v>0</v>
      </c>
      <c r="G175" s="25">
        <v>0</v>
      </c>
      <c r="H175" s="25">
        <v>0</v>
      </c>
      <c r="I175" s="25">
        <v>0</v>
      </c>
      <c r="J175" s="25">
        <v>0</v>
      </c>
      <c r="K175" s="25">
        <v>0</v>
      </c>
      <c r="L175" s="25">
        <v>0</v>
      </c>
      <c r="M175" s="25">
        <v>0</v>
      </c>
      <c r="N175" s="25">
        <v>0</v>
      </c>
      <c r="O175" s="25">
        <v>0</v>
      </c>
      <c r="P175" s="25">
        <v>0</v>
      </c>
      <c r="Q175" s="25">
        <v>0</v>
      </c>
      <c r="R175" s="25">
        <v>0</v>
      </c>
      <c r="S175" s="25">
        <v>0</v>
      </c>
      <c r="T175" s="25">
        <v>0</v>
      </c>
      <c r="U175" s="25">
        <v>0</v>
      </c>
      <c r="V175" s="25">
        <v>0</v>
      </c>
      <c r="W175" s="25">
        <v>0</v>
      </c>
      <c r="X175" s="25">
        <v>0</v>
      </c>
      <c r="Y175" s="25">
        <v>0</v>
      </c>
      <c r="Z175" s="25">
        <v>0</v>
      </c>
      <c r="AA175" s="25">
        <v>0</v>
      </c>
      <c r="AB175" s="25">
        <v>0</v>
      </c>
      <c r="AC175" s="25">
        <v>0</v>
      </c>
      <c r="AD175" s="25">
        <v>0</v>
      </c>
      <c r="AE175" s="25">
        <v>0</v>
      </c>
      <c r="AF175" s="25">
        <v>0</v>
      </c>
      <c r="AG175" s="25">
        <v>0</v>
      </c>
      <c r="AH175" s="25">
        <v>0</v>
      </c>
      <c r="AI175" s="25">
        <v>0</v>
      </c>
      <c r="AJ175" s="25">
        <v>0</v>
      </c>
    </row>
    <row r="176" spans="1:36" x14ac:dyDescent="0.25">
      <c r="A176" t="s">
        <v>583</v>
      </c>
      <c r="B176" t="s">
        <v>305</v>
      </c>
      <c r="C176" s="25">
        <v>28</v>
      </c>
      <c r="D176" s="25">
        <v>28</v>
      </c>
      <c r="E176" s="25">
        <v>28</v>
      </c>
      <c r="F176" s="25">
        <v>28</v>
      </c>
      <c r="G176" s="25">
        <v>28</v>
      </c>
      <c r="H176" s="25">
        <v>28</v>
      </c>
      <c r="I176" s="25">
        <v>28</v>
      </c>
      <c r="J176" s="25">
        <v>28</v>
      </c>
      <c r="K176" s="25">
        <v>28</v>
      </c>
      <c r="L176" s="25">
        <v>28</v>
      </c>
      <c r="M176" s="25">
        <v>28</v>
      </c>
      <c r="N176" s="25">
        <v>28</v>
      </c>
      <c r="O176" s="25">
        <v>28</v>
      </c>
      <c r="P176" s="25">
        <v>28</v>
      </c>
      <c r="Q176" s="25">
        <v>28</v>
      </c>
      <c r="R176" s="25">
        <v>28</v>
      </c>
      <c r="S176" s="25">
        <v>28</v>
      </c>
      <c r="T176" s="25">
        <v>28</v>
      </c>
      <c r="U176" s="25">
        <v>28</v>
      </c>
      <c r="V176" s="25">
        <v>28</v>
      </c>
      <c r="W176" s="25">
        <v>28</v>
      </c>
      <c r="X176" s="25">
        <v>28</v>
      </c>
      <c r="Y176" s="25">
        <v>28</v>
      </c>
      <c r="Z176" s="25">
        <v>28</v>
      </c>
      <c r="AA176" s="25">
        <v>28</v>
      </c>
      <c r="AB176" s="25">
        <v>28</v>
      </c>
      <c r="AC176" s="25">
        <v>28</v>
      </c>
      <c r="AD176" s="25">
        <v>28</v>
      </c>
      <c r="AE176" s="25">
        <v>28</v>
      </c>
      <c r="AF176" s="25">
        <v>28</v>
      </c>
      <c r="AG176" s="25">
        <v>28</v>
      </c>
      <c r="AH176" s="25">
        <v>28</v>
      </c>
      <c r="AI176" s="25">
        <v>28</v>
      </c>
      <c r="AJ176" s="25">
        <v>28</v>
      </c>
    </row>
    <row r="177" spans="1:36" x14ac:dyDescent="0.25">
      <c r="A177" t="s">
        <v>584</v>
      </c>
      <c r="B177" t="s">
        <v>305</v>
      </c>
      <c r="C177" s="25">
        <v>2</v>
      </c>
      <c r="D177" s="25">
        <v>2</v>
      </c>
      <c r="E177" s="25">
        <v>2</v>
      </c>
      <c r="F177" s="25">
        <v>2</v>
      </c>
      <c r="G177" s="25">
        <v>2</v>
      </c>
      <c r="H177" s="25">
        <v>2</v>
      </c>
      <c r="I177" s="25">
        <v>2</v>
      </c>
      <c r="J177" s="25">
        <v>2</v>
      </c>
      <c r="K177" s="25">
        <v>2</v>
      </c>
      <c r="L177" s="25">
        <v>2</v>
      </c>
      <c r="M177" s="25">
        <v>2</v>
      </c>
      <c r="N177" s="25">
        <v>2</v>
      </c>
      <c r="O177" s="25">
        <v>2</v>
      </c>
      <c r="P177" s="25">
        <v>2</v>
      </c>
      <c r="Q177" s="25">
        <v>2</v>
      </c>
      <c r="R177" s="25">
        <v>2</v>
      </c>
      <c r="S177" s="25">
        <v>2</v>
      </c>
      <c r="T177" s="25">
        <v>2</v>
      </c>
      <c r="U177" s="25">
        <v>2</v>
      </c>
      <c r="V177" s="25">
        <v>2</v>
      </c>
      <c r="W177" s="25">
        <v>2</v>
      </c>
      <c r="X177" s="25">
        <v>2</v>
      </c>
      <c r="Y177" s="25">
        <v>2</v>
      </c>
      <c r="Z177" s="25">
        <v>2</v>
      </c>
      <c r="AA177" s="25">
        <v>2</v>
      </c>
      <c r="AB177" s="25">
        <v>2</v>
      </c>
      <c r="AC177" s="25">
        <v>2</v>
      </c>
      <c r="AD177" s="25">
        <v>2</v>
      </c>
      <c r="AE177" s="25">
        <v>2</v>
      </c>
      <c r="AF177" s="25">
        <v>2</v>
      </c>
      <c r="AG177" s="25">
        <v>2</v>
      </c>
      <c r="AH177" s="25">
        <v>2</v>
      </c>
      <c r="AI177" s="25">
        <v>2</v>
      </c>
      <c r="AJ177" s="25">
        <v>2</v>
      </c>
    </row>
    <row r="178" spans="1:36" x14ac:dyDescent="0.25">
      <c r="A178" t="s">
        <v>585</v>
      </c>
      <c r="B178" t="s">
        <v>305</v>
      </c>
      <c r="C178" s="25">
        <v>0</v>
      </c>
      <c r="D178" s="25">
        <v>0</v>
      </c>
      <c r="E178" s="25">
        <v>0</v>
      </c>
      <c r="F178" s="25">
        <v>0</v>
      </c>
      <c r="G178" s="25">
        <v>0</v>
      </c>
      <c r="H178" s="25">
        <v>0</v>
      </c>
      <c r="I178" s="25">
        <v>0</v>
      </c>
      <c r="J178" s="25">
        <v>0</v>
      </c>
      <c r="K178" s="25">
        <v>0</v>
      </c>
      <c r="L178" s="25">
        <v>0</v>
      </c>
      <c r="M178" s="25">
        <v>0</v>
      </c>
      <c r="N178" s="25">
        <v>0</v>
      </c>
      <c r="O178" s="25">
        <v>0</v>
      </c>
      <c r="P178" s="25">
        <v>0</v>
      </c>
      <c r="Q178" s="25">
        <v>0</v>
      </c>
      <c r="R178" s="25">
        <v>0</v>
      </c>
      <c r="S178" s="25">
        <v>0</v>
      </c>
      <c r="T178" s="25">
        <v>0</v>
      </c>
      <c r="U178" s="25">
        <v>0</v>
      </c>
      <c r="V178" s="25">
        <v>0</v>
      </c>
      <c r="W178" s="25">
        <v>0</v>
      </c>
      <c r="X178" s="25">
        <v>0</v>
      </c>
      <c r="Y178" s="25">
        <v>0</v>
      </c>
      <c r="Z178" s="25">
        <v>0</v>
      </c>
      <c r="AA178" s="25">
        <v>0</v>
      </c>
      <c r="AB178" s="25">
        <v>0</v>
      </c>
      <c r="AC178" s="25">
        <v>0</v>
      </c>
      <c r="AD178" s="25">
        <v>0</v>
      </c>
      <c r="AE178" s="25">
        <v>0</v>
      </c>
      <c r="AF178" s="25">
        <v>0</v>
      </c>
      <c r="AG178" s="25">
        <v>0</v>
      </c>
      <c r="AH178" s="25">
        <v>0</v>
      </c>
      <c r="AI178" s="25">
        <v>0</v>
      </c>
      <c r="AJ178" s="25">
        <v>0</v>
      </c>
    </row>
    <row r="179" spans="1:36" x14ac:dyDescent="0.25">
      <c r="A179" t="s">
        <v>586</v>
      </c>
      <c r="B179" t="s">
        <v>305</v>
      </c>
      <c r="C179" s="25">
        <v>0</v>
      </c>
      <c r="D179" s="25">
        <v>0</v>
      </c>
      <c r="E179" s="25">
        <v>0</v>
      </c>
      <c r="F179" s="25">
        <v>0</v>
      </c>
      <c r="G179" s="25">
        <v>0</v>
      </c>
      <c r="H179" s="25">
        <v>0</v>
      </c>
      <c r="I179" s="25">
        <v>0</v>
      </c>
      <c r="J179" s="25">
        <v>0</v>
      </c>
      <c r="K179" s="25">
        <v>0</v>
      </c>
      <c r="L179" s="25">
        <v>0</v>
      </c>
      <c r="M179" s="25">
        <v>0</v>
      </c>
      <c r="N179" s="25">
        <v>0</v>
      </c>
      <c r="O179" s="25">
        <v>0</v>
      </c>
      <c r="P179" s="25">
        <v>0</v>
      </c>
      <c r="Q179" s="25">
        <v>0</v>
      </c>
      <c r="R179" s="25">
        <v>0</v>
      </c>
      <c r="S179" s="25">
        <v>0</v>
      </c>
      <c r="T179" s="25">
        <v>0</v>
      </c>
      <c r="U179" s="25">
        <v>0</v>
      </c>
      <c r="V179" s="25">
        <v>0</v>
      </c>
      <c r="W179" s="25">
        <v>0</v>
      </c>
      <c r="X179" s="25">
        <v>0</v>
      </c>
      <c r="Y179" s="25">
        <v>0</v>
      </c>
      <c r="Z179" s="25">
        <v>0</v>
      </c>
      <c r="AA179" s="25">
        <v>0</v>
      </c>
      <c r="AB179" s="25">
        <v>0</v>
      </c>
      <c r="AC179" s="25">
        <v>0</v>
      </c>
      <c r="AD179" s="25">
        <v>0</v>
      </c>
      <c r="AE179" s="25">
        <v>0</v>
      </c>
      <c r="AF179" s="25">
        <v>0</v>
      </c>
      <c r="AG179" s="25">
        <v>0</v>
      </c>
      <c r="AH179" s="25">
        <v>0</v>
      </c>
      <c r="AI179" s="25">
        <v>0</v>
      </c>
      <c r="AJ179" s="25">
        <v>0</v>
      </c>
    </row>
    <row r="180" spans="1:36" x14ac:dyDescent="0.25">
      <c r="A180" t="s">
        <v>587</v>
      </c>
      <c r="B180" t="s">
        <v>305</v>
      </c>
      <c r="C180" s="25">
        <v>0</v>
      </c>
      <c r="D180" s="25">
        <v>0</v>
      </c>
      <c r="E180" s="25">
        <v>0</v>
      </c>
      <c r="F180" s="25">
        <v>0</v>
      </c>
      <c r="G180" s="25">
        <v>0</v>
      </c>
      <c r="H180" s="25">
        <v>0</v>
      </c>
      <c r="I180" s="25">
        <v>0</v>
      </c>
      <c r="J180" s="25">
        <v>0</v>
      </c>
      <c r="K180" s="25">
        <v>0</v>
      </c>
      <c r="L180" s="25">
        <v>0</v>
      </c>
      <c r="M180" s="25">
        <v>0</v>
      </c>
      <c r="N180" s="25">
        <v>0</v>
      </c>
      <c r="O180" s="25">
        <v>0</v>
      </c>
      <c r="P180" s="25">
        <v>0</v>
      </c>
      <c r="Q180" s="25">
        <v>0</v>
      </c>
      <c r="R180" s="25">
        <v>0</v>
      </c>
      <c r="S180" s="25">
        <v>0</v>
      </c>
      <c r="T180" s="25">
        <v>0</v>
      </c>
      <c r="U180" s="25">
        <v>0</v>
      </c>
      <c r="V180" s="25">
        <v>0</v>
      </c>
      <c r="W180" s="25">
        <v>0</v>
      </c>
      <c r="X180" s="25">
        <v>0</v>
      </c>
      <c r="Y180" s="25">
        <v>0</v>
      </c>
      <c r="Z180" s="25">
        <v>0</v>
      </c>
      <c r="AA180" s="25">
        <v>0</v>
      </c>
      <c r="AB180" s="25">
        <v>0</v>
      </c>
      <c r="AC180" s="25">
        <v>0</v>
      </c>
      <c r="AD180" s="25">
        <v>0</v>
      </c>
      <c r="AE180" s="25">
        <v>0</v>
      </c>
      <c r="AF180" s="25">
        <v>0</v>
      </c>
      <c r="AG180" s="25">
        <v>0</v>
      </c>
      <c r="AH180" s="25">
        <v>0</v>
      </c>
      <c r="AI180" s="25">
        <v>0</v>
      </c>
      <c r="AJ180" s="25">
        <v>0</v>
      </c>
    </row>
    <row r="181" spans="1:36" x14ac:dyDescent="0.25">
      <c r="A181" t="s">
        <v>588</v>
      </c>
      <c r="B181" t="s">
        <v>305</v>
      </c>
      <c r="C181" s="25">
        <v>0</v>
      </c>
      <c r="D181" s="25">
        <v>0</v>
      </c>
      <c r="E181" s="25">
        <v>0</v>
      </c>
      <c r="F181" s="25">
        <v>0</v>
      </c>
      <c r="G181" s="25">
        <v>0</v>
      </c>
      <c r="H181" s="25">
        <v>0</v>
      </c>
      <c r="I181" s="25">
        <v>0</v>
      </c>
      <c r="J181" s="25">
        <v>0</v>
      </c>
      <c r="K181" s="25">
        <v>0</v>
      </c>
      <c r="L181" s="25">
        <v>0</v>
      </c>
      <c r="M181" s="25">
        <v>0</v>
      </c>
      <c r="N181" s="25">
        <v>0</v>
      </c>
      <c r="O181" s="25">
        <v>0</v>
      </c>
      <c r="P181" s="25">
        <v>0</v>
      </c>
      <c r="Q181" s="25">
        <v>0</v>
      </c>
      <c r="R181" s="25">
        <v>0</v>
      </c>
      <c r="S181" s="25">
        <v>0</v>
      </c>
      <c r="T181" s="25">
        <v>0</v>
      </c>
      <c r="U181" s="25">
        <v>0</v>
      </c>
      <c r="V181" s="25">
        <v>0</v>
      </c>
      <c r="W181" s="25">
        <v>0</v>
      </c>
      <c r="X181" s="25">
        <v>0</v>
      </c>
      <c r="Y181" s="25">
        <v>0</v>
      </c>
      <c r="Z181" s="25">
        <v>0</v>
      </c>
      <c r="AA181" s="25">
        <v>0</v>
      </c>
      <c r="AB181" s="25">
        <v>0</v>
      </c>
      <c r="AC181" s="25">
        <v>0</v>
      </c>
      <c r="AD181" s="25">
        <v>0</v>
      </c>
      <c r="AE181" s="25">
        <v>0</v>
      </c>
      <c r="AF181" s="25">
        <v>0</v>
      </c>
      <c r="AG181" s="25">
        <v>0</v>
      </c>
      <c r="AH181" s="25">
        <v>0</v>
      </c>
      <c r="AI181" s="25">
        <v>0</v>
      </c>
      <c r="AJ181" s="25">
        <v>0</v>
      </c>
    </row>
    <row r="182" spans="1:36" x14ac:dyDescent="0.25">
      <c r="A182" t="s">
        <v>764</v>
      </c>
      <c r="B182" t="s">
        <v>305</v>
      </c>
      <c r="C182" s="25">
        <v>0</v>
      </c>
      <c r="D182" s="25">
        <v>0</v>
      </c>
      <c r="E182" s="25">
        <v>0</v>
      </c>
      <c r="F182" s="25">
        <v>0</v>
      </c>
      <c r="G182" s="25">
        <v>0</v>
      </c>
      <c r="H182" s="25">
        <v>0</v>
      </c>
      <c r="I182" s="25">
        <v>0</v>
      </c>
      <c r="J182" s="25">
        <v>0</v>
      </c>
      <c r="K182" s="25">
        <v>0</v>
      </c>
      <c r="L182" s="25">
        <v>0</v>
      </c>
      <c r="M182" s="25">
        <v>0</v>
      </c>
      <c r="N182" s="25">
        <v>0</v>
      </c>
      <c r="O182" s="25">
        <v>0</v>
      </c>
      <c r="P182" s="25">
        <v>0</v>
      </c>
      <c r="Q182" s="25">
        <v>0</v>
      </c>
      <c r="R182" s="25">
        <v>0</v>
      </c>
      <c r="S182" s="25">
        <v>0</v>
      </c>
      <c r="T182" s="25">
        <v>0</v>
      </c>
      <c r="U182" s="25">
        <v>0</v>
      </c>
      <c r="V182" s="25">
        <v>0</v>
      </c>
      <c r="W182" s="25">
        <v>0</v>
      </c>
      <c r="X182" s="25">
        <v>0</v>
      </c>
      <c r="Y182" s="25">
        <v>0</v>
      </c>
      <c r="Z182" s="25">
        <v>0</v>
      </c>
      <c r="AA182" s="25">
        <v>0</v>
      </c>
      <c r="AB182" s="25">
        <v>0</v>
      </c>
      <c r="AC182" s="25">
        <v>0</v>
      </c>
      <c r="AD182" s="25">
        <v>0</v>
      </c>
      <c r="AE182" s="25">
        <v>0</v>
      </c>
      <c r="AF182" s="25">
        <v>0</v>
      </c>
      <c r="AG182" s="25">
        <v>0</v>
      </c>
      <c r="AH182" s="25">
        <v>0</v>
      </c>
      <c r="AI182" s="25">
        <v>0</v>
      </c>
      <c r="AJ182" s="25">
        <v>0</v>
      </c>
    </row>
    <row r="183" spans="1:36" s="78" customFormat="1" x14ac:dyDescent="0.25">
      <c r="A183" s="78" t="s">
        <v>780</v>
      </c>
      <c r="C183" s="79">
        <f>+SUM(C172:C182)</f>
        <v>100</v>
      </c>
      <c r="D183" s="79">
        <f t="shared" ref="D183" si="364">+SUM(D172:D182)</f>
        <v>100</v>
      </c>
      <c r="E183" s="79">
        <f t="shared" ref="E183" si="365">+SUM(E172:E182)</f>
        <v>100</v>
      </c>
      <c r="F183" s="79">
        <f t="shared" ref="F183" si="366">+SUM(F172:F182)</f>
        <v>100</v>
      </c>
      <c r="G183" s="79">
        <f t="shared" ref="G183" si="367">+SUM(G172:G182)</f>
        <v>100</v>
      </c>
      <c r="H183" s="79">
        <f t="shared" ref="H183" si="368">+SUM(H172:H182)</f>
        <v>100</v>
      </c>
      <c r="I183" s="79">
        <f t="shared" ref="I183" si="369">+SUM(I172:I182)</f>
        <v>100</v>
      </c>
      <c r="J183" s="79">
        <f t="shared" ref="J183" si="370">+SUM(J172:J182)</f>
        <v>100</v>
      </c>
      <c r="K183" s="79">
        <f t="shared" ref="K183" si="371">+SUM(K172:K182)</f>
        <v>100</v>
      </c>
      <c r="L183" s="79">
        <f t="shared" ref="L183" si="372">+SUM(L172:L182)</f>
        <v>100</v>
      </c>
      <c r="M183" s="79">
        <f t="shared" ref="M183" si="373">+SUM(M172:M182)</f>
        <v>100</v>
      </c>
      <c r="N183" s="79">
        <f t="shared" ref="N183" si="374">+SUM(N172:N182)</f>
        <v>100</v>
      </c>
      <c r="O183" s="79">
        <f t="shared" ref="O183" si="375">+SUM(O172:O182)</f>
        <v>100</v>
      </c>
      <c r="P183" s="79">
        <f t="shared" ref="P183" si="376">+SUM(P172:P182)</f>
        <v>100</v>
      </c>
      <c r="Q183" s="79">
        <f t="shared" ref="Q183" si="377">+SUM(Q172:Q182)</f>
        <v>100</v>
      </c>
      <c r="R183" s="79">
        <f t="shared" ref="R183" si="378">+SUM(R172:R182)</f>
        <v>100</v>
      </c>
      <c r="S183" s="79">
        <f t="shared" ref="S183" si="379">+SUM(S172:S182)</f>
        <v>100</v>
      </c>
      <c r="T183" s="79">
        <f t="shared" ref="T183" si="380">+SUM(T172:T182)</f>
        <v>100</v>
      </c>
      <c r="U183" s="79">
        <f t="shared" ref="U183" si="381">+SUM(U172:U182)</f>
        <v>100</v>
      </c>
      <c r="V183" s="79">
        <f t="shared" ref="V183" si="382">+SUM(V172:V182)</f>
        <v>100</v>
      </c>
      <c r="W183" s="79">
        <f t="shared" ref="W183" si="383">+SUM(W172:W182)</f>
        <v>100</v>
      </c>
      <c r="X183" s="79">
        <f t="shared" ref="X183" si="384">+SUM(X172:X182)</f>
        <v>100</v>
      </c>
      <c r="Y183" s="79">
        <f t="shared" ref="Y183" si="385">+SUM(Y172:Y182)</f>
        <v>100</v>
      </c>
      <c r="Z183" s="79">
        <f t="shared" ref="Z183" si="386">+SUM(Z172:Z182)</f>
        <v>100</v>
      </c>
      <c r="AA183" s="79">
        <f t="shared" ref="AA183" si="387">+SUM(AA172:AA182)</f>
        <v>100</v>
      </c>
      <c r="AB183" s="79">
        <f t="shared" ref="AB183" si="388">+SUM(AB172:AB182)</f>
        <v>100</v>
      </c>
      <c r="AC183" s="79">
        <f t="shared" ref="AC183" si="389">+SUM(AC172:AC182)</f>
        <v>100</v>
      </c>
      <c r="AD183" s="79">
        <f t="shared" ref="AD183" si="390">+SUM(AD172:AD182)</f>
        <v>100</v>
      </c>
      <c r="AE183" s="79">
        <f t="shared" ref="AE183" si="391">+SUM(AE172:AE182)</f>
        <v>100</v>
      </c>
      <c r="AF183" s="79">
        <f t="shared" ref="AF183" si="392">+SUM(AF172:AF182)</f>
        <v>100</v>
      </c>
      <c r="AG183" s="79">
        <f t="shared" ref="AG183" si="393">+SUM(AG172:AG182)</f>
        <v>100</v>
      </c>
      <c r="AH183" s="79">
        <f t="shared" ref="AH183" si="394">+SUM(AH172:AH182)</f>
        <v>100</v>
      </c>
      <c r="AI183" s="79">
        <f t="shared" ref="AI183" si="395">+SUM(AI172:AI182)</f>
        <v>100</v>
      </c>
      <c r="AJ183" s="79">
        <f t="shared" ref="AJ183" si="396">+SUM(AJ172:AJ182)</f>
        <v>100</v>
      </c>
    </row>
    <row r="184" spans="1:36" s="76" customFormat="1" ht="15.75" x14ac:dyDescent="0.25">
      <c r="A184" s="74" t="s">
        <v>777</v>
      </c>
      <c r="B184" s="75"/>
      <c r="C184" s="74"/>
      <c r="D184" s="74"/>
      <c r="E184" s="74"/>
      <c r="F184" s="74"/>
      <c r="G184" s="74"/>
      <c r="H184" s="74"/>
      <c r="I184" s="74"/>
      <c r="J184" s="74"/>
      <c r="K184" s="74"/>
      <c r="L184" s="74"/>
      <c r="M184" s="74"/>
      <c r="N184" s="74"/>
      <c r="O184" s="74"/>
      <c r="P184" s="74"/>
      <c r="Q184" s="74"/>
      <c r="R184" s="74"/>
      <c r="S184" s="74"/>
      <c r="T184" s="74"/>
      <c r="U184" s="74"/>
      <c r="V184" s="74"/>
      <c r="W184" s="74"/>
      <c r="X184" s="74"/>
      <c r="Y184" s="74"/>
      <c r="Z184" s="74"/>
      <c r="AA184" s="74"/>
      <c r="AB184" s="74"/>
      <c r="AC184" s="74"/>
      <c r="AD184" s="74"/>
      <c r="AE184" s="74"/>
      <c r="AF184" s="74"/>
      <c r="AG184" s="74"/>
      <c r="AH184" s="74"/>
      <c r="AI184" s="74"/>
      <c r="AJ184" s="74"/>
    </row>
    <row r="185" spans="1:36" x14ac:dyDescent="0.25">
      <c r="A185" s="77" t="s">
        <v>589</v>
      </c>
      <c r="B185" t="s">
        <v>305</v>
      </c>
      <c r="C185" s="25">
        <v>0</v>
      </c>
      <c r="D185" s="25">
        <v>0</v>
      </c>
      <c r="E185" s="25">
        <v>0</v>
      </c>
      <c r="F185" s="25">
        <v>0</v>
      </c>
      <c r="G185" s="25">
        <v>0</v>
      </c>
      <c r="H185" s="25">
        <v>0</v>
      </c>
      <c r="I185" s="25">
        <v>0</v>
      </c>
      <c r="J185" s="25">
        <v>0</v>
      </c>
      <c r="K185" s="25">
        <v>0</v>
      </c>
      <c r="L185" s="25">
        <v>0</v>
      </c>
      <c r="M185" s="25">
        <v>0</v>
      </c>
      <c r="N185" s="25">
        <v>0</v>
      </c>
      <c r="O185" s="25">
        <v>0</v>
      </c>
      <c r="P185" s="25">
        <v>0</v>
      </c>
      <c r="Q185" s="25">
        <v>0</v>
      </c>
      <c r="R185" s="25">
        <v>0</v>
      </c>
      <c r="S185" s="25">
        <v>0</v>
      </c>
      <c r="T185" s="25">
        <v>0</v>
      </c>
      <c r="U185" s="25">
        <v>0</v>
      </c>
      <c r="V185" s="25">
        <v>0</v>
      </c>
      <c r="W185" s="25">
        <v>0</v>
      </c>
      <c r="X185" s="25">
        <v>0</v>
      </c>
      <c r="Y185" s="25">
        <v>0</v>
      </c>
      <c r="Z185" s="25">
        <v>0</v>
      </c>
      <c r="AA185" s="25">
        <v>0</v>
      </c>
      <c r="AB185" s="25">
        <v>0</v>
      </c>
      <c r="AC185" s="25">
        <v>0</v>
      </c>
      <c r="AD185" s="25">
        <v>0</v>
      </c>
      <c r="AE185" s="25">
        <v>0</v>
      </c>
      <c r="AF185" s="25">
        <v>0</v>
      </c>
      <c r="AG185" s="25">
        <v>0</v>
      </c>
      <c r="AH185" s="25">
        <v>0</v>
      </c>
      <c r="AI185" s="25">
        <v>0</v>
      </c>
      <c r="AJ185" s="25">
        <v>0</v>
      </c>
    </row>
    <row r="186" spans="1:36" x14ac:dyDescent="0.25">
      <c r="A186" s="77" t="s">
        <v>590</v>
      </c>
      <c r="B186" t="s">
        <v>305</v>
      </c>
      <c r="C186" s="25">
        <v>5</v>
      </c>
      <c r="D186" s="25">
        <v>5</v>
      </c>
      <c r="E186" s="25">
        <v>5</v>
      </c>
      <c r="F186" s="25">
        <v>5</v>
      </c>
      <c r="G186" s="25">
        <v>5</v>
      </c>
      <c r="H186" s="25">
        <v>5</v>
      </c>
      <c r="I186" s="25">
        <v>5</v>
      </c>
      <c r="J186" s="25">
        <v>5</v>
      </c>
      <c r="K186" s="25">
        <v>5</v>
      </c>
      <c r="L186" s="25">
        <v>5</v>
      </c>
      <c r="M186" s="25">
        <v>5</v>
      </c>
      <c r="N186" s="25">
        <v>5</v>
      </c>
      <c r="O186" s="25">
        <v>5</v>
      </c>
      <c r="P186" s="25">
        <v>5</v>
      </c>
      <c r="Q186" s="25">
        <v>5</v>
      </c>
      <c r="R186" s="25">
        <v>5</v>
      </c>
      <c r="S186" s="25">
        <v>5</v>
      </c>
      <c r="T186" s="25">
        <v>5</v>
      </c>
      <c r="U186" s="25">
        <v>5</v>
      </c>
      <c r="V186" s="25">
        <v>5</v>
      </c>
      <c r="W186" s="25">
        <v>5</v>
      </c>
      <c r="X186" s="25">
        <v>5</v>
      </c>
      <c r="Y186" s="25">
        <v>5</v>
      </c>
      <c r="Z186" s="25">
        <v>5</v>
      </c>
      <c r="AA186" s="25">
        <v>5</v>
      </c>
      <c r="AB186" s="25">
        <v>5</v>
      </c>
      <c r="AC186" s="25">
        <v>5</v>
      </c>
      <c r="AD186" s="25">
        <v>5</v>
      </c>
      <c r="AE186" s="25">
        <v>5</v>
      </c>
      <c r="AF186" s="25">
        <v>5</v>
      </c>
      <c r="AG186" s="25">
        <v>5</v>
      </c>
      <c r="AH186" s="25">
        <v>5</v>
      </c>
      <c r="AI186" s="25">
        <v>5</v>
      </c>
      <c r="AJ186" s="25">
        <v>5</v>
      </c>
    </row>
    <row r="187" spans="1:36" x14ac:dyDescent="0.25">
      <c r="A187" s="77" t="s">
        <v>591</v>
      </c>
      <c r="B187" t="s">
        <v>305</v>
      </c>
      <c r="C187" s="25">
        <v>70</v>
      </c>
      <c r="D187" s="25">
        <v>70</v>
      </c>
      <c r="E187" s="25">
        <v>70</v>
      </c>
      <c r="F187" s="25">
        <v>70</v>
      </c>
      <c r="G187" s="25">
        <v>70</v>
      </c>
      <c r="H187" s="25">
        <v>70</v>
      </c>
      <c r="I187" s="25">
        <v>70</v>
      </c>
      <c r="J187" s="25">
        <v>70</v>
      </c>
      <c r="K187" s="25">
        <v>70</v>
      </c>
      <c r="L187" s="25">
        <v>70</v>
      </c>
      <c r="M187" s="25">
        <v>70</v>
      </c>
      <c r="N187" s="25">
        <v>70</v>
      </c>
      <c r="O187" s="25">
        <v>70</v>
      </c>
      <c r="P187" s="25">
        <v>70</v>
      </c>
      <c r="Q187" s="25">
        <v>70</v>
      </c>
      <c r="R187" s="25">
        <v>70</v>
      </c>
      <c r="S187" s="25">
        <v>70</v>
      </c>
      <c r="T187" s="25">
        <v>70</v>
      </c>
      <c r="U187" s="25">
        <v>70</v>
      </c>
      <c r="V187" s="25">
        <v>70</v>
      </c>
      <c r="W187" s="25">
        <v>70</v>
      </c>
      <c r="X187" s="25">
        <v>70</v>
      </c>
      <c r="Y187" s="25">
        <v>70</v>
      </c>
      <c r="Z187" s="25">
        <v>70</v>
      </c>
      <c r="AA187" s="25">
        <v>70</v>
      </c>
      <c r="AB187" s="25">
        <v>70</v>
      </c>
      <c r="AC187" s="25">
        <v>70</v>
      </c>
      <c r="AD187" s="25">
        <v>70</v>
      </c>
      <c r="AE187" s="25">
        <v>70</v>
      </c>
      <c r="AF187" s="25">
        <v>70</v>
      </c>
      <c r="AG187" s="25">
        <v>70</v>
      </c>
      <c r="AH187" s="25">
        <v>70</v>
      </c>
      <c r="AI187" s="25">
        <v>70</v>
      </c>
      <c r="AJ187" s="25">
        <v>70</v>
      </c>
    </row>
    <row r="188" spans="1:36" x14ac:dyDescent="0.25">
      <c r="A188" s="77" t="s">
        <v>592</v>
      </c>
      <c r="B188" t="s">
        <v>305</v>
      </c>
      <c r="C188" s="25">
        <v>0</v>
      </c>
      <c r="D188" s="25">
        <v>0</v>
      </c>
      <c r="E188" s="25">
        <v>0</v>
      </c>
      <c r="F188" s="25">
        <v>0</v>
      </c>
      <c r="G188" s="25">
        <v>0</v>
      </c>
      <c r="H188" s="25">
        <v>0</v>
      </c>
      <c r="I188" s="25">
        <v>0</v>
      </c>
      <c r="J188" s="25">
        <v>0</v>
      </c>
      <c r="K188" s="25">
        <v>0</v>
      </c>
      <c r="L188" s="25">
        <v>0</v>
      </c>
      <c r="M188" s="25">
        <v>0</v>
      </c>
      <c r="N188" s="25">
        <v>0</v>
      </c>
      <c r="O188" s="25">
        <v>0</v>
      </c>
      <c r="P188" s="25">
        <v>0</v>
      </c>
      <c r="Q188" s="25">
        <v>0</v>
      </c>
      <c r="R188" s="25">
        <v>0</v>
      </c>
      <c r="S188" s="25">
        <v>0</v>
      </c>
      <c r="T188" s="25">
        <v>0</v>
      </c>
      <c r="U188" s="25">
        <v>0</v>
      </c>
      <c r="V188" s="25">
        <v>0</v>
      </c>
      <c r="W188" s="25">
        <v>0</v>
      </c>
      <c r="X188" s="25">
        <v>0</v>
      </c>
      <c r="Y188" s="25">
        <v>0</v>
      </c>
      <c r="Z188" s="25">
        <v>0</v>
      </c>
      <c r="AA188" s="25">
        <v>0</v>
      </c>
      <c r="AB188" s="25">
        <v>0</v>
      </c>
      <c r="AC188" s="25">
        <v>0</v>
      </c>
      <c r="AD188" s="25">
        <v>0</v>
      </c>
      <c r="AE188" s="25">
        <v>0</v>
      </c>
      <c r="AF188" s="25">
        <v>0</v>
      </c>
      <c r="AG188" s="25">
        <v>0</v>
      </c>
      <c r="AH188" s="25">
        <v>0</v>
      </c>
      <c r="AI188" s="25">
        <v>0</v>
      </c>
      <c r="AJ188" s="25">
        <v>0</v>
      </c>
    </row>
    <row r="189" spans="1:36" x14ac:dyDescent="0.25">
      <c r="A189" s="77" t="s">
        <v>593</v>
      </c>
      <c r="B189" t="s">
        <v>305</v>
      </c>
      <c r="C189" s="25">
        <v>5</v>
      </c>
      <c r="D189" s="25">
        <v>5</v>
      </c>
      <c r="E189" s="25">
        <v>5</v>
      </c>
      <c r="F189" s="25">
        <v>5</v>
      </c>
      <c r="G189" s="25">
        <v>5</v>
      </c>
      <c r="H189" s="25">
        <v>5</v>
      </c>
      <c r="I189" s="25">
        <v>5</v>
      </c>
      <c r="J189" s="25">
        <v>5</v>
      </c>
      <c r="K189" s="25">
        <v>5</v>
      </c>
      <c r="L189" s="25">
        <v>5</v>
      </c>
      <c r="M189" s="25">
        <v>5</v>
      </c>
      <c r="N189" s="25">
        <v>5</v>
      </c>
      <c r="O189" s="25">
        <v>5</v>
      </c>
      <c r="P189" s="25">
        <v>5</v>
      </c>
      <c r="Q189" s="25">
        <v>5</v>
      </c>
      <c r="R189" s="25">
        <v>5</v>
      </c>
      <c r="S189" s="25">
        <v>5</v>
      </c>
      <c r="T189" s="25">
        <v>5</v>
      </c>
      <c r="U189" s="25">
        <v>5</v>
      </c>
      <c r="V189" s="25">
        <v>5</v>
      </c>
      <c r="W189" s="25">
        <v>5</v>
      </c>
      <c r="X189" s="25">
        <v>5</v>
      </c>
      <c r="Y189" s="25">
        <v>5</v>
      </c>
      <c r="Z189" s="25">
        <v>5</v>
      </c>
      <c r="AA189" s="25">
        <v>5</v>
      </c>
      <c r="AB189" s="25">
        <v>5</v>
      </c>
      <c r="AC189" s="25">
        <v>5</v>
      </c>
      <c r="AD189" s="25">
        <v>5</v>
      </c>
      <c r="AE189" s="25">
        <v>5</v>
      </c>
      <c r="AF189" s="25">
        <v>5</v>
      </c>
      <c r="AG189" s="25">
        <v>5</v>
      </c>
      <c r="AH189" s="25">
        <v>5</v>
      </c>
      <c r="AI189" s="25">
        <v>5</v>
      </c>
      <c r="AJ189" s="25">
        <v>5</v>
      </c>
    </row>
    <row r="190" spans="1:36" x14ac:dyDescent="0.25">
      <c r="A190" s="77" t="s">
        <v>594</v>
      </c>
      <c r="B190" t="s">
        <v>305</v>
      </c>
      <c r="C190" s="25">
        <v>10</v>
      </c>
      <c r="D190" s="25">
        <v>10</v>
      </c>
      <c r="E190" s="25">
        <v>10</v>
      </c>
      <c r="F190" s="25">
        <v>10</v>
      </c>
      <c r="G190" s="25">
        <v>10</v>
      </c>
      <c r="H190" s="25">
        <v>10</v>
      </c>
      <c r="I190" s="25">
        <v>10</v>
      </c>
      <c r="J190" s="25">
        <v>10</v>
      </c>
      <c r="K190" s="25">
        <v>10</v>
      </c>
      <c r="L190" s="25">
        <v>10</v>
      </c>
      <c r="M190" s="25">
        <v>10</v>
      </c>
      <c r="N190" s="25">
        <v>10</v>
      </c>
      <c r="O190" s="25">
        <v>10</v>
      </c>
      <c r="P190" s="25">
        <v>10</v>
      </c>
      <c r="Q190" s="25">
        <v>10</v>
      </c>
      <c r="R190" s="25">
        <v>10</v>
      </c>
      <c r="S190" s="25">
        <v>10</v>
      </c>
      <c r="T190" s="25">
        <v>10</v>
      </c>
      <c r="U190" s="25">
        <v>10</v>
      </c>
      <c r="V190" s="25">
        <v>10</v>
      </c>
      <c r="W190" s="25">
        <v>10</v>
      </c>
      <c r="X190" s="25">
        <v>10</v>
      </c>
      <c r="Y190" s="25">
        <v>10</v>
      </c>
      <c r="Z190" s="25">
        <v>10</v>
      </c>
      <c r="AA190" s="25">
        <v>10</v>
      </c>
      <c r="AB190" s="25">
        <v>10</v>
      </c>
      <c r="AC190" s="25">
        <v>10</v>
      </c>
      <c r="AD190" s="25">
        <v>10</v>
      </c>
      <c r="AE190" s="25">
        <v>10</v>
      </c>
      <c r="AF190" s="25">
        <v>10</v>
      </c>
      <c r="AG190" s="25">
        <v>10</v>
      </c>
      <c r="AH190" s="25">
        <v>10</v>
      </c>
      <c r="AI190" s="25">
        <v>10</v>
      </c>
      <c r="AJ190" s="25">
        <v>10</v>
      </c>
    </row>
    <row r="191" spans="1:36" x14ac:dyDescent="0.25">
      <c r="A191" s="77" t="s">
        <v>595</v>
      </c>
      <c r="B191" t="s">
        <v>305</v>
      </c>
      <c r="C191" s="25">
        <v>0</v>
      </c>
      <c r="D191" s="25">
        <v>0</v>
      </c>
      <c r="E191" s="25">
        <v>0</v>
      </c>
      <c r="F191" s="25">
        <v>0</v>
      </c>
      <c r="G191" s="25">
        <v>0</v>
      </c>
      <c r="H191" s="25">
        <v>0</v>
      </c>
      <c r="I191" s="25">
        <v>0</v>
      </c>
      <c r="J191" s="25">
        <v>0</v>
      </c>
      <c r="K191" s="25">
        <v>0</v>
      </c>
      <c r="L191" s="25">
        <v>0</v>
      </c>
      <c r="M191" s="25">
        <v>0</v>
      </c>
      <c r="N191" s="25">
        <v>0</v>
      </c>
      <c r="O191" s="25">
        <v>0</v>
      </c>
      <c r="P191" s="25">
        <v>0</v>
      </c>
      <c r="Q191" s="25">
        <v>0</v>
      </c>
      <c r="R191" s="25">
        <v>0</v>
      </c>
      <c r="S191" s="25">
        <v>0</v>
      </c>
      <c r="T191" s="25">
        <v>0</v>
      </c>
      <c r="U191" s="25">
        <v>0</v>
      </c>
      <c r="V191" s="25">
        <v>0</v>
      </c>
      <c r="W191" s="25">
        <v>0</v>
      </c>
      <c r="X191" s="25">
        <v>0</v>
      </c>
      <c r="Y191" s="25">
        <v>0</v>
      </c>
      <c r="Z191" s="25">
        <v>0</v>
      </c>
      <c r="AA191" s="25">
        <v>0</v>
      </c>
      <c r="AB191" s="25">
        <v>0</v>
      </c>
      <c r="AC191" s="25">
        <v>0</v>
      </c>
      <c r="AD191" s="25">
        <v>0</v>
      </c>
      <c r="AE191" s="25">
        <v>0</v>
      </c>
      <c r="AF191" s="25">
        <v>0</v>
      </c>
      <c r="AG191" s="25">
        <v>0</v>
      </c>
      <c r="AH191" s="25">
        <v>0</v>
      </c>
      <c r="AI191" s="25">
        <v>0</v>
      </c>
      <c r="AJ191" s="25">
        <v>0</v>
      </c>
    </row>
    <row r="192" spans="1:36" x14ac:dyDescent="0.25">
      <c r="A192" s="77" t="s">
        <v>596</v>
      </c>
      <c r="B192" t="s">
        <v>305</v>
      </c>
      <c r="C192" s="25">
        <v>10</v>
      </c>
      <c r="D192" s="25">
        <v>10</v>
      </c>
      <c r="E192" s="25">
        <v>10</v>
      </c>
      <c r="F192" s="25">
        <v>10</v>
      </c>
      <c r="G192" s="25">
        <v>10</v>
      </c>
      <c r="H192" s="25">
        <v>10</v>
      </c>
      <c r="I192" s="25">
        <v>10</v>
      </c>
      <c r="J192" s="25">
        <v>10</v>
      </c>
      <c r="K192" s="25">
        <v>10</v>
      </c>
      <c r="L192" s="25">
        <v>10</v>
      </c>
      <c r="M192" s="25">
        <v>10</v>
      </c>
      <c r="N192" s="25">
        <v>10</v>
      </c>
      <c r="O192" s="25">
        <v>10</v>
      </c>
      <c r="P192" s="25">
        <v>10</v>
      </c>
      <c r="Q192" s="25">
        <v>10</v>
      </c>
      <c r="R192" s="25">
        <v>10</v>
      </c>
      <c r="S192" s="25">
        <v>10</v>
      </c>
      <c r="T192" s="25">
        <v>10</v>
      </c>
      <c r="U192" s="25">
        <v>10</v>
      </c>
      <c r="V192" s="25">
        <v>10</v>
      </c>
      <c r="W192" s="25">
        <v>10</v>
      </c>
      <c r="X192" s="25">
        <v>10</v>
      </c>
      <c r="Y192" s="25">
        <v>10</v>
      </c>
      <c r="Z192" s="25">
        <v>10</v>
      </c>
      <c r="AA192" s="25">
        <v>10</v>
      </c>
      <c r="AB192" s="25">
        <v>10</v>
      </c>
      <c r="AC192" s="25">
        <v>10</v>
      </c>
      <c r="AD192" s="25">
        <v>10</v>
      </c>
      <c r="AE192" s="25">
        <v>10</v>
      </c>
      <c r="AF192" s="25">
        <v>10</v>
      </c>
      <c r="AG192" s="25">
        <v>10</v>
      </c>
      <c r="AH192" s="25">
        <v>10</v>
      </c>
      <c r="AI192" s="25">
        <v>10</v>
      </c>
      <c r="AJ192" s="25">
        <v>10</v>
      </c>
    </row>
    <row r="193" spans="1:36" x14ac:dyDescent="0.25">
      <c r="A193" s="77" t="s">
        <v>597</v>
      </c>
      <c r="B193" t="s">
        <v>305</v>
      </c>
      <c r="C193" s="25">
        <v>0</v>
      </c>
      <c r="D193" s="25">
        <v>0</v>
      </c>
      <c r="E193" s="25">
        <v>0</v>
      </c>
      <c r="F193" s="25">
        <v>0</v>
      </c>
      <c r="G193" s="25">
        <v>0</v>
      </c>
      <c r="H193" s="25">
        <v>0</v>
      </c>
      <c r="I193" s="25">
        <v>0</v>
      </c>
      <c r="J193" s="25">
        <v>0</v>
      </c>
      <c r="K193" s="25">
        <v>0</v>
      </c>
      <c r="L193" s="25">
        <v>0</v>
      </c>
      <c r="M193" s="25">
        <v>0</v>
      </c>
      <c r="N193" s="25">
        <v>0</v>
      </c>
      <c r="O193" s="25">
        <v>0</v>
      </c>
      <c r="P193" s="25">
        <v>0</v>
      </c>
      <c r="Q193" s="25">
        <v>0</v>
      </c>
      <c r="R193" s="25">
        <v>0</v>
      </c>
      <c r="S193" s="25">
        <v>0</v>
      </c>
      <c r="T193" s="25">
        <v>0</v>
      </c>
      <c r="U193" s="25">
        <v>0</v>
      </c>
      <c r="V193" s="25">
        <v>0</v>
      </c>
      <c r="W193" s="25">
        <v>0</v>
      </c>
      <c r="X193" s="25">
        <v>0</v>
      </c>
      <c r="Y193" s="25">
        <v>0</v>
      </c>
      <c r="Z193" s="25">
        <v>0</v>
      </c>
      <c r="AA193" s="25">
        <v>0</v>
      </c>
      <c r="AB193" s="25">
        <v>0</v>
      </c>
      <c r="AC193" s="25">
        <v>0</v>
      </c>
      <c r="AD193" s="25">
        <v>0</v>
      </c>
      <c r="AE193" s="25">
        <v>0</v>
      </c>
      <c r="AF193" s="25">
        <v>0</v>
      </c>
      <c r="AG193" s="25">
        <v>0</v>
      </c>
      <c r="AH193" s="25">
        <v>0</v>
      </c>
      <c r="AI193" s="25">
        <v>0</v>
      </c>
      <c r="AJ193" s="25">
        <v>0</v>
      </c>
    </row>
    <row r="194" spans="1:36" x14ac:dyDescent="0.25">
      <c r="A194" s="77" t="s">
        <v>598</v>
      </c>
      <c r="B194" t="s">
        <v>305</v>
      </c>
      <c r="C194" s="25">
        <v>0</v>
      </c>
      <c r="D194" s="25">
        <v>0</v>
      </c>
      <c r="E194" s="25">
        <v>0</v>
      </c>
      <c r="F194" s="25">
        <v>0</v>
      </c>
      <c r="G194" s="25">
        <v>0</v>
      </c>
      <c r="H194" s="25">
        <v>0</v>
      </c>
      <c r="I194" s="25">
        <v>0</v>
      </c>
      <c r="J194" s="25">
        <v>0</v>
      </c>
      <c r="K194" s="25">
        <v>0</v>
      </c>
      <c r="L194" s="25">
        <v>0</v>
      </c>
      <c r="M194" s="25">
        <v>0</v>
      </c>
      <c r="N194" s="25">
        <v>0</v>
      </c>
      <c r="O194" s="25">
        <v>0</v>
      </c>
      <c r="P194" s="25">
        <v>0</v>
      </c>
      <c r="Q194" s="25">
        <v>0</v>
      </c>
      <c r="R194" s="25">
        <v>0</v>
      </c>
      <c r="S194" s="25">
        <v>0</v>
      </c>
      <c r="T194" s="25">
        <v>0</v>
      </c>
      <c r="U194" s="25">
        <v>0</v>
      </c>
      <c r="V194" s="25">
        <v>0</v>
      </c>
      <c r="W194" s="25">
        <v>0</v>
      </c>
      <c r="X194" s="25">
        <v>0</v>
      </c>
      <c r="Y194" s="25">
        <v>0</v>
      </c>
      <c r="Z194" s="25">
        <v>0</v>
      </c>
      <c r="AA194" s="25">
        <v>0</v>
      </c>
      <c r="AB194" s="25">
        <v>0</v>
      </c>
      <c r="AC194" s="25">
        <v>0</v>
      </c>
      <c r="AD194" s="25">
        <v>0</v>
      </c>
      <c r="AE194" s="25">
        <v>0</v>
      </c>
      <c r="AF194" s="25">
        <v>0</v>
      </c>
      <c r="AG194" s="25">
        <v>0</v>
      </c>
      <c r="AH194" s="25">
        <v>0</v>
      </c>
      <c r="AI194" s="25">
        <v>0</v>
      </c>
      <c r="AJ194" s="25">
        <v>0</v>
      </c>
    </row>
    <row r="195" spans="1:36" x14ac:dyDescent="0.25">
      <c r="A195" s="77" t="s">
        <v>765</v>
      </c>
      <c r="B195" t="s">
        <v>305</v>
      </c>
      <c r="C195" s="25">
        <v>0</v>
      </c>
      <c r="D195" s="25">
        <v>0</v>
      </c>
      <c r="E195" s="25">
        <v>0</v>
      </c>
      <c r="F195" s="25">
        <v>0</v>
      </c>
      <c r="G195" s="25">
        <v>0</v>
      </c>
      <c r="H195" s="25">
        <v>0</v>
      </c>
      <c r="I195" s="25">
        <v>0</v>
      </c>
      <c r="J195" s="25">
        <v>0</v>
      </c>
      <c r="K195" s="25">
        <v>0</v>
      </c>
      <c r="L195" s="25">
        <v>0</v>
      </c>
      <c r="M195" s="25">
        <v>0</v>
      </c>
      <c r="N195" s="25">
        <v>0</v>
      </c>
      <c r="O195" s="25">
        <v>0</v>
      </c>
      <c r="P195" s="25">
        <v>0</v>
      </c>
      <c r="Q195" s="25">
        <v>0</v>
      </c>
      <c r="R195" s="25">
        <v>0</v>
      </c>
      <c r="S195" s="25">
        <v>0</v>
      </c>
      <c r="T195" s="25">
        <v>0</v>
      </c>
      <c r="U195" s="25">
        <v>0</v>
      </c>
      <c r="V195" s="25">
        <v>0</v>
      </c>
      <c r="W195" s="25">
        <v>0</v>
      </c>
      <c r="X195" s="25">
        <v>0</v>
      </c>
      <c r="Y195" s="25">
        <v>0</v>
      </c>
      <c r="Z195" s="25">
        <v>0</v>
      </c>
      <c r="AA195" s="25">
        <v>0</v>
      </c>
      <c r="AB195" s="25">
        <v>0</v>
      </c>
      <c r="AC195" s="25">
        <v>0</v>
      </c>
      <c r="AD195" s="25">
        <v>0</v>
      </c>
      <c r="AE195" s="25">
        <v>0</v>
      </c>
      <c r="AF195" s="25">
        <v>0</v>
      </c>
      <c r="AG195" s="25">
        <v>0</v>
      </c>
      <c r="AH195" s="25">
        <v>0</v>
      </c>
      <c r="AI195" s="25">
        <v>0</v>
      </c>
      <c r="AJ195" s="25">
        <v>0</v>
      </c>
    </row>
    <row r="196" spans="1:36" s="78" customFormat="1" x14ac:dyDescent="0.25">
      <c r="A196" s="78" t="s">
        <v>780</v>
      </c>
      <c r="C196" s="79">
        <f>+SUM(C185:C195)</f>
        <v>100</v>
      </c>
      <c r="D196" s="79">
        <f t="shared" ref="D196" si="397">+SUM(D185:D195)</f>
        <v>100</v>
      </c>
      <c r="E196" s="79">
        <f t="shared" ref="E196" si="398">+SUM(E185:E195)</f>
        <v>100</v>
      </c>
      <c r="F196" s="79">
        <f t="shared" ref="F196" si="399">+SUM(F185:F195)</f>
        <v>100</v>
      </c>
      <c r="G196" s="79">
        <f t="shared" ref="G196" si="400">+SUM(G185:G195)</f>
        <v>100</v>
      </c>
      <c r="H196" s="79">
        <f t="shared" ref="H196" si="401">+SUM(H185:H195)</f>
        <v>100</v>
      </c>
      <c r="I196" s="79">
        <f t="shared" ref="I196" si="402">+SUM(I185:I195)</f>
        <v>100</v>
      </c>
      <c r="J196" s="79">
        <f t="shared" ref="J196" si="403">+SUM(J185:J195)</f>
        <v>100</v>
      </c>
      <c r="K196" s="79">
        <f t="shared" ref="K196" si="404">+SUM(K185:K195)</f>
        <v>100</v>
      </c>
      <c r="L196" s="79">
        <f t="shared" ref="L196" si="405">+SUM(L185:L195)</f>
        <v>100</v>
      </c>
      <c r="M196" s="79">
        <f t="shared" ref="M196" si="406">+SUM(M185:M195)</f>
        <v>100</v>
      </c>
      <c r="N196" s="79">
        <f t="shared" ref="N196" si="407">+SUM(N185:N195)</f>
        <v>100</v>
      </c>
      <c r="O196" s="79">
        <f t="shared" ref="O196" si="408">+SUM(O185:O195)</f>
        <v>100</v>
      </c>
      <c r="P196" s="79">
        <f t="shared" ref="P196" si="409">+SUM(P185:P195)</f>
        <v>100</v>
      </c>
      <c r="Q196" s="79">
        <f t="shared" ref="Q196" si="410">+SUM(Q185:Q195)</f>
        <v>100</v>
      </c>
      <c r="R196" s="79">
        <f t="shared" ref="R196" si="411">+SUM(R185:R195)</f>
        <v>100</v>
      </c>
      <c r="S196" s="79">
        <f t="shared" ref="S196" si="412">+SUM(S185:S195)</f>
        <v>100</v>
      </c>
      <c r="T196" s="79">
        <f t="shared" ref="T196" si="413">+SUM(T185:T195)</f>
        <v>100</v>
      </c>
      <c r="U196" s="79">
        <f t="shared" ref="U196" si="414">+SUM(U185:U195)</f>
        <v>100</v>
      </c>
      <c r="V196" s="79">
        <f t="shared" ref="V196" si="415">+SUM(V185:V195)</f>
        <v>100</v>
      </c>
      <c r="W196" s="79">
        <f t="shared" ref="W196" si="416">+SUM(W185:W195)</f>
        <v>100</v>
      </c>
      <c r="X196" s="79">
        <f t="shared" ref="X196" si="417">+SUM(X185:X195)</f>
        <v>100</v>
      </c>
      <c r="Y196" s="79">
        <f t="shared" ref="Y196" si="418">+SUM(Y185:Y195)</f>
        <v>100</v>
      </c>
      <c r="Z196" s="79">
        <f t="shared" ref="Z196" si="419">+SUM(Z185:Z195)</f>
        <v>100</v>
      </c>
      <c r="AA196" s="79">
        <f t="shared" ref="AA196" si="420">+SUM(AA185:AA195)</f>
        <v>100</v>
      </c>
      <c r="AB196" s="79">
        <f t="shared" ref="AB196" si="421">+SUM(AB185:AB195)</f>
        <v>100</v>
      </c>
      <c r="AC196" s="79">
        <f t="shared" ref="AC196" si="422">+SUM(AC185:AC195)</f>
        <v>100</v>
      </c>
      <c r="AD196" s="79">
        <f t="shared" ref="AD196" si="423">+SUM(AD185:AD195)</f>
        <v>100</v>
      </c>
      <c r="AE196" s="79">
        <f t="shared" ref="AE196" si="424">+SUM(AE185:AE195)</f>
        <v>100</v>
      </c>
      <c r="AF196" s="79">
        <f t="shared" ref="AF196" si="425">+SUM(AF185:AF195)</f>
        <v>100</v>
      </c>
      <c r="AG196" s="79">
        <f t="shared" ref="AG196" si="426">+SUM(AG185:AG195)</f>
        <v>100</v>
      </c>
      <c r="AH196" s="79">
        <f t="shared" ref="AH196" si="427">+SUM(AH185:AH195)</f>
        <v>100</v>
      </c>
      <c r="AI196" s="79">
        <f t="shared" ref="AI196" si="428">+SUM(AI185:AI195)</f>
        <v>100</v>
      </c>
      <c r="AJ196" s="79">
        <f t="shared" ref="AJ196" si="429">+SUM(AJ185:AJ195)</f>
        <v>100</v>
      </c>
    </row>
    <row r="197" spans="1:36" x14ac:dyDescent="0.25">
      <c r="A197" s="77" t="s">
        <v>599</v>
      </c>
      <c r="B197" t="s">
        <v>305</v>
      </c>
      <c r="C197" s="25">
        <v>0</v>
      </c>
      <c r="D197" s="25">
        <v>0</v>
      </c>
      <c r="E197" s="25">
        <v>0</v>
      </c>
      <c r="F197" s="25">
        <v>0</v>
      </c>
      <c r="G197" s="25">
        <v>0</v>
      </c>
      <c r="H197" s="25">
        <v>0</v>
      </c>
      <c r="I197" s="25">
        <v>0</v>
      </c>
      <c r="J197" s="25">
        <v>0</v>
      </c>
      <c r="K197" s="25">
        <v>0</v>
      </c>
      <c r="L197" s="25">
        <v>0</v>
      </c>
      <c r="M197" s="25">
        <v>0</v>
      </c>
      <c r="N197" s="25">
        <v>0</v>
      </c>
      <c r="O197" s="25">
        <v>0</v>
      </c>
      <c r="P197" s="25">
        <v>0</v>
      </c>
      <c r="Q197" s="25">
        <v>0</v>
      </c>
      <c r="R197" s="25">
        <v>0</v>
      </c>
      <c r="S197" s="25">
        <v>0</v>
      </c>
      <c r="T197" s="25">
        <v>0</v>
      </c>
      <c r="U197" s="25">
        <v>0</v>
      </c>
      <c r="V197" s="25">
        <v>0</v>
      </c>
      <c r="W197" s="25">
        <v>0</v>
      </c>
      <c r="X197" s="25">
        <v>0</v>
      </c>
      <c r="Y197" s="25">
        <v>0</v>
      </c>
      <c r="Z197" s="25">
        <v>0</v>
      </c>
      <c r="AA197" s="25">
        <v>0</v>
      </c>
      <c r="AB197" s="25">
        <v>0</v>
      </c>
      <c r="AC197" s="25">
        <v>0</v>
      </c>
      <c r="AD197" s="25">
        <v>0</v>
      </c>
      <c r="AE197" s="25">
        <v>0</v>
      </c>
      <c r="AF197" s="25">
        <v>0</v>
      </c>
      <c r="AG197" s="25">
        <v>0</v>
      </c>
      <c r="AH197" s="25">
        <v>0</v>
      </c>
      <c r="AI197" s="25">
        <v>0</v>
      </c>
      <c r="AJ197" s="25">
        <v>0</v>
      </c>
    </row>
    <row r="198" spans="1:36" x14ac:dyDescent="0.25">
      <c r="A198" s="77" t="s">
        <v>600</v>
      </c>
      <c r="B198" t="s">
        <v>305</v>
      </c>
      <c r="C198" s="25">
        <v>0</v>
      </c>
      <c r="D198" s="25">
        <v>0</v>
      </c>
      <c r="E198" s="25">
        <v>0</v>
      </c>
      <c r="F198" s="25">
        <v>0</v>
      </c>
      <c r="G198" s="25">
        <v>0</v>
      </c>
      <c r="H198" s="25">
        <v>0</v>
      </c>
      <c r="I198" s="25">
        <v>0</v>
      </c>
      <c r="J198" s="25">
        <v>0</v>
      </c>
      <c r="K198" s="25">
        <v>0</v>
      </c>
      <c r="L198" s="25">
        <v>0</v>
      </c>
      <c r="M198" s="25">
        <v>0</v>
      </c>
      <c r="N198" s="25">
        <v>0</v>
      </c>
      <c r="O198" s="25">
        <v>0</v>
      </c>
      <c r="P198" s="25">
        <v>0</v>
      </c>
      <c r="Q198" s="25">
        <v>0</v>
      </c>
      <c r="R198" s="25">
        <v>0</v>
      </c>
      <c r="S198" s="25">
        <v>0</v>
      </c>
      <c r="T198" s="25">
        <v>0</v>
      </c>
      <c r="U198" s="25">
        <v>0</v>
      </c>
      <c r="V198" s="25">
        <v>0</v>
      </c>
      <c r="W198" s="25">
        <v>0</v>
      </c>
      <c r="X198" s="25">
        <v>0</v>
      </c>
      <c r="Y198" s="25">
        <v>0</v>
      </c>
      <c r="Z198" s="25">
        <v>0</v>
      </c>
      <c r="AA198" s="25">
        <v>0</v>
      </c>
      <c r="AB198" s="25">
        <v>0</v>
      </c>
      <c r="AC198" s="25">
        <v>0</v>
      </c>
      <c r="AD198" s="25">
        <v>0</v>
      </c>
      <c r="AE198" s="25">
        <v>0</v>
      </c>
      <c r="AF198" s="25">
        <v>0</v>
      </c>
      <c r="AG198" s="25">
        <v>0</v>
      </c>
      <c r="AH198" s="25">
        <v>0</v>
      </c>
      <c r="AI198" s="25">
        <v>0</v>
      </c>
      <c r="AJ198" s="25">
        <v>0</v>
      </c>
    </row>
    <row r="199" spans="1:36" x14ac:dyDescent="0.25">
      <c r="A199" s="77" t="s">
        <v>601</v>
      </c>
      <c r="B199" t="s">
        <v>305</v>
      </c>
      <c r="C199" s="25">
        <v>80</v>
      </c>
      <c r="D199" s="25">
        <v>80</v>
      </c>
      <c r="E199" s="25">
        <v>80</v>
      </c>
      <c r="F199" s="25">
        <v>80</v>
      </c>
      <c r="G199" s="25">
        <v>80</v>
      </c>
      <c r="H199" s="25">
        <v>80</v>
      </c>
      <c r="I199" s="25">
        <v>80</v>
      </c>
      <c r="J199" s="25">
        <v>80</v>
      </c>
      <c r="K199" s="25">
        <v>80</v>
      </c>
      <c r="L199" s="25">
        <v>80</v>
      </c>
      <c r="M199" s="25">
        <v>80</v>
      </c>
      <c r="N199" s="25">
        <v>80</v>
      </c>
      <c r="O199" s="25">
        <v>80</v>
      </c>
      <c r="P199" s="25">
        <v>80</v>
      </c>
      <c r="Q199" s="25">
        <v>80</v>
      </c>
      <c r="R199" s="25">
        <v>80</v>
      </c>
      <c r="S199" s="25">
        <v>80</v>
      </c>
      <c r="T199" s="25">
        <v>80</v>
      </c>
      <c r="U199" s="25">
        <v>80</v>
      </c>
      <c r="V199" s="25">
        <v>80</v>
      </c>
      <c r="W199" s="25">
        <v>80</v>
      </c>
      <c r="X199" s="25">
        <v>80</v>
      </c>
      <c r="Y199" s="25">
        <v>80</v>
      </c>
      <c r="Z199" s="25">
        <v>80</v>
      </c>
      <c r="AA199" s="25">
        <v>80</v>
      </c>
      <c r="AB199" s="25">
        <v>80</v>
      </c>
      <c r="AC199" s="25">
        <v>80</v>
      </c>
      <c r="AD199" s="25">
        <v>80</v>
      </c>
      <c r="AE199" s="25">
        <v>80</v>
      </c>
      <c r="AF199" s="25">
        <v>80</v>
      </c>
      <c r="AG199" s="25">
        <v>80</v>
      </c>
      <c r="AH199" s="25">
        <v>80</v>
      </c>
      <c r="AI199" s="25">
        <v>80</v>
      </c>
      <c r="AJ199" s="25">
        <v>80</v>
      </c>
    </row>
    <row r="200" spans="1:36" x14ac:dyDescent="0.25">
      <c r="A200" s="77" t="s">
        <v>602</v>
      </c>
      <c r="B200" t="s">
        <v>305</v>
      </c>
      <c r="C200" s="25">
        <v>0</v>
      </c>
      <c r="D200" s="25">
        <v>0</v>
      </c>
      <c r="E200" s="25">
        <v>0</v>
      </c>
      <c r="F200" s="25">
        <v>0</v>
      </c>
      <c r="G200" s="25">
        <v>0</v>
      </c>
      <c r="H200" s="25">
        <v>0</v>
      </c>
      <c r="I200" s="25">
        <v>0</v>
      </c>
      <c r="J200" s="25">
        <v>0</v>
      </c>
      <c r="K200" s="25">
        <v>0</v>
      </c>
      <c r="L200" s="25">
        <v>0</v>
      </c>
      <c r="M200" s="25">
        <v>0</v>
      </c>
      <c r="N200" s="25">
        <v>0</v>
      </c>
      <c r="O200" s="25">
        <v>0</v>
      </c>
      <c r="P200" s="25">
        <v>0</v>
      </c>
      <c r="Q200" s="25">
        <v>0</v>
      </c>
      <c r="R200" s="25">
        <v>0</v>
      </c>
      <c r="S200" s="25">
        <v>0</v>
      </c>
      <c r="T200" s="25">
        <v>0</v>
      </c>
      <c r="U200" s="25">
        <v>0</v>
      </c>
      <c r="V200" s="25">
        <v>0</v>
      </c>
      <c r="W200" s="25">
        <v>0</v>
      </c>
      <c r="X200" s="25">
        <v>0</v>
      </c>
      <c r="Y200" s="25">
        <v>0</v>
      </c>
      <c r="Z200" s="25">
        <v>0</v>
      </c>
      <c r="AA200" s="25">
        <v>0</v>
      </c>
      <c r="AB200" s="25">
        <v>0</v>
      </c>
      <c r="AC200" s="25">
        <v>0</v>
      </c>
      <c r="AD200" s="25">
        <v>0</v>
      </c>
      <c r="AE200" s="25">
        <v>0</v>
      </c>
      <c r="AF200" s="25">
        <v>0</v>
      </c>
      <c r="AG200" s="25">
        <v>0</v>
      </c>
      <c r="AH200" s="25">
        <v>0</v>
      </c>
      <c r="AI200" s="25">
        <v>0</v>
      </c>
      <c r="AJ200" s="25">
        <v>0</v>
      </c>
    </row>
    <row r="201" spans="1:36" x14ac:dyDescent="0.25">
      <c r="A201" s="77" t="s">
        <v>603</v>
      </c>
      <c r="B201" t="s">
        <v>305</v>
      </c>
      <c r="C201" s="25">
        <v>0</v>
      </c>
      <c r="D201" s="25">
        <v>0</v>
      </c>
      <c r="E201" s="25">
        <v>0</v>
      </c>
      <c r="F201" s="25">
        <v>0</v>
      </c>
      <c r="G201" s="25">
        <v>0</v>
      </c>
      <c r="H201" s="25">
        <v>0</v>
      </c>
      <c r="I201" s="25">
        <v>0</v>
      </c>
      <c r="J201" s="25">
        <v>0</v>
      </c>
      <c r="K201" s="25">
        <v>0</v>
      </c>
      <c r="L201" s="25">
        <v>0</v>
      </c>
      <c r="M201" s="25">
        <v>0</v>
      </c>
      <c r="N201" s="25">
        <v>0</v>
      </c>
      <c r="O201" s="25">
        <v>0</v>
      </c>
      <c r="P201" s="25">
        <v>0</v>
      </c>
      <c r="Q201" s="25">
        <v>0</v>
      </c>
      <c r="R201" s="25">
        <v>0</v>
      </c>
      <c r="S201" s="25">
        <v>0</v>
      </c>
      <c r="T201" s="25">
        <v>0</v>
      </c>
      <c r="U201" s="25">
        <v>0</v>
      </c>
      <c r="V201" s="25">
        <v>0</v>
      </c>
      <c r="W201" s="25">
        <v>0</v>
      </c>
      <c r="X201" s="25">
        <v>0</v>
      </c>
      <c r="Y201" s="25">
        <v>0</v>
      </c>
      <c r="Z201" s="25">
        <v>0</v>
      </c>
      <c r="AA201" s="25">
        <v>0</v>
      </c>
      <c r="AB201" s="25">
        <v>0</v>
      </c>
      <c r="AC201" s="25">
        <v>0</v>
      </c>
      <c r="AD201" s="25">
        <v>0</v>
      </c>
      <c r="AE201" s="25">
        <v>0</v>
      </c>
      <c r="AF201" s="25">
        <v>0</v>
      </c>
      <c r="AG201" s="25">
        <v>0</v>
      </c>
      <c r="AH201" s="25">
        <v>0</v>
      </c>
      <c r="AI201" s="25">
        <v>0</v>
      </c>
      <c r="AJ201" s="25">
        <v>0</v>
      </c>
    </row>
    <row r="202" spans="1:36" x14ac:dyDescent="0.25">
      <c r="A202" s="77" t="s">
        <v>604</v>
      </c>
      <c r="B202" t="s">
        <v>305</v>
      </c>
      <c r="C202" s="25">
        <v>5</v>
      </c>
      <c r="D202" s="25">
        <v>5</v>
      </c>
      <c r="E202" s="25">
        <v>5</v>
      </c>
      <c r="F202" s="25">
        <v>5</v>
      </c>
      <c r="G202" s="25">
        <v>5</v>
      </c>
      <c r="H202" s="25">
        <v>5</v>
      </c>
      <c r="I202" s="25">
        <v>5</v>
      </c>
      <c r="J202" s="25">
        <v>5</v>
      </c>
      <c r="K202" s="25">
        <v>5</v>
      </c>
      <c r="L202" s="25">
        <v>5</v>
      </c>
      <c r="M202" s="25">
        <v>5</v>
      </c>
      <c r="N202" s="25">
        <v>5</v>
      </c>
      <c r="O202" s="25">
        <v>5</v>
      </c>
      <c r="P202" s="25">
        <v>5</v>
      </c>
      <c r="Q202" s="25">
        <v>5</v>
      </c>
      <c r="R202" s="25">
        <v>5</v>
      </c>
      <c r="S202" s="25">
        <v>5</v>
      </c>
      <c r="T202" s="25">
        <v>5</v>
      </c>
      <c r="U202" s="25">
        <v>5</v>
      </c>
      <c r="V202" s="25">
        <v>5</v>
      </c>
      <c r="W202" s="25">
        <v>5</v>
      </c>
      <c r="X202" s="25">
        <v>5</v>
      </c>
      <c r="Y202" s="25">
        <v>5</v>
      </c>
      <c r="Z202" s="25">
        <v>5</v>
      </c>
      <c r="AA202" s="25">
        <v>5</v>
      </c>
      <c r="AB202" s="25">
        <v>5</v>
      </c>
      <c r="AC202" s="25">
        <v>5</v>
      </c>
      <c r="AD202" s="25">
        <v>5</v>
      </c>
      <c r="AE202" s="25">
        <v>5</v>
      </c>
      <c r="AF202" s="25">
        <v>5</v>
      </c>
      <c r="AG202" s="25">
        <v>5</v>
      </c>
      <c r="AH202" s="25">
        <v>5</v>
      </c>
      <c r="AI202" s="25">
        <v>5</v>
      </c>
      <c r="AJ202" s="25">
        <v>5</v>
      </c>
    </row>
    <row r="203" spans="1:36" x14ac:dyDescent="0.25">
      <c r="A203" s="77" t="s">
        <v>605</v>
      </c>
      <c r="B203" t="s">
        <v>305</v>
      </c>
      <c r="C203" s="25">
        <v>0</v>
      </c>
      <c r="D203" s="25">
        <v>0</v>
      </c>
      <c r="E203" s="25">
        <v>0</v>
      </c>
      <c r="F203" s="25">
        <v>0</v>
      </c>
      <c r="G203" s="25">
        <v>0</v>
      </c>
      <c r="H203" s="25">
        <v>0</v>
      </c>
      <c r="I203" s="25">
        <v>0</v>
      </c>
      <c r="J203" s="25">
        <v>0</v>
      </c>
      <c r="K203" s="25">
        <v>0</v>
      </c>
      <c r="L203" s="25">
        <v>0</v>
      </c>
      <c r="M203" s="25">
        <v>0</v>
      </c>
      <c r="N203" s="25">
        <v>0</v>
      </c>
      <c r="O203" s="25">
        <v>0</v>
      </c>
      <c r="P203" s="25">
        <v>0</v>
      </c>
      <c r="Q203" s="25">
        <v>0</v>
      </c>
      <c r="R203" s="25">
        <v>0</v>
      </c>
      <c r="S203" s="25">
        <v>0</v>
      </c>
      <c r="T203" s="25">
        <v>0</v>
      </c>
      <c r="U203" s="25">
        <v>0</v>
      </c>
      <c r="V203" s="25">
        <v>0</v>
      </c>
      <c r="W203" s="25">
        <v>0</v>
      </c>
      <c r="X203" s="25">
        <v>0</v>
      </c>
      <c r="Y203" s="25">
        <v>0</v>
      </c>
      <c r="Z203" s="25">
        <v>0</v>
      </c>
      <c r="AA203" s="25">
        <v>0</v>
      </c>
      <c r="AB203" s="25">
        <v>0</v>
      </c>
      <c r="AC203" s="25">
        <v>0</v>
      </c>
      <c r="AD203" s="25">
        <v>0</v>
      </c>
      <c r="AE203" s="25">
        <v>0</v>
      </c>
      <c r="AF203" s="25">
        <v>0</v>
      </c>
      <c r="AG203" s="25">
        <v>0</v>
      </c>
      <c r="AH203" s="25">
        <v>0</v>
      </c>
      <c r="AI203" s="25">
        <v>0</v>
      </c>
      <c r="AJ203" s="25">
        <v>0</v>
      </c>
    </row>
    <row r="204" spans="1:36" x14ac:dyDescent="0.25">
      <c r="A204" s="77" t="s">
        <v>606</v>
      </c>
      <c r="B204" t="s">
        <v>305</v>
      </c>
      <c r="C204" s="25">
        <v>0</v>
      </c>
      <c r="D204" s="25">
        <v>0</v>
      </c>
      <c r="E204" s="25">
        <v>0</v>
      </c>
      <c r="F204" s="25">
        <v>0</v>
      </c>
      <c r="G204" s="25">
        <v>0</v>
      </c>
      <c r="H204" s="25">
        <v>0</v>
      </c>
      <c r="I204" s="25">
        <v>0</v>
      </c>
      <c r="J204" s="25">
        <v>0</v>
      </c>
      <c r="K204" s="25">
        <v>0</v>
      </c>
      <c r="L204" s="25">
        <v>0</v>
      </c>
      <c r="M204" s="25">
        <v>0</v>
      </c>
      <c r="N204" s="25">
        <v>0</v>
      </c>
      <c r="O204" s="25">
        <v>0</v>
      </c>
      <c r="P204" s="25">
        <v>0</v>
      </c>
      <c r="Q204" s="25">
        <v>0</v>
      </c>
      <c r="R204" s="25">
        <v>0</v>
      </c>
      <c r="S204" s="25">
        <v>0</v>
      </c>
      <c r="T204" s="25">
        <v>0</v>
      </c>
      <c r="U204" s="25">
        <v>0</v>
      </c>
      <c r="V204" s="25">
        <v>0</v>
      </c>
      <c r="W204" s="25">
        <v>0</v>
      </c>
      <c r="X204" s="25">
        <v>0</v>
      </c>
      <c r="Y204" s="25">
        <v>0</v>
      </c>
      <c r="Z204" s="25">
        <v>0</v>
      </c>
      <c r="AA204" s="25">
        <v>0</v>
      </c>
      <c r="AB204" s="25">
        <v>0</v>
      </c>
      <c r="AC204" s="25">
        <v>0</v>
      </c>
      <c r="AD204" s="25">
        <v>0</v>
      </c>
      <c r="AE204" s="25">
        <v>0</v>
      </c>
      <c r="AF204" s="25">
        <v>0</v>
      </c>
      <c r="AG204" s="25">
        <v>0</v>
      </c>
      <c r="AH204" s="25">
        <v>0</v>
      </c>
      <c r="AI204" s="25">
        <v>0</v>
      </c>
      <c r="AJ204" s="25">
        <v>0</v>
      </c>
    </row>
    <row r="205" spans="1:36" x14ac:dyDescent="0.25">
      <c r="A205" s="77" t="s">
        <v>607</v>
      </c>
      <c r="B205" t="s">
        <v>305</v>
      </c>
      <c r="C205" s="25">
        <v>15</v>
      </c>
      <c r="D205" s="25">
        <v>15</v>
      </c>
      <c r="E205" s="25">
        <v>15</v>
      </c>
      <c r="F205" s="25">
        <v>15</v>
      </c>
      <c r="G205" s="25">
        <v>15</v>
      </c>
      <c r="H205" s="25">
        <v>15</v>
      </c>
      <c r="I205" s="25">
        <v>15</v>
      </c>
      <c r="J205" s="25">
        <v>15</v>
      </c>
      <c r="K205" s="25">
        <v>15</v>
      </c>
      <c r="L205" s="25">
        <v>15</v>
      </c>
      <c r="M205" s="25">
        <v>15</v>
      </c>
      <c r="N205" s="25">
        <v>15</v>
      </c>
      <c r="O205" s="25">
        <v>15</v>
      </c>
      <c r="P205" s="25">
        <v>15</v>
      </c>
      <c r="Q205" s="25">
        <v>15</v>
      </c>
      <c r="R205" s="25">
        <v>15</v>
      </c>
      <c r="S205" s="25">
        <v>15</v>
      </c>
      <c r="T205" s="25">
        <v>15</v>
      </c>
      <c r="U205" s="25">
        <v>15</v>
      </c>
      <c r="V205" s="25">
        <v>15</v>
      </c>
      <c r="W205" s="25">
        <v>15</v>
      </c>
      <c r="X205" s="25">
        <v>15</v>
      </c>
      <c r="Y205" s="25">
        <v>15</v>
      </c>
      <c r="Z205" s="25">
        <v>15</v>
      </c>
      <c r="AA205" s="25">
        <v>15</v>
      </c>
      <c r="AB205" s="25">
        <v>15</v>
      </c>
      <c r="AC205" s="25">
        <v>15</v>
      </c>
      <c r="AD205" s="25">
        <v>15</v>
      </c>
      <c r="AE205" s="25">
        <v>15</v>
      </c>
      <c r="AF205" s="25">
        <v>15</v>
      </c>
      <c r="AG205" s="25">
        <v>15</v>
      </c>
      <c r="AH205" s="25">
        <v>15</v>
      </c>
      <c r="AI205" s="25">
        <v>15</v>
      </c>
      <c r="AJ205" s="25">
        <v>15</v>
      </c>
    </row>
    <row r="206" spans="1:36" x14ac:dyDescent="0.25">
      <c r="A206" s="77" t="s">
        <v>608</v>
      </c>
      <c r="B206" t="s">
        <v>305</v>
      </c>
      <c r="C206" s="25">
        <v>0</v>
      </c>
      <c r="D206" s="25">
        <v>0</v>
      </c>
      <c r="E206" s="25">
        <v>0</v>
      </c>
      <c r="F206" s="25">
        <v>0</v>
      </c>
      <c r="G206" s="25">
        <v>0</v>
      </c>
      <c r="H206" s="25">
        <v>0</v>
      </c>
      <c r="I206" s="25">
        <v>0</v>
      </c>
      <c r="J206" s="25">
        <v>0</v>
      </c>
      <c r="K206" s="25">
        <v>0</v>
      </c>
      <c r="L206" s="25">
        <v>0</v>
      </c>
      <c r="M206" s="25">
        <v>0</v>
      </c>
      <c r="N206" s="25">
        <v>0</v>
      </c>
      <c r="O206" s="25">
        <v>0</v>
      </c>
      <c r="P206" s="25">
        <v>0</v>
      </c>
      <c r="Q206" s="25">
        <v>0</v>
      </c>
      <c r="R206" s="25">
        <v>0</v>
      </c>
      <c r="S206" s="25">
        <v>0</v>
      </c>
      <c r="T206" s="25">
        <v>0</v>
      </c>
      <c r="U206" s="25">
        <v>0</v>
      </c>
      <c r="V206" s="25">
        <v>0</v>
      </c>
      <c r="W206" s="25">
        <v>0</v>
      </c>
      <c r="X206" s="25">
        <v>0</v>
      </c>
      <c r="Y206" s="25">
        <v>0</v>
      </c>
      <c r="Z206" s="25">
        <v>0</v>
      </c>
      <c r="AA206" s="25">
        <v>0</v>
      </c>
      <c r="AB206" s="25">
        <v>0</v>
      </c>
      <c r="AC206" s="25">
        <v>0</v>
      </c>
      <c r="AD206" s="25">
        <v>0</v>
      </c>
      <c r="AE206" s="25">
        <v>0</v>
      </c>
      <c r="AF206" s="25">
        <v>0</v>
      </c>
      <c r="AG206" s="25">
        <v>0</v>
      </c>
      <c r="AH206" s="25">
        <v>0</v>
      </c>
      <c r="AI206" s="25">
        <v>0</v>
      </c>
      <c r="AJ206" s="25">
        <v>0</v>
      </c>
    </row>
    <row r="207" spans="1:36" x14ac:dyDescent="0.25">
      <c r="A207" s="77" t="s">
        <v>766</v>
      </c>
      <c r="B207" t="s">
        <v>305</v>
      </c>
      <c r="C207" s="25">
        <v>0</v>
      </c>
      <c r="D207" s="25">
        <v>0</v>
      </c>
      <c r="E207" s="25">
        <v>0</v>
      </c>
      <c r="F207" s="25">
        <v>0</v>
      </c>
      <c r="G207" s="25">
        <v>0</v>
      </c>
      <c r="H207" s="25">
        <v>0</v>
      </c>
      <c r="I207" s="25">
        <v>0</v>
      </c>
      <c r="J207" s="25">
        <v>0</v>
      </c>
      <c r="K207" s="25">
        <v>0</v>
      </c>
      <c r="L207" s="25">
        <v>0</v>
      </c>
      <c r="M207" s="25">
        <v>0</v>
      </c>
      <c r="N207" s="25">
        <v>0</v>
      </c>
      <c r="O207" s="25">
        <v>0</v>
      </c>
      <c r="P207" s="25">
        <v>0</v>
      </c>
      <c r="Q207" s="25">
        <v>0</v>
      </c>
      <c r="R207" s="25">
        <v>0</v>
      </c>
      <c r="S207" s="25">
        <v>0</v>
      </c>
      <c r="T207" s="25">
        <v>0</v>
      </c>
      <c r="U207" s="25">
        <v>0</v>
      </c>
      <c r="V207" s="25">
        <v>0</v>
      </c>
      <c r="W207" s="25">
        <v>0</v>
      </c>
      <c r="X207" s="25">
        <v>0</v>
      </c>
      <c r="Y207" s="25">
        <v>0</v>
      </c>
      <c r="Z207" s="25">
        <v>0</v>
      </c>
      <c r="AA207" s="25">
        <v>0</v>
      </c>
      <c r="AB207" s="25">
        <v>0</v>
      </c>
      <c r="AC207" s="25">
        <v>0</v>
      </c>
      <c r="AD207" s="25">
        <v>0</v>
      </c>
      <c r="AE207" s="25">
        <v>0</v>
      </c>
      <c r="AF207" s="25">
        <v>0</v>
      </c>
      <c r="AG207" s="25">
        <v>0</v>
      </c>
      <c r="AH207" s="25">
        <v>0</v>
      </c>
      <c r="AI207" s="25">
        <v>0</v>
      </c>
      <c r="AJ207" s="25">
        <v>0</v>
      </c>
    </row>
    <row r="208" spans="1:36" s="78" customFormat="1" x14ac:dyDescent="0.25">
      <c r="A208" s="78" t="s">
        <v>780</v>
      </c>
      <c r="C208" s="79">
        <f>+SUM(C197:C207)</f>
        <v>100</v>
      </c>
      <c r="D208" s="79">
        <f t="shared" ref="D208" si="430">+SUM(D197:D207)</f>
        <v>100</v>
      </c>
      <c r="E208" s="79">
        <f t="shared" ref="E208" si="431">+SUM(E197:E207)</f>
        <v>100</v>
      </c>
      <c r="F208" s="79">
        <f t="shared" ref="F208" si="432">+SUM(F197:F207)</f>
        <v>100</v>
      </c>
      <c r="G208" s="79">
        <f t="shared" ref="G208" si="433">+SUM(G197:G207)</f>
        <v>100</v>
      </c>
      <c r="H208" s="79">
        <f t="shared" ref="H208" si="434">+SUM(H197:H207)</f>
        <v>100</v>
      </c>
      <c r="I208" s="79">
        <f t="shared" ref="I208" si="435">+SUM(I197:I207)</f>
        <v>100</v>
      </c>
      <c r="J208" s="79">
        <f t="shared" ref="J208" si="436">+SUM(J197:J207)</f>
        <v>100</v>
      </c>
      <c r="K208" s="79">
        <f t="shared" ref="K208" si="437">+SUM(K197:K207)</f>
        <v>100</v>
      </c>
      <c r="L208" s="79">
        <f t="shared" ref="L208" si="438">+SUM(L197:L207)</f>
        <v>100</v>
      </c>
      <c r="M208" s="79">
        <f t="shared" ref="M208" si="439">+SUM(M197:M207)</f>
        <v>100</v>
      </c>
      <c r="N208" s="79">
        <f t="shared" ref="N208" si="440">+SUM(N197:N207)</f>
        <v>100</v>
      </c>
      <c r="O208" s="79">
        <f t="shared" ref="O208" si="441">+SUM(O197:O207)</f>
        <v>100</v>
      </c>
      <c r="P208" s="79">
        <f t="shared" ref="P208" si="442">+SUM(P197:P207)</f>
        <v>100</v>
      </c>
      <c r="Q208" s="79">
        <f t="shared" ref="Q208" si="443">+SUM(Q197:Q207)</f>
        <v>100</v>
      </c>
      <c r="R208" s="79">
        <f t="shared" ref="R208" si="444">+SUM(R197:R207)</f>
        <v>100</v>
      </c>
      <c r="S208" s="79">
        <f t="shared" ref="S208" si="445">+SUM(S197:S207)</f>
        <v>100</v>
      </c>
      <c r="T208" s="79">
        <f t="shared" ref="T208" si="446">+SUM(T197:T207)</f>
        <v>100</v>
      </c>
      <c r="U208" s="79">
        <f t="shared" ref="U208" si="447">+SUM(U197:U207)</f>
        <v>100</v>
      </c>
      <c r="V208" s="79">
        <f t="shared" ref="V208" si="448">+SUM(V197:V207)</f>
        <v>100</v>
      </c>
      <c r="W208" s="79">
        <f t="shared" ref="W208" si="449">+SUM(W197:W207)</f>
        <v>100</v>
      </c>
      <c r="X208" s="79">
        <f t="shared" ref="X208" si="450">+SUM(X197:X207)</f>
        <v>100</v>
      </c>
      <c r="Y208" s="79">
        <f t="shared" ref="Y208" si="451">+SUM(Y197:Y207)</f>
        <v>100</v>
      </c>
      <c r="Z208" s="79">
        <f t="shared" ref="Z208" si="452">+SUM(Z197:Z207)</f>
        <v>100</v>
      </c>
      <c r="AA208" s="79">
        <f t="shared" ref="AA208" si="453">+SUM(AA197:AA207)</f>
        <v>100</v>
      </c>
      <c r="AB208" s="79">
        <f t="shared" ref="AB208" si="454">+SUM(AB197:AB207)</f>
        <v>100</v>
      </c>
      <c r="AC208" s="79">
        <f t="shared" ref="AC208" si="455">+SUM(AC197:AC207)</f>
        <v>100</v>
      </c>
      <c r="AD208" s="79">
        <f t="shared" ref="AD208" si="456">+SUM(AD197:AD207)</f>
        <v>100</v>
      </c>
      <c r="AE208" s="79">
        <f t="shared" ref="AE208" si="457">+SUM(AE197:AE207)</f>
        <v>100</v>
      </c>
      <c r="AF208" s="79">
        <f t="shared" ref="AF208" si="458">+SUM(AF197:AF207)</f>
        <v>100</v>
      </c>
      <c r="AG208" s="79">
        <f t="shared" ref="AG208" si="459">+SUM(AG197:AG207)</f>
        <v>100</v>
      </c>
      <c r="AH208" s="79">
        <f t="shared" ref="AH208" si="460">+SUM(AH197:AH207)</f>
        <v>100</v>
      </c>
      <c r="AI208" s="79">
        <f t="shared" ref="AI208" si="461">+SUM(AI197:AI207)</f>
        <v>100</v>
      </c>
      <c r="AJ208" s="79">
        <f t="shared" ref="AJ208" si="462">+SUM(AJ197:AJ207)</f>
        <v>100</v>
      </c>
    </row>
    <row r="209" spans="1:36" x14ac:dyDescent="0.25">
      <c r="A209" t="s">
        <v>609</v>
      </c>
      <c r="B209" t="s">
        <v>305</v>
      </c>
      <c r="C209" s="25">
        <v>0</v>
      </c>
      <c r="D209" s="25">
        <v>0</v>
      </c>
      <c r="E209" s="25">
        <v>0</v>
      </c>
      <c r="F209" s="25">
        <v>0</v>
      </c>
      <c r="G209" s="25">
        <v>0</v>
      </c>
      <c r="H209" s="25">
        <v>0</v>
      </c>
      <c r="I209" s="25">
        <v>0</v>
      </c>
      <c r="J209" s="25">
        <v>0</v>
      </c>
      <c r="K209" s="25">
        <v>0</v>
      </c>
      <c r="L209" s="25">
        <v>0</v>
      </c>
      <c r="M209" s="25">
        <v>0</v>
      </c>
      <c r="N209" s="25">
        <v>0</v>
      </c>
      <c r="O209" s="25">
        <v>0</v>
      </c>
      <c r="P209" s="25">
        <v>0</v>
      </c>
      <c r="Q209" s="25">
        <v>0</v>
      </c>
      <c r="R209" s="25">
        <v>0</v>
      </c>
      <c r="S209" s="25">
        <v>0</v>
      </c>
      <c r="T209" s="25">
        <v>0</v>
      </c>
      <c r="U209" s="25">
        <v>0</v>
      </c>
      <c r="V209" s="25">
        <v>0</v>
      </c>
      <c r="W209" s="25">
        <v>0</v>
      </c>
      <c r="X209" s="25">
        <v>0</v>
      </c>
      <c r="Y209" s="25">
        <v>0</v>
      </c>
      <c r="Z209" s="25">
        <v>0</v>
      </c>
      <c r="AA209" s="25">
        <v>0</v>
      </c>
      <c r="AB209" s="25">
        <v>0</v>
      </c>
      <c r="AC209" s="25">
        <v>0</v>
      </c>
      <c r="AD209" s="25">
        <v>0</v>
      </c>
      <c r="AE209" s="25">
        <v>0</v>
      </c>
      <c r="AF209" s="25">
        <v>0</v>
      </c>
      <c r="AG209" s="25">
        <v>0</v>
      </c>
      <c r="AH209" s="25">
        <v>0</v>
      </c>
      <c r="AI209" s="25">
        <v>0</v>
      </c>
      <c r="AJ209" s="25">
        <v>0</v>
      </c>
    </row>
    <row r="210" spans="1:36" x14ac:dyDescent="0.25">
      <c r="A210" t="s">
        <v>610</v>
      </c>
      <c r="B210" t="s">
        <v>305</v>
      </c>
      <c r="C210" s="25">
        <v>5</v>
      </c>
      <c r="D210" s="25">
        <v>5</v>
      </c>
      <c r="E210" s="25">
        <v>5</v>
      </c>
      <c r="F210" s="25">
        <v>5</v>
      </c>
      <c r="G210" s="25">
        <v>5</v>
      </c>
      <c r="H210" s="25">
        <v>5</v>
      </c>
      <c r="I210" s="25">
        <v>5</v>
      </c>
      <c r="J210" s="25">
        <v>5</v>
      </c>
      <c r="K210" s="25">
        <v>5</v>
      </c>
      <c r="L210" s="25">
        <v>5</v>
      </c>
      <c r="M210" s="25">
        <v>5</v>
      </c>
      <c r="N210" s="25">
        <v>5</v>
      </c>
      <c r="O210" s="25">
        <v>5</v>
      </c>
      <c r="P210" s="25">
        <v>5</v>
      </c>
      <c r="Q210" s="25">
        <v>5</v>
      </c>
      <c r="R210" s="25">
        <v>5</v>
      </c>
      <c r="S210" s="25">
        <v>5</v>
      </c>
      <c r="T210" s="25">
        <v>5</v>
      </c>
      <c r="U210" s="25">
        <v>5</v>
      </c>
      <c r="V210" s="25">
        <v>5</v>
      </c>
      <c r="W210" s="25">
        <v>5</v>
      </c>
      <c r="X210" s="25">
        <v>5</v>
      </c>
      <c r="Y210" s="25">
        <v>5</v>
      </c>
      <c r="Z210" s="25">
        <v>5</v>
      </c>
      <c r="AA210" s="25">
        <v>5</v>
      </c>
      <c r="AB210" s="25">
        <v>5</v>
      </c>
      <c r="AC210" s="25">
        <v>5</v>
      </c>
      <c r="AD210" s="25">
        <v>5</v>
      </c>
      <c r="AE210" s="25">
        <v>5</v>
      </c>
      <c r="AF210" s="25">
        <v>5</v>
      </c>
      <c r="AG210" s="25">
        <v>5</v>
      </c>
      <c r="AH210" s="25">
        <v>5</v>
      </c>
      <c r="AI210" s="25">
        <v>5</v>
      </c>
      <c r="AJ210" s="25">
        <v>5</v>
      </c>
    </row>
    <row r="211" spans="1:36" x14ac:dyDescent="0.25">
      <c r="A211" t="s">
        <v>611</v>
      </c>
      <c r="B211" t="s">
        <v>305</v>
      </c>
      <c r="C211" s="25">
        <v>70</v>
      </c>
      <c r="D211" s="25">
        <v>70</v>
      </c>
      <c r="E211" s="25">
        <v>70</v>
      </c>
      <c r="F211" s="25">
        <v>70</v>
      </c>
      <c r="G211" s="25">
        <v>70</v>
      </c>
      <c r="H211" s="25">
        <v>70</v>
      </c>
      <c r="I211" s="25">
        <v>70</v>
      </c>
      <c r="J211" s="25">
        <v>70</v>
      </c>
      <c r="K211" s="25">
        <v>70</v>
      </c>
      <c r="L211" s="25">
        <v>70</v>
      </c>
      <c r="M211" s="25">
        <v>70</v>
      </c>
      <c r="N211" s="25">
        <v>70</v>
      </c>
      <c r="O211" s="25">
        <v>70</v>
      </c>
      <c r="P211" s="25">
        <v>70</v>
      </c>
      <c r="Q211" s="25">
        <v>70</v>
      </c>
      <c r="R211" s="25">
        <v>70</v>
      </c>
      <c r="S211" s="25">
        <v>70</v>
      </c>
      <c r="T211" s="25">
        <v>70</v>
      </c>
      <c r="U211" s="25">
        <v>70</v>
      </c>
      <c r="V211" s="25">
        <v>70</v>
      </c>
      <c r="W211" s="25">
        <v>70</v>
      </c>
      <c r="X211" s="25">
        <v>70</v>
      </c>
      <c r="Y211" s="25">
        <v>70</v>
      </c>
      <c r="Z211" s="25">
        <v>70</v>
      </c>
      <c r="AA211" s="25">
        <v>70</v>
      </c>
      <c r="AB211" s="25">
        <v>70</v>
      </c>
      <c r="AC211" s="25">
        <v>70</v>
      </c>
      <c r="AD211" s="25">
        <v>70</v>
      </c>
      <c r="AE211" s="25">
        <v>70</v>
      </c>
      <c r="AF211" s="25">
        <v>70</v>
      </c>
      <c r="AG211" s="25">
        <v>70</v>
      </c>
      <c r="AH211" s="25">
        <v>70</v>
      </c>
      <c r="AI211" s="25">
        <v>70</v>
      </c>
      <c r="AJ211" s="25">
        <v>70</v>
      </c>
    </row>
    <row r="212" spans="1:36" x14ac:dyDescent="0.25">
      <c r="A212" t="s">
        <v>612</v>
      </c>
      <c r="B212" t="s">
        <v>305</v>
      </c>
      <c r="C212" s="25">
        <v>0</v>
      </c>
      <c r="D212" s="25">
        <v>0</v>
      </c>
      <c r="E212" s="25">
        <v>0</v>
      </c>
      <c r="F212" s="25">
        <v>0</v>
      </c>
      <c r="G212" s="25">
        <v>0</v>
      </c>
      <c r="H212" s="25">
        <v>0</v>
      </c>
      <c r="I212" s="25">
        <v>0</v>
      </c>
      <c r="J212" s="25">
        <v>0</v>
      </c>
      <c r="K212" s="25">
        <v>0</v>
      </c>
      <c r="L212" s="25">
        <v>0</v>
      </c>
      <c r="M212" s="25">
        <v>0</v>
      </c>
      <c r="N212" s="25">
        <v>0</v>
      </c>
      <c r="O212" s="25">
        <v>0</v>
      </c>
      <c r="P212" s="25">
        <v>0</v>
      </c>
      <c r="Q212" s="25">
        <v>0</v>
      </c>
      <c r="R212" s="25">
        <v>0</v>
      </c>
      <c r="S212" s="25">
        <v>0</v>
      </c>
      <c r="T212" s="25">
        <v>0</v>
      </c>
      <c r="U212" s="25">
        <v>0</v>
      </c>
      <c r="V212" s="25">
        <v>0</v>
      </c>
      <c r="W212" s="25">
        <v>0</v>
      </c>
      <c r="X212" s="25">
        <v>0</v>
      </c>
      <c r="Y212" s="25">
        <v>0</v>
      </c>
      <c r="Z212" s="25">
        <v>0</v>
      </c>
      <c r="AA212" s="25">
        <v>0</v>
      </c>
      <c r="AB212" s="25">
        <v>0</v>
      </c>
      <c r="AC212" s="25">
        <v>0</v>
      </c>
      <c r="AD212" s="25">
        <v>0</v>
      </c>
      <c r="AE212" s="25">
        <v>0</v>
      </c>
      <c r="AF212" s="25">
        <v>0</v>
      </c>
      <c r="AG212" s="25">
        <v>0</v>
      </c>
      <c r="AH212" s="25">
        <v>0</v>
      </c>
      <c r="AI212" s="25">
        <v>0</v>
      </c>
      <c r="AJ212" s="25">
        <v>0</v>
      </c>
    </row>
    <row r="213" spans="1:36" x14ac:dyDescent="0.25">
      <c r="A213" t="s">
        <v>613</v>
      </c>
      <c r="B213" t="s">
        <v>305</v>
      </c>
      <c r="C213" s="25">
        <v>5</v>
      </c>
      <c r="D213" s="25">
        <v>5</v>
      </c>
      <c r="E213" s="25">
        <v>5</v>
      </c>
      <c r="F213" s="25">
        <v>5</v>
      </c>
      <c r="G213" s="25">
        <v>5</v>
      </c>
      <c r="H213" s="25">
        <v>5</v>
      </c>
      <c r="I213" s="25">
        <v>5</v>
      </c>
      <c r="J213" s="25">
        <v>5</v>
      </c>
      <c r="K213" s="25">
        <v>5</v>
      </c>
      <c r="L213" s="25">
        <v>5</v>
      </c>
      <c r="M213" s="25">
        <v>5</v>
      </c>
      <c r="N213" s="25">
        <v>5</v>
      </c>
      <c r="O213" s="25">
        <v>5</v>
      </c>
      <c r="P213" s="25">
        <v>5</v>
      </c>
      <c r="Q213" s="25">
        <v>5</v>
      </c>
      <c r="R213" s="25">
        <v>5</v>
      </c>
      <c r="S213" s="25">
        <v>5</v>
      </c>
      <c r="T213" s="25">
        <v>5</v>
      </c>
      <c r="U213" s="25">
        <v>5</v>
      </c>
      <c r="V213" s="25">
        <v>5</v>
      </c>
      <c r="W213" s="25">
        <v>5</v>
      </c>
      <c r="X213" s="25">
        <v>5</v>
      </c>
      <c r="Y213" s="25">
        <v>5</v>
      </c>
      <c r="Z213" s="25">
        <v>5</v>
      </c>
      <c r="AA213" s="25">
        <v>5</v>
      </c>
      <c r="AB213" s="25">
        <v>5</v>
      </c>
      <c r="AC213" s="25">
        <v>5</v>
      </c>
      <c r="AD213" s="25">
        <v>5</v>
      </c>
      <c r="AE213" s="25">
        <v>5</v>
      </c>
      <c r="AF213" s="25">
        <v>5</v>
      </c>
      <c r="AG213" s="25">
        <v>5</v>
      </c>
      <c r="AH213" s="25">
        <v>5</v>
      </c>
      <c r="AI213" s="25">
        <v>5</v>
      </c>
      <c r="AJ213" s="25">
        <v>5</v>
      </c>
    </row>
    <row r="214" spans="1:36" x14ac:dyDescent="0.25">
      <c r="A214" t="s">
        <v>614</v>
      </c>
      <c r="B214" t="s">
        <v>305</v>
      </c>
      <c r="C214" s="25">
        <v>10</v>
      </c>
      <c r="D214" s="25">
        <v>10</v>
      </c>
      <c r="E214" s="25">
        <v>10</v>
      </c>
      <c r="F214" s="25">
        <v>10</v>
      </c>
      <c r="G214" s="25">
        <v>10</v>
      </c>
      <c r="H214" s="25">
        <v>10</v>
      </c>
      <c r="I214" s="25">
        <v>10</v>
      </c>
      <c r="J214" s="25">
        <v>10</v>
      </c>
      <c r="K214" s="25">
        <v>10</v>
      </c>
      <c r="L214" s="25">
        <v>10</v>
      </c>
      <c r="M214" s="25">
        <v>10</v>
      </c>
      <c r="N214" s="25">
        <v>10</v>
      </c>
      <c r="O214" s="25">
        <v>10</v>
      </c>
      <c r="P214" s="25">
        <v>10</v>
      </c>
      <c r="Q214" s="25">
        <v>10</v>
      </c>
      <c r="R214" s="25">
        <v>10</v>
      </c>
      <c r="S214" s="25">
        <v>10</v>
      </c>
      <c r="T214" s="25">
        <v>10</v>
      </c>
      <c r="U214" s="25">
        <v>10</v>
      </c>
      <c r="V214" s="25">
        <v>10</v>
      </c>
      <c r="W214" s="25">
        <v>10</v>
      </c>
      <c r="X214" s="25">
        <v>10</v>
      </c>
      <c r="Y214" s="25">
        <v>10</v>
      </c>
      <c r="Z214" s="25">
        <v>10</v>
      </c>
      <c r="AA214" s="25">
        <v>10</v>
      </c>
      <c r="AB214" s="25">
        <v>10</v>
      </c>
      <c r="AC214" s="25">
        <v>10</v>
      </c>
      <c r="AD214" s="25">
        <v>10</v>
      </c>
      <c r="AE214" s="25">
        <v>10</v>
      </c>
      <c r="AF214" s="25">
        <v>10</v>
      </c>
      <c r="AG214" s="25">
        <v>10</v>
      </c>
      <c r="AH214" s="25">
        <v>10</v>
      </c>
      <c r="AI214" s="25">
        <v>10</v>
      </c>
      <c r="AJ214" s="25">
        <v>10</v>
      </c>
    </row>
    <row r="215" spans="1:36" x14ac:dyDescent="0.25">
      <c r="A215" t="s">
        <v>615</v>
      </c>
      <c r="B215" t="s">
        <v>305</v>
      </c>
      <c r="C215" s="25">
        <v>0</v>
      </c>
      <c r="D215" s="25">
        <v>0</v>
      </c>
      <c r="E215" s="25">
        <v>0</v>
      </c>
      <c r="F215" s="25">
        <v>0</v>
      </c>
      <c r="G215" s="25">
        <v>0</v>
      </c>
      <c r="H215" s="25">
        <v>0</v>
      </c>
      <c r="I215" s="25">
        <v>0</v>
      </c>
      <c r="J215" s="25">
        <v>0</v>
      </c>
      <c r="K215" s="25">
        <v>0</v>
      </c>
      <c r="L215" s="25">
        <v>0</v>
      </c>
      <c r="M215" s="25">
        <v>0</v>
      </c>
      <c r="N215" s="25">
        <v>0</v>
      </c>
      <c r="O215" s="25">
        <v>0</v>
      </c>
      <c r="P215" s="25">
        <v>0</v>
      </c>
      <c r="Q215" s="25">
        <v>0</v>
      </c>
      <c r="R215" s="25">
        <v>0</v>
      </c>
      <c r="S215" s="25">
        <v>0</v>
      </c>
      <c r="T215" s="25">
        <v>0</v>
      </c>
      <c r="U215" s="25">
        <v>0</v>
      </c>
      <c r="V215" s="25">
        <v>0</v>
      </c>
      <c r="W215" s="25">
        <v>0</v>
      </c>
      <c r="X215" s="25">
        <v>0</v>
      </c>
      <c r="Y215" s="25">
        <v>0</v>
      </c>
      <c r="Z215" s="25">
        <v>0</v>
      </c>
      <c r="AA215" s="25">
        <v>0</v>
      </c>
      <c r="AB215" s="25">
        <v>0</v>
      </c>
      <c r="AC215" s="25">
        <v>0</v>
      </c>
      <c r="AD215" s="25">
        <v>0</v>
      </c>
      <c r="AE215" s="25">
        <v>0</v>
      </c>
      <c r="AF215" s="25">
        <v>0</v>
      </c>
      <c r="AG215" s="25">
        <v>0</v>
      </c>
      <c r="AH215" s="25">
        <v>0</v>
      </c>
      <c r="AI215" s="25">
        <v>0</v>
      </c>
      <c r="AJ215" s="25">
        <v>0</v>
      </c>
    </row>
    <row r="216" spans="1:36" x14ac:dyDescent="0.25">
      <c r="A216" t="s">
        <v>616</v>
      </c>
      <c r="B216" t="s">
        <v>305</v>
      </c>
      <c r="C216" s="25">
        <v>10</v>
      </c>
      <c r="D216" s="25">
        <v>10</v>
      </c>
      <c r="E216" s="25">
        <v>10</v>
      </c>
      <c r="F216" s="25">
        <v>10</v>
      </c>
      <c r="G216" s="25">
        <v>10</v>
      </c>
      <c r="H216" s="25">
        <v>10</v>
      </c>
      <c r="I216" s="25">
        <v>10</v>
      </c>
      <c r="J216" s="25">
        <v>10</v>
      </c>
      <c r="K216" s="25">
        <v>10</v>
      </c>
      <c r="L216" s="25">
        <v>10</v>
      </c>
      <c r="M216" s="25">
        <v>10</v>
      </c>
      <c r="N216" s="25">
        <v>10</v>
      </c>
      <c r="O216" s="25">
        <v>10</v>
      </c>
      <c r="P216" s="25">
        <v>10</v>
      </c>
      <c r="Q216" s="25">
        <v>10</v>
      </c>
      <c r="R216" s="25">
        <v>10</v>
      </c>
      <c r="S216" s="25">
        <v>10</v>
      </c>
      <c r="T216" s="25">
        <v>10</v>
      </c>
      <c r="U216" s="25">
        <v>10</v>
      </c>
      <c r="V216" s="25">
        <v>10</v>
      </c>
      <c r="W216" s="25">
        <v>10</v>
      </c>
      <c r="X216" s="25">
        <v>10</v>
      </c>
      <c r="Y216" s="25">
        <v>10</v>
      </c>
      <c r="Z216" s="25">
        <v>10</v>
      </c>
      <c r="AA216" s="25">
        <v>10</v>
      </c>
      <c r="AB216" s="25">
        <v>10</v>
      </c>
      <c r="AC216" s="25">
        <v>10</v>
      </c>
      <c r="AD216" s="25">
        <v>10</v>
      </c>
      <c r="AE216" s="25">
        <v>10</v>
      </c>
      <c r="AF216" s="25">
        <v>10</v>
      </c>
      <c r="AG216" s="25">
        <v>10</v>
      </c>
      <c r="AH216" s="25">
        <v>10</v>
      </c>
      <c r="AI216" s="25">
        <v>10</v>
      </c>
      <c r="AJ216" s="25">
        <v>10</v>
      </c>
    </row>
    <row r="217" spans="1:36" x14ac:dyDescent="0.25">
      <c r="A217" t="s">
        <v>617</v>
      </c>
      <c r="B217" t="s">
        <v>305</v>
      </c>
      <c r="C217" s="25">
        <v>0</v>
      </c>
      <c r="D217" s="25">
        <v>0</v>
      </c>
      <c r="E217" s="25">
        <v>0</v>
      </c>
      <c r="F217" s="25">
        <v>0</v>
      </c>
      <c r="G217" s="25">
        <v>0</v>
      </c>
      <c r="H217" s="25">
        <v>0</v>
      </c>
      <c r="I217" s="25">
        <v>0</v>
      </c>
      <c r="J217" s="25">
        <v>0</v>
      </c>
      <c r="K217" s="25">
        <v>0</v>
      </c>
      <c r="L217" s="25">
        <v>0</v>
      </c>
      <c r="M217" s="25">
        <v>0</v>
      </c>
      <c r="N217" s="25">
        <v>0</v>
      </c>
      <c r="O217" s="25">
        <v>0</v>
      </c>
      <c r="P217" s="25">
        <v>0</v>
      </c>
      <c r="Q217" s="25">
        <v>0</v>
      </c>
      <c r="R217" s="25">
        <v>0</v>
      </c>
      <c r="S217" s="25">
        <v>0</v>
      </c>
      <c r="T217" s="25">
        <v>0</v>
      </c>
      <c r="U217" s="25">
        <v>0</v>
      </c>
      <c r="V217" s="25">
        <v>0</v>
      </c>
      <c r="W217" s="25">
        <v>0</v>
      </c>
      <c r="X217" s="25">
        <v>0</v>
      </c>
      <c r="Y217" s="25">
        <v>0</v>
      </c>
      <c r="Z217" s="25">
        <v>0</v>
      </c>
      <c r="AA217" s="25">
        <v>0</v>
      </c>
      <c r="AB217" s="25">
        <v>0</v>
      </c>
      <c r="AC217" s="25">
        <v>0</v>
      </c>
      <c r="AD217" s="25">
        <v>0</v>
      </c>
      <c r="AE217" s="25">
        <v>0</v>
      </c>
      <c r="AF217" s="25">
        <v>0</v>
      </c>
      <c r="AG217" s="25">
        <v>0</v>
      </c>
      <c r="AH217" s="25">
        <v>0</v>
      </c>
      <c r="AI217" s="25">
        <v>0</v>
      </c>
      <c r="AJ217" s="25">
        <v>0</v>
      </c>
    </row>
    <row r="218" spans="1:36" x14ac:dyDescent="0.25">
      <c r="A218" t="s">
        <v>618</v>
      </c>
      <c r="B218" t="s">
        <v>305</v>
      </c>
      <c r="C218" s="25">
        <v>0</v>
      </c>
      <c r="D218" s="25">
        <v>0</v>
      </c>
      <c r="E218" s="25">
        <v>0</v>
      </c>
      <c r="F218" s="25">
        <v>0</v>
      </c>
      <c r="G218" s="25">
        <v>0</v>
      </c>
      <c r="H218" s="25">
        <v>0</v>
      </c>
      <c r="I218" s="25">
        <v>0</v>
      </c>
      <c r="J218" s="25">
        <v>0</v>
      </c>
      <c r="K218" s="25">
        <v>0</v>
      </c>
      <c r="L218" s="25">
        <v>0</v>
      </c>
      <c r="M218" s="25">
        <v>0</v>
      </c>
      <c r="N218" s="25">
        <v>0</v>
      </c>
      <c r="O218" s="25">
        <v>0</v>
      </c>
      <c r="P218" s="25">
        <v>0</v>
      </c>
      <c r="Q218" s="25">
        <v>0</v>
      </c>
      <c r="R218" s="25">
        <v>0</v>
      </c>
      <c r="S218" s="25">
        <v>0</v>
      </c>
      <c r="T218" s="25">
        <v>0</v>
      </c>
      <c r="U218" s="25">
        <v>0</v>
      </c>
      <c r="V218" s="25">
        <v>0</v>
      </c>
      <c r="W218" s="25">
        <v>0</v>
      </c>
      <c r="X218" s="25">
        <v>0</v>
      </c>
      <c r="Y218" s="25">
        <v>0</v>
      </c>
      <c r="Z218" s="25">
        <v>0</v>
      </c>
      <c r="AA218" s="25">
        <v>0</v>
      </c>
      <c r="AB218" s="25">
        <v>0</v>
      </c>
      <c r="AC218" s="25">
        <v>0</v>
      </c>
      <c r="AD218" s="25">
        <v>0</v>
      </c>
      <c r="AE218" s="25">
        <v>0</v>
      </c>
      <c r="AF218" s="25">
        <v>0</v>
      </c>
      <c r="AG218" s="25">
        <v>0</v>
      </c>
      <c r="AH218" s="25">
        <v>0</v>
      </c>
      <c r="AI218" s="25">
        <v>0</v>
      </c>
      <c r="AJ218" s="25">
        <v>0</v>
      </c>
    </row>
    <row r="219" spans="1:36" x14ac:dyDescent="0.25">
      <c r="A219" t="s">
        <v>767</v>
      </c>
      <c r="B219" t="s">
        <v>305</v>
      </c>
      <c r="C219" s="25">
        <v>0</v>
      </c>
      <c r="D219" s="25">
        <v>0</v>
      </c>
      <c r="E219" s="25">
        <v>0</v>
      </c>
      <c r="F219" s="25">
        <v>0</v>
      </c>
      <c r="G219" s="25">
        <v>0</v>
      </c>
      <c r="H219" s="25">
        <v>0</v>
      </c>
      <c r="I219" s="25">
        <v>0</v>
      </c>
      <c r="J219" s="25">
        <v>0</v>
      </c>
      <c r="K219" s="25">
        <v>0</v>
      </c>
      <c r="L219" s="25">
        <v>0</v>
      </c>
      <c r="M219" s="25">
        <v>0</v>
      </c>
      <c r="N219" s="25">
        <v>0</v>
      </c>
      <c r="O219" s="25">
        <v>0</v>
      </c>
      <c r="P219" s="25">
        <v>0</v>
      </c>
      <c r="Q219" s="25">
        <v>0</v>
      </c>
      <c r="R219" s="25">
        <v>0</v>
      </c>
      <c r="S219" s="25">
        <v>0</v>
      </c>
      <c r="T219" s="25">
        <v>0</v>
      </c>
      <c r="U219" s="25">
        <v>0</v>
      </c>
      <c r="V219" s="25">
        <v>0</v>
      </c>
      <c r="W219" s="25">
        <v>0</v>
      </c>
      <c r="X219" s="25">
        <v>0</v>
      </c>
      <c r="Y219" s="25">
        <v>0</v>
      </c>
      <c r="Z219" s="25">
        <v>0</v>
      </c>
      <c r="AA219" s="25">
        <v>0</v>
      </c>
      <c r="AB219" s="25">
        <v>0</v>
      </c>
      <c r="AC219" s="25">
        <v>0</v>
      </c>
      <c r="AD219" s="25">
        <v>0</v>
      </c>
      <c r="AE219" s="25">
        <v>0</v>
      </c>
      <c r="AF219" s="25">
        <v>0</v>
      </c>
      <c r="AG219" s="25">
        <v>0</v>
      </c>
      <c r="AH219" s="25">
        <v>0</v>
      </c>
      <c r="AI219" s="25">
        <v>0</v>
      </c>
      <c r="AJ219" s="25">
        <v>0</v>
      </c>
    </row>
    <row r="220" spans="1:36" s="78" customFormat="1" x14ac:dyDescent="0.25">
      <c r="A220" s="78" t="s">
        <v>780</v>
      </c>
      <c r="C220" s="79">
        <f>+SUM(C209:C219)</f>
        <v>100</v>
      </c>
      <c r="D220" s="79">
        <f t="shared" ref="D220" si="463">+SUM(D209:D219)</f>
        <v>100</v>
      </c>
      <c r="E220" s="79">
        <f t="shared" ref="E220" si="464">+SUM(E209:E219)</f>
        <v>100</v>
      </c>
      <c r="F220" s="79">
        <f t="shared" ref="F220" si="465">+SUM(F209:F219)</f>
        <v>100</v>
      </c>
      <c r="G220" s="79">
        <f t="shared" ref="G220" si="466">+SUM(G209:G219)</f>
        <v>100</v>
      </c>
      <c r="H220" s="79">
        <f t="shared" ref="H220" si="467">+SUM(H209:H219)</f>
        <v>100</v>
      </c>
      <c r="I220" s="79">
        <f t="shared" ref="I220" si="468">+SUM(I209:I219)</f>
        <v>100</v>
      </c>
      <c r="J220" s="79">
        <f t="shared" ref="J220" si="469">+SUM(J209:J219)</f>
        <v>100</v>
      </c>
      <c r="K220" s="79">
        <f t="shared" ref="K220" si="470">+SUM(K209:K219)</f>
        <v>100</v>
      </c>
      <c r="L220" s="79">
        <f t="shared" ref="L220" si="471">+SUM(L209:L219)</f>
        <v>100</v>
      </c>
      <c r="M220" s="79">
        <f t="shared" ref="M220" si="472">+SUM(M209:M219)</f>
        <v>100</v>
      </c>
      <c r="N220" s="79">
        <f t="shared" ref="N220" si="473">+SUM(N209:N219)</f>
        <v>100</v>
      </c>
      <c r="O220" s="79">
        <f t="shared" ref="O220" si="474">+SUM(O209:O219)</f>
        <v>100</v>
      </c>
      <c r="P220" s="79">
        <f t="shared" ref="P220" si="475">+SUM(P209:P219)</f>
        <v>100</v>
      </c>
      <c r="Q220" s="79">
        <f t="shared" ref="Q220" si="476">+SUM(Q209:Q219)</f>
        <v>100</v>
      </c>
      <c r="R220" s="79">
        <f t="shared" ref="R220" si="477">+SUM(R209:R219)</f>
        <v>100</v>
      </c>
      <c r="S220" s="79">
        <f t="shared" ref="S220" si="478">+SUM(S209:S219)</f>
        <v>100</v>
      </c>
      <c r="T220" s="79">
        <f t="shared" ref="T220" si="479">+SUM(T209:T219)</f>
        <v>100</v>
      </c>
      <c r="U220" s="79">
        <f t="shared" ref="U220" si="480">+SUM(U209:U219)</f>
        <v>100</v>
      </c>
      <c r="V220" s="79">
        <f t="shared" ref="V220" si="481">+SUM(V209:V219)</f>
        <v>100</v>
      </c>
      <c r="W220" s="79">
        <f t="shared" ref="W220" si="482">+SUM(W209:W219)</f>
        <v>100</v>
      </c>
      <c r="X220" s="79">
        <f t="shared" ref="X220" si="483">+SUM(X209:X219)</f>
        <v>100</v>
      </c>
      <c r="Y220" s="79">
        <f t="shared" ref="Y220" si="484">+SUM(Y209:Y219)</f>
        <v>100</v>
      </c>
      <c r="Z220" s="79">
        <f t="shared" ref="Z220" si="485">+SUM(Z209:Z219)</f>
        <v>100</v>
      </c>
      <c r="AA220" s="79">
        <f t="shared" ref="AA220" si="486">+SUM(AA209:AA219)</f>
        <v>100</v>
      </c>
      <c r="AB220" s="79">
        <f t="shared" ref="AB220" si="487">+SUM(AB209:AB219)</f>
        <v>100</v>
      </c>
      <c r="AC220" s="79">
        <f t="shared" ref="AC220" si="488">+SUM(AC209:AC219)</f>
        <v>100</v>
      </c>
      <c r="AD220" s="79">
        <f t="shared" ref="AD220" si="489">+SUM(AD209:AD219)</f>
        <v>100</v>
      </c>
      <c r="AE220" s="79">
        <f t="shared" ref="AE220" si="490">+SUM(AE209:AE219)</f>
        <v>100</v>
      </c>
      <c r="AF220" s="79">
        <f t="shared" ref="AF220" si="491">+SUM(AF209:AF219)</f>
        <v>100</v>
      </c>
      <c r="AG220" s="79">
        <f t="shared" ref="AG220" si="492">+SUM(AG209:AG219)</f>
        <v>100</v>
      </c>
      <c r="AH220" s="79">
        <f t="shared" ref="AH220" si="493">+SUM(AH209:AH219)</f>
        <v>100</v>
      </c>
      <c r="AI220" s="79">
        <f t="shared" ref="AI220" si="494">+SUM(AI209:AI219)</f>
        <v>100</v>
      </c>
      <c r="AJ220" s="79">
        <f t="shared" ref="AJ220" si="495">+SUM(AJ209:AJ219)</f>
        <v>100</v>
      </c>
    </row>
    <row r="221" spans="1:36" x14ac:dyDescent="0.25">
      <c r="A221" t="s">
        <v>619</v>
      </c>
      <c r="B221" t="s">
        <v>305</v>
      </c>
      <c r="C221" s="25">
        <v>0</v>
      </c>
      <c r="D221" s="25">
        <v>0</v>
      </c>
      <c r="E221" s="25">
        <v>0</v>
      </c>
      <c r="F221" s="25">
        <v>0</v>
      </c>
      <c r="G221" s="25">
        <v>0</v>
      </c>
      <c r="H221" s="25">
        <v>0</v>
      </c>
      <c r="I221" s="25">
        <v>0</v>
      </c>
      <c r="J221" s="25">
        <v>0</v>
      </c>
      <c r="K221" s="25">
        <v>0</v>
      </c>
      <c r="L221" s="25">
        <v>0</v>
      </c>
      <c r="M221" s="25">
        <v>0</v>
      </c>
      <c r="N221" s="25">
        <v>0</v>
      </c>
      <c r="O221" s="25">
        <v>0</v>
      </c>
      <c r="P221" s="25">
        <v>0</v>
      </c>
      <c r="Q221" s="25">
        <v>0</v>
      </c>
      <c r="R221" s="25">
        <v>0</v>
      </c>
      <c r="S221" s="25">
        <v>0</v>
      </c>
      <c r="T221" s="25">
        <v>0</v>
      </c>
      <c r="U221" s="25">
        <v>0</v>
      </c>
      <c r="V221" s="25">
        <v>0</v>
      </c>
      <c r="W221" s="25">
        <v>0</v>
      </c>
      <c r="X221" s="25">
        <v>0</v>
      </c>
      <c r="Y221" s="25">
        <v>0</v>
      </c>
      <c r="Z221" s="25">
        <v>0</v>
      </c>
      <c r="AA221" s="25">
        <v>0</v>
      </c>
      <c r="AB221" s="25">
        <v>0</v>
      </c>
      <c r="AC221" s="25">
        <v>0</v>
      </c>
      <c r="AD221" s="25">
        <v>0</v>
      </c>
      <c r="AE221" s="25">
        <v>0</v>
      </c>
      <c r="AF221" s="25">
        <v>0</v>
      </c>
      <c r="AG221" s="25">
        <v>0</v>
      </c>
      <c r="AH221" s="25">
        <v>0</v>
      </c>
      <c r="AI221" s="25">
        <v>0</v>
      </c>
      <c r="AJ221" s="25">
        <v>0</v>
      </c>
    </row>
    <row r="222" spans="1:36" x14ac:dyDescent="0.25">
      <c r="A222" t="s">
        <v>620</v>
      </c>
      <c r="B222" t="s">
        <v>305</v>
      </c>
      <c r="C222" s="25">
        <v>0</v>
      </c>
      <c r="D222" s="25">
        <v>0</v>
      </c>
      <c r="E222" s="25">
        <v>0</v>
      </c>
      <c r="F222" s="25">
        <v>0</v>
      </c>
      <c r="G222" s="25">
        <v>0</v>
      </c>
      <c r="H222" s="25">
        <v>0</v>
      </c>
      <c r="I222" s="25">
        <v>0</v>
      </c>
      <c r="J222" s="25">
        <v>0</v>
      </c>
      <c r="K222" s="25">
        <v>0</v>
      </c>
      <c r="L222" s="25">
        <v>0</v>
      </c>
      <c r="M222" s="25">
        <v>0</v>
      </c>
      <c r="N222" s="25">
        <v>0</v>
      </c>
      <c r="O222" s="25">
        <v>0</v>
      </c>
      <c r="P222" s="25">
        <v>0</v>
      </c>
      <c r="Q222" s="25">
        <v>0</v>
      </c>
      <c r="R222" s="25">
        <v>0</v>
      </c>
      <c r="S222" s="25">
        <v>0</v>
      </c>
      <c r="T222" s="25">
        <v>0</v>
      </c>
      <c r="U222" s="25">
        <v>0</v>
      </c>
      <c r="V222" s="25">
        <v>0</v>
      </c>
      <c r="W222" s="25">
        <v>0</v>
      </c>
      <c r="X222" s="25">
        <v>0</v>
      </c>
      <c r="Y222" s="25">
        <v>0</v>
      </c>
      <c r="Z222" s="25">
        <v>0</v>
      </c>
      <c r="AA222" s="25">
        <v>0</v>
      </c>
      <c r="AB222" s="25">
        <v>0</v>
      </c>
      <c r="AC222" s="25">
        <v>0</v>
      </c>
      <c r="AD222" s="25">
        <v>0</v>
      </c>
      <c r="AE222" s="25">
        <v>0</v>
      </c>
      <c r="AF222" s="25">
        <v>0</v>
      </c>
      <c r="AG222" s="25">
        <v>0</v>
      </c>
      <c r="AH222" s="25">
        <v>0</v>
      </c>
      <c r="AI222" s="25">
        <v>0</v>
      </c>
      <c r="AJ222" s="25">
        <v>0</v>
      </c>
    </row>
    <row r="223" spans="1:36" x14ac:dyDescent="0.25">
      <c r="A223" t="s">
        <v>621</v>
      </c>
      <c r="B223" t="s">
        <v>305</v>
      </c>
      <c r="C223" s="25">
        <v>80</v>
      </c>
      <c r="D223" s="25">
        <v>80</v>
      </c>
      <c r="E223" s="25">
        <v>80</v>
      </c>
      <c r="F223" s="25">
        <v>80</v>
      </c>
      <c r="G223" s="25">
        <v>80</v>
      </c>
      <c r="H223" s="25">
        <v>80</v>
      </c>
      <c r="I223" s="25">
        <v>80</v>
      </c>
      <c r="J223" s="25">
        <v>80</v>
      </c>
      <c r="K223" s="25">
        <v>80</v>
      </c>
      <c r="L223" s="25">
        <v>80</v>
      </c>
      <c r="M223" s="25">
        <v>80</v>
      </c>
      <c r="N223" s="25">
        <v>80</v>
      </c>
      <c r="O223" s="25">
        <v>80</v>
      </c>
      <c r="P223" s="25">
        <v>80</v>
      </c>
      <c r="Q223" s="25">
        <v>80</v>
      </c>
      <c r="R223" s="25">
        <v>80</v>
      </c>
      <c r="S223" s="25">
        <v>80</v>
      </c>
      <c r="T223" s="25">
        <v>80</v>
      </c>
      <c r="U223" s="25">
        <v>80</v>
      </c>
      <c r="V223" s="25">
        <v>80</v>
      </c>
      <c r="W223" s="25">
        <v>80</v>
      </c>
      <c r="X223" s="25">
        <v>80</v>
      </c>
      <c r="Y223" s="25">
        <v>80</v>
      </c>
      <c r="Z223" s="25">
        <v>80</v>
      </c>
      <c r="AA223" s="25">
        <v>80</v>
      </c>
      <c r="AB223" s="25">
        <v>80</v>
      </c>
      <c r="AC223" s="25">
        <v>80</v>
      </c>
      <c r="AD223" s="25">
        <v>80</v>
      </c>
      <c r="AE223" s="25">
        <v>80</v>
      </c>
      <c r="AF223" s="25">
        <v>80</v>
      </c>
      <c r="AG223" s="25">
        <v>80</v>
      </c>
      <c r="AH223" s="25">
        <v>80</v>
      </c>
      <c r="AI223" s="25">
        <v>80</v>
      </c>
      <c r="AJ223" s="25">
        <v>80</v>
      </c>
    </row>
    <row r="224" spans="1:36" x14ac:dyDescent="0.25">
      <c r="A224" t="s">
        <v>622</v>
      </c>
      <c r="B224" t="s">
        <v>305</v>
      </c>
      <c r="C224" s="25">
        <v>0</v>
      </c>
      <c r="D224" s="25">
        <v>0</v>
      </c>
      <c r="E224" s="25">
        <v>0</v>
      </c>
      <c r="F224" s="25">
        <v>0</v>
      </c>
      <c r="G224" s="25">
        <v>0</v>
      </c>
      <c r="H224" s="25">
        <v>0</v>
      </c>
      <c r="I224" s="25">
        <v>0</v>
      </c>
      <c r="J224" s="25">
        <v>0</v>
      </c>
      <c r="K224" s="25">
        <v>0</v>
      </c>
      <c r="L224" s="25">
        <v>0</v>
      </c>
      <c r="M224" s="25">
        <v>0</v>
      </c>
      <c r="N224" s="25">
        <v>0</v>
      </c>
      <c r="O224" s="25">
        <v>0</v>
      </c>
      <c r="P224" s="25">
        <v>0</v>
      </c>
      <c r="Q224" s="25">
        <v>0</v>
      </c>
      <c r="R224" s="25">
        <v>0</v>
      </c>
      <c r="S224" s="25">
        <v>0</v>
      </c>
      <c r="T224" s="25">
        <v>0</v>
      </c>
      <c r="U224" s="25">
        <v>0</v>
      </c>
      <c r="V224" s="25">
        <v>0</v>
      </c>
      <c r="W224" s="25">
        <v>0</v>
      </c>
      <c r="X224" s="25">
        <v>0</v>
      </c>
      <c r="Y224" s="25">
        <v>0</v>
      </c>
      <c r="Z224" s="25">
        <v>0</v>
      </c>
      <c r="AA224" s="25">
        <v>0</v>
      </c>
      <c r="AB224" s="25">
        <v>0</v>
      </c>
      <c r="AC224" s="25">
        <v>0</v>
      </c>
      <c r="AD224" s="25">
        <v>0</v>
      </c>
      <c r="AE224" s="25">
        <v>0</v>
      </c>
      <c r="AF224" s="25">
        <v>0</v>
      </c>
      <c r="AG224" s="25">
        <v>0</v>
      </c>
      <c r="AH224" s="25">
        <v>0</v>
      </c>
      <c r="AI224" s="25">
        <v>0</v>
      </c>
      <c r="AJ224" s="25">
        <v>0</v>
      </c>
    </row>
    <row r="225" spans="1:36" x14ac:dyDescent="0.25">
      <c r="A225" t="s">
        <v>623</v>
      </c>
      <c r="B225" t="s">
        <v>305</v>
      </c>
      <c r="C225" s="25">
        <v>0</v>
      </c>
      <c r="D225" s="25">
        <v>0</v>
      </c>
      <c r="E225" s="25">
        <v>0</v>
      </c>
      <c r="F225" s="25">
        <v>0</v>
      </c>
      <c r="G225" s="25">
        <v>0</v>
      </c>
      <c r="H225" s="25">
        <v>0</v>
      </c>
      <c r="I225" s="25">
        <v>0</v>
      </c>
      <c r="J225" s="25">
        <v>0</v>
      </c>
      <c r="K225" s="25">
        <v>0</v>
      </c>
      <c r="L225" s="25">
        <v>0</v>
      </c>
      <c r="M225" s="25">
        <v>0</v>
      </c>
      <c r="N225" s="25">
        <v>0</v>
      </c>
      <c r="O225" s="25">
        <v>0</v>
      </c>
      <c r="P225" s="25">
        <v>0</v>
      </c>
      <c r="Q225" s="25">
        <v>0</v>
      </c>
      <c r="R225" s="25">
        <v>0</v>
      </c>
      <c r="S225" s="25">
        <v>0</v>
      </c>
      <c r="T225" s="25">
        <v>0</v>
      </c>
      <c r="U225" s="25">
        <v>0</v>
      </c>
      <c r="V225" s="25">
        <v>0</v>
      </c>
      <c r="W225" s="25">
        <v>0</v>
      </c>
      <c r="X225" s="25">
        <v>0</v>
      </c>
      <c r="Y225" s="25">
        <v>0</v>
      </c>
      <c r="Z225" s="25">
        <v>0</v>
      </c>
      <c r="AA225" s="25">
        <v>0</v>
      </c>
      <c r="AB225" s="25">
        <v>0</v>
      </c>
      <c r="AC225" s="25">
        <v>0</v>
      </c>
      <c r="AD225" s="25">
        <v>0</v>
      </c>
      <c r="AE225" s="25">
        <v>0</v>
      </c>
      <c r="AF225" s="25">
        <v>0</v>
      </c>
      <c r="AG225" s="25">
        <v>0</v>
      </c>
      <c r="AH225" s="25">
        <v>0</v>
      </c>
      <c r="AI225" s="25">
        <v>0</v>
      </c>
      <c r="AJ225" s="25">
        <v>0</v>
      </c>
    </row>
    <row r="226" spans="1:36" x14ac:dyDescent="0.25">
      <c r="A226" t="s">
        <v>624</v>
      </c>
      <c r="B226" t="s">
        <v>305</v>
      </c>
      <c r="C226" s="25">
        <v>5</v>
      </c>
      <c r="D226" s="25">
        <v>5</v>
      </c>
      <c r="E226" s="25">
        <v>5</v>
      </c>
      <c r="F226" s="25">
        <v>5</v>
      </c>
      <c r="G226" s="25">
        <v>5</v>
      </c>
      <c r="H226" s="25">
        <v>5</v>
      </c>
      <c r="I226" s="25">
        <v>5</v>
      </c>
      <c r="J226" s="25">
        <v>5</v>
      </c>
      <c r="K226" s="25">
        <v>5</v>
      </c>
      <c r="L226" s="25">
        <v>5</v>
      </c>
      <c r="M226" s="25">
        <v>5</v>
      </c>
      <c r="N226" s="25">
        <v>5</v>
      </c>
      <c r="O226" s="25">
        <v>5</v>
      </c>
      <c r="P226" s="25">
        <v>5</v>
      </c>
      <c r="Q226" s="25">
        <v>5</v>
      </c>
      <c r="R226" s="25">
        <v>5</v>
      </c>
      <c r="S226" s="25">
        <v>5</v>
      </c>
      <c r="T226" s="25">
        <v>5</v>
      </c>
      <c r="U226" s="25">
        <v>5</v>
      </c>
      <c r="V226" s="25">
        <v>5</v>
      </c>
      <c r="W226" s="25">
        <v>5</v>
      </c>
      <c r="X226" s="25">
        <v>5</v>
      </c>
      <c r="Y226" s="25">
        <v>5</v>
      </c>
      <c r="Z226" s="25">
        <v>5</v>
      </c>
      <c r="AA226" s="25">
        <v>5</v>
      </c>
      <c r="AB226" s="25">
        <v>5</v>
      </c>
      <c r="AC226" s="25">
        <v>5</v>
      </c>
      <c r="AD226" s="25">
        <v>5</v>
      </c>
      <c r="AE226" s="25">
        <v>5</v>
      </c>
      <c r="AF226" s="25">
        <v>5</v>
      </c>
      <c r="AG226" s="25">
        <v>5</v>
      </c>
      <c r="AH226" s="25">
        <v>5</v>
      </c>
      <c r="AI226" s="25">
        <v>5</v>
      </c>
      <c r="AJ226" s="25">
        <v>5</v>
      </c>
    </row>
    <row r="227" spans="1:36" x14ac:dyDescent="0.25">
      <c r="A227" t="s">
        <v>625</v>
      </c>
      <c r="B227" t="s">
        <v>305</v>
      </c>
      <c r="C227" s="25">
        <v>0</v>
      </c>
      <c r="D227" s="25">
        <v>0</v>
      </c>
      <c r="E227" s="25">
        <v>0</v>
      </c>
      <c r="F227" s="25">
        <v>0</v>
      </c>
      <c r="G227" s="25">
        <v>0</v>
      </c>
      <c r="H227" s="25">
        <v>0</v>
      </c>
      <c r="I227" s="25">
        <v>0</v>
      </c>
      <c r="J227" s="25">
        <v>0</v>
      </c>
      <c r="K227" s="25">
        <v>0</v>
      </c>
      <c r="L227" s="25">
        <v>0</v>
      </c>
      <c r="M227" s="25">
        <v>0</v>
      </c>
      <c r="N227" s="25">
        <v>0</v>
      </c>
      <c r="O227" s="25">
        <v>0</v>
      </c>
      <c r="P227" s="25">
        <v>0</v>
      </c>
      <c r="Q227" s="25">
        <v>0</v>
      </c>
      <c r="R227" s="25">
        <v>0</v>
      </c>
      <c r="S227" s="25">
        <v>0</v>
      </c>
      <c r="T227" s="25">
        <v>0</v>
      </c>
      <c r="U227" s="25">
        <v>0</v>
      </c>
      <c r="V227" s="25">
        <v>0</v>
      </c>
      <c r="W227" s="25">
        <v>0</v>
      </c>
      <c r="X227" s="25">
        <v>0</v>
      </c>
      <c r="Y227" s="25">
        <v>0</v>
      </c>
      <c r="Z227" s="25">
        <v>0</v>
      </c>
      <c r="AA227" s="25">
        <v>0</v>
      </c>
      <c r="AB227" s="25">
        <v>0</v>
      </c>
      <c r="AC227" s="25">
        <v>0</v>
      </c>
      <c r="AD227" s="25">
        <v>0</v>
      </c>
      <c r="AE227" s="25">
        <v>0</v>
      </c>
      <c r="AF227" s="25">
        <v>0</v>
      </c>
      <c r="AG227" s="25">
        <v>0</v>
      </c>
      <c r="AH227" s="25">
        <v>0</v>
      </c>
      <c r="AI227" s="25">
        <v>0</v>
      </c>
      <c r="AJ227" s="25">
        <v>0</v>
      </c>
    </row>
    <row r="228" spans="1:36" x14ac:dyDescent="0.25">
      <c r="A228" t="s">
        <v>626</v>
      </c>
      <c r="B228" t="s">
        <v>305</v>
      </c>
      <c r="C228" s="25">
        <v>0</v>
      </c>
      <c r="D228" s="25">
        <v>0</v>
      </c>
      <c r="E228" s="25">
        <v>0</v>
      </c>
      <c r="F228" s="25">
        <v>0</v>
      </c>
      <c r="G228" s="25">
        <v>0</v>
      </c>
      <c r="H228" s="25">
        <v>0</v>
      </c>
      <c r="I228" s="25">
        <v>0</v>
      </c>
      <c r="J228" s="25">
        <v>0</v>
      </c>
      <c r="K228" s="25">
        <v>0</v>
      </c>
      <c r="L228" s="25">
        <v>0</v>
      </c>
      <c r="M228" s="25">
        <v>0</v>
      </c>
      <c r="N228" s="25">
        <v>0</v>
      </c>
      <c r="O228" s="25">
        <v>0</v>
      </c>
      <c r="P228" s="25">
        <v>0</v>
      </c>
      <c r="Q228" s="25">
        <v>0</v>
      </c>
      <c r="R228" s="25">
        <v>0</v>
      </c>
      <c r="S228" s="25">
        <v>0</v>
      </c>
      <c r="T228" s="25">
        <v>0</v>
      </c>
      <c r="U228" s="25">
        <v>0</v>
      </c>
      <c r="V228" s="25">
        <v>0</v>
      </c>
      <c r="W228" s="25">
        <v>0</v>
      </c>
      <c r="X228" s="25">
        <v>0</v>
      </c>
      <c r="Y228" s="25">
        <v>0</v>
      </c>
      <c r="Z228" s="25">
        <v>0</v>
      </c>
      <c r="AA228" s="25">
        <v>0</v>
      </c>
      <c r="AB228" s="25">
        <v>0</v>
      </c>
      <c r="AC228" s="25">
        <v>0</v>
      </c>
      <c r="AD228" s="25">
        <v>0</v>
      </c>
      <c r="AE228" s="25">
        <v>0</v>
      </c>
      <c r="AF228" s="25">
        <v>0</v>
      </c>
      <c r="AG228" s="25">
        <v>0</v>
      </c>
      <c r="AH228" s="25">
        <v>0</v>
      </c>
      <c r="AI228" s="25">
        <v>0</v>
      </c>
      <c r="AJ228" s="25">
        <v>0</v>
      </c>
    </row>
    <row r="229" spans="1:36" x14ac:dyDescent="0.25">
      <c r="A229" t="s">
        <v>627</v>
      </c>
      <c r="B229" t="s">
        <v>305</v>
      </c>
      <c r="C229" s="25">
        <v>15</v>
      </c>
      <c r="D229" s="25">
        <v>15</v>
      </c>
      <c r="E229" s="25">
        <v>15</v>
      </c>
      <c r="F229" s="25">
        <v>15</v>
      </c>
      <c r="G229" s="25">
        <v>15</v>
      </c>
      <c r="H229" s="25">
        <v>15</v>
      </c>
      <c r="I229" s="25">
        <v>15</v>
      </c>
      <c r="J229" s="25">
        <v>15</v>
      </c>
      <c r="K229" s="25">
        <v>15</v>
      </c>
      <c r="L229" s="25">
        <v>15</v>
      </c>
      <c r="M229" s="25">
        <v>15</v>
      </c>
      <c r="N229" s="25">
        <v>15</v>
      </c>
      <c r="O229" s="25">
        <v>15</v>
      </c>
      <c r="P229" s="25">
        <v>15</v>
      </c>
      <c r="Q229" s="25">
        <v>15</v>
      </c>
      <c r="R229" s="25">
        <v>15</v>
      </c>
      <c r="S229" s="25">
        <v>15</v>
      </c>
      <c r="T229" s="25">
        <v>15</v>
      </c>
      <c r="U229" s="25">
        <v>15</v>
      </c>
      <c r="V229" s="25">
        <v>15</v>
      </c>
      <c r="W229" s="25">
        <v>15</v>
      </c>
      <c r="X229" s="25">
        <v>15</v>
      </c>
      <c r="Y229" s="25">
        <v>15</v>
      </c>
      <c r="Z229" s="25">
        <v>15</v>
      </c>
      <c r="AA229" s="25">
        <v>15</v>
      </c>
      <c r="AB229" s="25">
        <v>15</v>
      </c>
      <c r="AC229" s="25">
        <v>15</v>
      </c>
      <c r="AD229" s="25">
        <v>15</v>
      </c>
      <c r="AE229" s="25">
        <v>15</v>
      </c>
      <c r="AF229" s="25">
        <v>15</v>
      </c>
      <c r="AG229" s="25">
        <v>15</v>
      </c>
      <c r="AH229" s="25">
        <v>15</v>
      </c>
      <c r="AI229" s="25">
        <v>15</v>
      </c>
      <c r="AJ229" s="25">
        <v>15</v>
      </c>
    </row>
    <row r="230" spans="1:36" x14ac:dyDescent="0.25">
      <c r="A230" t="s">
        <v>628</v>
      </c>
      <c r="B230" t="s">
        <v>305</v>
      </c>
      <c r="C230" s="25">
        <v>0</v>
      </c>
      <c r="D230" s="25">
        <v>0</v>
      </c>
      <c r="E230" s="25">
        <v>0</v>
      </c>
      <c r="F230" s="25">
        <v>0</v>
      </c>
      <c r="G230" s="25">
        <v>0</v>
      </c>
      <c r="H230" s="25">
        <v>0</v>
      </c>
      <c r="I230" s="25">
        <v>0</v>
      </c>
      <c r="J230" s="25">
        <v>0</v>
      </c>
      <c r="K230" s="25">
        <v>0</v>
      </c>
      <c r="L230" s="25">
        <v>0</v>
      </c>
      <c r="M230" s="25">
        <v>0</v>
      </c>
      <c r="N230" s="25">
        <v>0</v>
      </c>
      <c r="O230" s="25">
        <v>0</v>
      </c>
      <c r="P230" s="25">
        <v>0</v>
      </c>
      <c r="Q230" s="25">
        <v>0</v>
      </c>
      <c r="R230" s="25">
        <v>0</v>
      </c>
      <c r="S230" s="25">
        <v>0</v>
      </c>
      <c r="T230" s="25">
        <v>0</v>
      </c>
      <c r="U230" s="25">
        <v>0</v>
      </c>
      <c r="V230" s="25">
        <v>0</v>
      </c>
      <c r="W230" s="25">
        <v>0</v>
      </c>
      <c r="X230" s="25">
        <v>0</v>
      </c>
      <c r="Y230" s="25">
        <v>0</v>
      </c>
      <c r="Z230" s="25">
        <v>0</v>
      </c>
      <c r="AA230" s="25">
        <v>0</v>
      </c>
      <c r="AB230" s="25">
        <v>0</v>
      </c>
      <c r="AC230" s="25">
        <v>0</v>
      </c>
      <c r="AD230" s="25">
        <v>0</v>
      </c>
      <c r="AE230" s="25">
        <v>0</v>
      </c>
      <c r="AF230" s="25">
        <v>0</v>
      </c>
      <c r="AG230" s="25">
        <v>0</v>
      </c>
      <c r="AH230" s="25">
        <v>0</v>
      </c>
      <c r="AI230" s="25">
        <v>0</v>
      </c>
      <c r="AJ230" s="25">
        <v>0</v>
      </c>
    </row>
    <row r="231" spans="1:36" x14ac:dyDescent="0.25">
      <c r="A231" t="s">
        <v>768</v>
      </c>
      <c r="B231" t="s">
        <v>305</v>
      </c>
      <c r="C231" s="25">
        <v>0</v>
      </c>
      <c r="D231" s="25">
        <v>0</v>
      </c>
      <c r="E231" s="25">
        <v>0</v>
      </c>
      <c r="F231" s="25">
        <v>0</v>
      </c>
      <c r="G231" s="25">
        <v>0</v>
      </c>
      <c r="H231" s="25">
        <v>0</v>
      </c>
      <c r="I231" s="25">
        <v>0</v>
      </c>
      <c r="J231" s="25">
        <v>0</v>
      </c>
      <c r="K231" s="25">
        <v>0</v>
      </c>
      <c r="L231" s="25">
        <v>0</v>
      </c>
      <c r="M231" s="25">
        <v>0</v>
      </c>
      <c r="N231" s="25">
        <v>0</v>
      </c>
      <c r="O231" s="25">
        <v>0</v>
      </c>
      <c r="P231" s="25">
        <v>0</v>
      </c>
      <c r="Q231" s="25">
        <v>0</v>
      </c>
      <c r="R231" s="25">
        <v>0</v>
      </c>
      <c r="S231" s="25">
        <v>0</v>
      </c>
      <c r="T231" s="25">
        <v>0</v>
      </c>
      <c r="U231" s="25">
        <v>0</v>
      </c>
      <c r="V231" s="25">
        <v>0</v>
      </c>
      <c r="W231" s="25">
        <v>0</v>
      </c>
      <c r="X231" s="25">
        <v>0</v>
      </c>
      <c r="Y231" s="25">
        <v>0</v>
      </c>
      <c r="Z231" s="25">
        <v>0</v>
      </c>
      <c r="AA231" s="25">
        <v>0</v>
      </c>
      <c r="AB231" s="25">
        <v>0</v>
      </c>
      <c r="AC231" s="25">
        <v>0</v>
      </c>
      <c r="AD231" s="25">
        <v>0</v>
      </c>
      <c r="AE231" s="25">
        <v>0</v>
      </c>
      <c r="AF231" s="25">
        <v>0</v>
      </c>
      <c r="AG231" s="25">
        <v>0</v>
      </c>
      <c r="AH231" s="25">
        <v>0</v>
      </c>
      <c r="AI231" s="25">
        <v>0</v>
      </c>
      <c r="AJ231" s="25">
        <v>0</v>
      </c>
    </row>
    <row r="232" spans="1:36" s="78" customFormat="1" x14ac:dyDescent="0.25">
      <c r="A232" s="78" t="s">
        <v>780</v>
      </c>
      <c r="C232" s="79">
        <f>+SUM(C221:C231)</f>
        <v>100</v>
      </c>
      <c r="D232" s="79">
        <f t="shared" ref="D232" si="496">+SUM(D221:D231)</f>
        <v>100</v>
      </c>
      <c r="E232" s="79">
        <f t="shared" ref="E232" si="497">+SUM(E221:E231)</f>
        <v>100</v>
      </c>
      <c r="F232" s="79">
        <f t="shared" ref="F232" si="498">+SUM(F221:F231)</f>
        <v>100</v>
      </c>
      <c r="G232" s="79">
        <f t="shared" ref="G232" si="499">+SUM(G221:G231)</f>
        <v>100</v>
      </c>
      <c r="H232" s="79">
        <f t="shared" ref="H232" si="500">+SUM(H221:H231)</f>
        <v>100</v>
      </c>
      <c r="I232" s="79">
        <f t="shared" ref="I232" si="501">+SUM(I221:I231)</f>
        <v>100</v>
      </c>
      <c r="J232" s="79">
        <f t="shared" ref="J232" si="502">+SUM(J221:J231)</f>
        <v>100</v>
      </c>
      <c r="K232" s="79">
        <f t="shared" ref="K232" si="503">+SUM(K221:K231)</f>
        <v>100</v>
      </c>
      <c r="L232" s="79">
        <f t="shared" ref="L232" si="504">+SUM(L221:L231)</f>
        <v>100</v>
      </c>
      <c r="M232" s="79">
        <f t="shared" ref="M232" si="505">+SUM(M221:M231)</f>
        <v>100</v>
      </c>
      <c r="N232" s="79">
        <f t="shared" ref="N232" si="506">+SUM(N221:N231)</f>
        <v>100</v>
      </c>
      <c r="O232" s="79">
        <f t="shared" ref="O232" si="507">+SUM(O221:O231)</f>
        <v>100</v>
      </c>
      <c r="P232" s="79">
        <f t="shared" ref="P232" si="508">+SUM(P221:P231)</f>
        <v>100</v>
      </c>
      <c r="Q232" s="79">
        <f t="shared" ref="Q232" si="509">+SUM(Q221:Q231)</f>
        <v>100</v>
      </c>
      <c r="R232" s="79">
        <f t="shared" ref="R232" si="510">+SUM(R221:R231)</f>
        <v>100</v>
      </c>
      <c r="S232" s="79">
        <f t="shared" ref="S232" si="511">+SUM(S221:S231)</f>
        <v>100</v>
      </c>
      <c r="T232" s="79">
        <f t="shared" ref="T232" si="512">+SUM(T221:T231)</f>
        <v>100</v>
      </c>
      <c r="U232" s="79">
        <f t="shared" ref="U232" si="513">+SUM(U221:U231)</f>
        <v>100</v>
      </c>
      <c r="V232" s="79">
        <f t="shared" ref="V232" si="514">+SUM(V221:V231)</f>
        <v>100</v>
      </c>
      <c r="W232" s="79">
        <f t="shared" ref="W232" si="515">+SUM(W221:W231)</f>
        <v>100</v>
      </c>
      <c r="X232" s="79">
        <f t="shared" ref="X232" si="516">+SUM(X221:X231)</f>
        <v>100</v>
      </c>
      <c r="Y232" s="79">
        <f t="shared" ref="Y232" si="517">+SUM(Y221:Y231)</f>
        <v>100</v>
      </c>
      <c r="Z232" s="79">
        <f t="shared" ref="Z232" si="518">+SUM(Z221:Z231)</f>
        <v>100</v>
      </c>
      <c r="AA232" s="79">
        <f t="shared" ref="AA232" si="519">+SUM(AA221:AA231)</f>
        <v>100</v>
      </c>
      <c r="AB232" s="79">
        <f t="shared" ref="AB232" si="520">+SUM(AB221:AB231)</f>
        <v>100</v>
      </c>
      <c r="AC232" s="79">
        <f t="shared" ref="AC232" si="521">+SUM(AC221:AC231)</f>
        <v>100</v>
      </c>
      <c r="AD232" s="79">
        <f t="shared" ref="AD232" si="522">+SUM(AD221:AD231)</f>
        <v>100</v>
      </c>
      <c r="AE232" s="79">
        <f t="shared" ref="AE232" si="523">+SUM(AE221:AE231)</f>
        <v>100</v>
      </c>
      <c r="AF232" s="79">
        <f t="shared" ref="AF232" si="524">+SUM(AF221:AF231)</f>
        <v>100</v>
      </c>
      <c r="AG232" s="79">
        <f t="shared" ref="AG232" si="525">+SUM(AG221:AG231)</f>
        <v>100</v>
      </c>
      <c r="AH232" s="79">
        <f t="shared" ref="AH232" si="526">+SUM(AH221:AH231)</f>
        <v>100</v>
      </c>
      <c r="AI232" s="79">
        <f t="shared" ref="AI232" si="527">+SUM(AI221:AI231)</f>
        <v>100</v>
      </c>
      <c r="AJ232" s="79">
        <f t="shared" ref="AJ232" si="528">+SUM(AJ221:AJ231)</f>
        <v>100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92D050"/>
  </sheetPr>
  <dimension ref="A1:BT100"/>
  <sheetViews>
    <sheetView topLeftCell="C1" workbookViewId="0">
      <pane xSplit="2" ySplit="4" topLeftCell="AC18" activePane="bottomRight" state="frozen"/>
      <selection activeCell="C1" sqref="C1"/>
      <selection pane="topRight" activeCell="E1" sqref="E1"/>
      <selection pane="bottomLeft" activeCell="C5" sqref="C5"/>
      <selection pane="bottomRight" activeCell="AC24" sqref="AC24"/>
    </sheetView>
  </sheetViews>
  <sheetFormatPr defaultRowHeight="15" outlineLevelCol="1" x14ac:dyDescent="0.25"/>
  <cols>
    <col min="1" max="1" width="23.7109375" customWidth="1"/>
    <col min="2" max="2" width="37.140625" customWidth="1"/>
    <col min="3" max="3" width="27.7109375" customWidth="1"/>
    <col min="4" max="4" width="27.5703125" customWidth="1"/>
    <col min="5" max="5" width="48" customWidth="1"/>
    <col min="6" max="6" width="11.5703125" customWidth="1"/>
    <col min="7" max="7" width="13.28515625" customWidth="1"/>
    <col min="8" max="27" width="10.7109375" customWidth="1" outlineLevel="1"/>
    <col min="28" max="68" width="10.7109375" customWidth="1"/>
    <col min="71" max="71" width="14.140625" customWidth="1"/>
    <col min="72" max="72" width="27.7109375" customWidth="1"/>
  </cols>
  <sheetData>
    <row r="1" spans="1:72" ht="18.75" x14ac:dyDescent="0.3">
      <c r="A1" s="1" t="s">
        <v>142</v>
      </c>
      <c r="AI1" s="11"/>
      <c r="AJ1" s="11"/>
    </row>
    <row r="2" spans="1:72" x14ac:dyDescent="0.25">
      <c r="AD2" s="11"/>
      <c r="AE2" s="11"/>
      <c r="AF2" s="11"/>
      <c r="AG2" s="11"/>
      <c r="AH2" s="11"/>
      <c r="AI2" s="11"/>
      <c r="AJ2" s="11"/>
      <c r="AK2" s="11"/>
      <c r="AL2" s="11"/>
      <c r="AM2" s="11"/>
      <c r="AN2" s="11"/>
      <c r="AO2" s="11"/>
      <c r="AP2" s="11"/>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1"/>
    </row>
    <row r="3" spans="1:72" s="19" customFormat="1" ht="29.25" customHeight="1" x14ac:dyDescent="0.25">
      <c r="A3" s="17" t="s">
        <v>4</v>
      </c>
      <c r="B3" s="17" t="s">
        <v>313</v>
      </c>
      <c r="C3" s="17" t="s">
        <v>315</v>
      </c>
      <c r="D3" s="17" t="s">
        <v>149</v>
      </c>
      <c r="E3" s="17" t="s">
        <v>150</v>
      </c>
      <c r="F3" s="17" t="s">
        <v>0</v>
      </c>
      <c r="G3" s="17" t="s">
        <v>283</v>
      </c>
      <c r="H3" s="17">
        <v>1990</v>
      </c>
      <c r="I3" s="17">
        <v>1991</v>
      </c>
      <c r="J3" s="17">
        <v>1992</v>
      </c>
      <c r="K3" s="17">
        <v>1993</v>
      </c>
      <c r="L3" s="17">
        <v>1994</v>
      </c>
      <c r="M3" s="17">
        <v>1995</v>
      </c>
      <c r="N3" s="17">
        <v>1996</v>
      </c>
      <c r="O3" s="17">
        <v>1997</v>
      </c>
      <c r="P3" s="17">
        <v>1998</v>
      </c>
      <c r="Q3" s="17">
        <v>1999</v>
      </c>
      <c r="R3" s="17">
        <v>2000</v>
      </c>
      <c r="S3" s="17">
        <v>2001</v>
      </c>
      <c r="T3" s="17">
        <v>2002</v>
      </c>
      <c r="U3" s="17">
        <v>2003</v>
      </c>
      <c r="V3" s="17">
        <v>2004</v>
      </c>
      <c r="W3" s="17">
        <v>2005</v>
      </c>
      <c r="X3" s="17">
        <v>2006</v>
      </c>
      <c r="Y3" s="17">
        <v>2007</v>
      </c>
      <c r="Z3" s="17">
        <v>2008</v>
      </c>
      <c r="AA3" s="17">
        <v>2009</v>
      </c>
      <c r="AB3" s="17">
        <v>2010</v>
      </c>
      <c r="AC3" s="17">
        <v>2011</v>
      </c>
      <c r="AD3" s="17">
        <v>2012</v>
      </c>
      <c r="AE3" s="17">
        <v>2013</v>
      </c>
      <c r="AF3" s="17">
        <v>2014</v>
      </c>
      <c r="AG3" s="17">
        <v>2015</v>
      </c>
      <c r="AH3" s="17">
        <v>2016</v>
      </c>
      <c r="AI3" s="17">
        <v>2017</v>
      </c>
      <c r="AJ3" s="17">
        <v>2018</v>
      </c>
      <c r="AK3" s="17">
        <v>2019</v>
      </c>
      <c r="AL3" s="17">
        <v>2020</v>
      </c>
      <c r="AM3" s="17">
        <v>2021</v>
      </c>
      <c r="AN3" s="17">
        <v>2022</v>
      </c>
      <c r="AO3" s="17">
        <v>2023</v>
      </c>
      <c r="AP3" s="17">
        <v>2024</v>
      </c>
      <c r="AQ3" s="17">
        <v>2025</v>
      </c>
      <c r="AR3" s="17">
        <v>2026</v>
      </c>
      <c r="AS3" s="17">
        <v>2027</v>
      </c>
      <c r="AT3" s="17">
        <v>2028</v>
      </c>
      <c r="AU3" s="17">
        <v>2029</v>
      </c>
      <c r="AV3" s="17">
        <v>2030</v>
      </c>
      <c r="AW3" s="17">
        <v>2031</v>
      </c>
      <c r="AX3" s="17">
        <v>2032</v>
      </c>
      <c r="AY3" s="17">
        <v>2033</v>
      </c>
      <c r="AZ3" s="17">
        <v>2034</v>
      </c>
      <c r="BA3" s="17">
        <v>2035</v>
      </c>
      <c r="BB3" s="17">
        <v>2036</v>
      </c>
      <c r="BC3" s="17">
        <v>2037</v>
      </c>
      <c r="BD3" s="17">
        <v>2038</v>
      </c>
      <c r="BE3" s="17">
        <v>2039</v>
      </c>
      <c r="BF3" s="17">
        <v>2040</v>
      </c>
      <c r="BG3" s="17">
        <v>2041</v>
      </c>
      <c r="BH3" s="17">
        <v>2042</v>
      </c>
      <c r="BI3" s="17">
        <v>2043</v>
      </c>
      <c r="BJ3" s="17">
        <v>2044</v>
      </c>
      <c r="BK3" s="17">
        <v>2045</v>
      </c>
      <c r="BL3" s="17">
        <v>2046</v>
      </c>
      <c r="BM3" s="17">
        <v>2047</v>
      </c>
      <c r="BN3" s="17">
        <v>2048</v>
      </c>
      <c r="BO3" s="17">
        <v>2049</v>
      </c>
      <c r="BP3" s="17">
        <v>2050</v>
      </c>
      <c r="BS3" s="18" t="s">
        <v>308</v>
      </c>
      <c r="BT3" s="17" t="s">
        <v>282</v>
      </c>
    </row>
    <row r="4" spans="1:72" ht="18.75" customHeight="1" x14ac:dyDescent="0.25">
      <c r="A4" s="20" t="s">
        <v>309</v>
      </c>
      <c r="B4" s="20"/>
      <c r="C4" s="20"/>
      <c r="D4" s="15"/>
      <c r="E4" s="15"/>
      <c r="F4" s="15"/>
      <c r="G4" s="15"/>
      <c r="H4" s="15"/>
      <c r="I4" s="15"/>
      <c r="J4" s="15"/>
      <c r="K4" s="15"/>
      <c r="L4" s="15"/>
      <c r="M4" s="15"/>
      <c r="N4" s="15"/>
      <c r="O4" s="15"/>
      <c r="P4" s="15"/>
      <c r="Q4" s="15"/>
      <c r="R4" s="15"/>
      <c r="S4" s="15"/>
      <c r="T4" s="15"/>
      <c r="U4" s="15"/>
      <c r="V4" s="15"/>
      <c r="W4" s="15"/>
      <c r="X4" s="15"/>
      <c r="Y4" s="15"/>
      <c r="Z4" s="15"/>
      <c r="AA4" s="15"/>
      <c r="AB4" s="15"/>
      <c r="AC4" s="15"/>
      <c r="AD4" s="15"/>
      <c r="AE4" s="15"/>
      <c r="AF4" s="15"/>
      <c r="AG4" s="15"/>
      <c r="AH4" s="15"/>
      <c r="AI4" s="15"/>
      <c r="AJ4" s="15"/>
      <c r="AK4" s="15"/>
      <c r="AL4" s="15"/>
      <c r="AM4" s="15"/>
      <c r="AN4" s="15"/>
      <c r="AO4" s="15"/>
      <c r="AP4" s="15"/>
      <c r="AQ4" s="15"/>
      <c r="AR4" s="15"/>
      <c r="AS4" s="15"/>
      <c r="AT4" s="89">
        <f t="shared" ref="AT4:AZ4" si="0">AT11-AS11</f>
        <v>35226.43524531275</v>
      </c>
      <c r="AU4" s="89">
        <f t="shared" si="0"/>
        <v>38686.644183199853</v>
      </c>
      <c r="AV4" s="89">
        <f t="shared" si="0"/>
        <v>41625.365800622851</v>
      </c>
      <c r="AW4" s="89">
        <f>AW11-AV11</f>
        <v>27540.346780840307</v>
      </c>
      <c r="AX4" s="89">
        <f t="shared" si="0"/>
        <v>30235.267588868737</v>
      </c>
      <c r="AY4" s="89">
        <f t="shared" si="0"/>
        <v>32805.348270926625</v>
      </c>
      <c r="AZ4" s="89">
        <f t="shared" si="0"/>
        <v>35258.907133929431</v>
      </c>
      <c r="BA4" s="15">
        <f>BA8/'Intermediate calculations'!AV8</f>
        <v>3.5332909197284423</v>
      </c>
      <c r="BB4" s="15">
        <f>BB8/'Intermediate calculations'!AW8</f>
        <v>3.4357100489338315</v>
      </c>
      <c r="BC4" s="15">
        <f>BC8/'Intermediate calculations'!AX8</f>
        <v>3.34019245425986</v>
      </c>
      <c r="BD4" s="15">
        <f>BD8/'Intermediate calculations'!AY8</f>
        <v>3.2466510925986904</v>
      </c>
      <c r="BE4" s="15">
        <f>BE8/'Intermediate calculations'!AZ8</f>
        <v>3.1550048560905273</v>
      </c>
      <c r="BF4" s="15">
        <f>BF8/'Intermediate calculations'!BA8</f>
        <v>3.0651780302463707</v>
      </c>
      <c r="BG4" s="15">
        <f>BG8/'Intermediate calculations'!BB8</f>
        <v>2.9922890979700609</v>
      </c>
      <c r="BH4" s="15">
        <f>BH8/'Intermediate calculations'!BC8</f>
        <v>2.9208153868429796</v>
      </c>
      <c r="BI4" s="15">
        <f>BI8/'Intermediate calculations'!BD8</f>
        <v>2.85070348838576</v>
      </c>
      <c r="BJ4" s="15">
        <f>BJ8/'Intermediate calculations'!BE8</f>
        <v>2.7819032509239752</v>
      </c>
      <c r="BK4" s="15">
        <f>BK8/'Intermediate calculations'!BF8</f>
        <v>2.7143675132583063</v>
      </c>
      <c r="BL4" s="15">
        <f>BL8/'Intermediate calculations'!BG8</f>
        <v>2.6480518653036706</v>
      </c>
      <c r="BM4" s="15">
        <f>BM8/'Intermediate calculations'!BH8</f>
        <v>2.5829144324674522</v>
      </c>
      <c r="BN4" s="15">
        <f>BN8/'Intermediate calculations'!BI8</f>
        <v>2.5189156809808355</v>
      </c>
      <c r="BO4" s="15">
        <f>BO8/'Intermediate calculations'!BJ8</f>
        <v>2.4560182417726173</v>
      </c>
      <c r="BP4" s="15">
        <f>BP8/'Intermediate calculations'!BK8</f>
        <v>2.3941867507934278</v>
      </c>
      <c r="BS4" s="16"/>
      <c r="BT4" s="15"/>
    </row>
    <row r="5" spans="1:72" s="23" customFormat="1" x14ac:dyDescent="0.25">
      <c r="A5" s="23" t="str">
        <f>'IPCC Categories'!A5</f>
        <v>3A Livestock</v>
      </c>
      <c r="C5" s="23" t="str">
        <f>'IPCC Categories'!$D$5</f>
        <v>3A1ai Dairy cattle</v>
      </c>
      <c r="D5" t="str">
        <f>'IPCC Categories'!$F$39</f>
        <v>TMR</v>
      </c>
      <c r="E5" s="23" t="str">
        <f>'IPCC Categories'!$F$31</f>
        <v>Population</v>
      </c>
      <c r="F5" s="23" t="s">
        <v>138</v>
      </c>
      <c r="H5" s="43">
        <f>Data!C51</f>
        <v>487746.14676082286</v>
      </c>
      <c r="I5" s="43">
        <f>Data!D51</f>
        <v>561522.50537304278</v>
      </c>
      <c r="J5" s="43">
        <f>Data!E51</f>
        <v>485789.62235185754</v>
      </c>
      <c r="K5" s="43">
        <f>Data!F51</f>
        <v>515225.4221676389</v>
      </c>
      <c r="L5" s="43">
        <f>Data!G51</f>
        <v>477963.52471599629</v>
      </c>
      <c r="M5" s="43">
        <f>Data!H51</f>
        <v>511312.37334970833</v>
      </c>
      <c r="N5" s="43">
        <f>Data!I51</f>
        <v>513268.89775867364</v>
      </c>
      <c r="O5" s="43">
        <f>Data!J51</f>
        <v>494824.80810561875</v>
      </c>
      <c r="P5" s="43">
        <f>Data!K51</f>
        <v>488955.23487872281</v>
      </c>
      <c r="Q5" s="43">
        <f>Data!L51</f>
        <v>480293.76727049437</v>
      </c>
      <c r="R5" s="43">
        <f>Data!M51</f>
        <v>618437.58059564023</v>
      </c>
      <c r="S5" s="43">
        <f>Data!N51</f>
        <v>616481.05618667486</v>
      </c>
      <c r="T5" s="43">
        <f>Data!O51</f>
        <v>537582.56063862459</v>
      </c>
      <c r="U5" s="43">
        <f>Data!P51</f>
        <v>488955.23487872281</v>
      </c>
      <c r="V5" s="43">
        <f>Data!Q51</f>
        <v>472093.95148910041</v>
      </c>
      <c r="W5" s="43">
        <f>Data!R51</f>
        <v>505442.80012281239</v>
      </c>
      <c r="X5" s="43">
        <f>Data!S51</f>
        <v>494451.08996008604</v>
      </c>
      <c r="Y5" s="43">
        <f>Data!T51</f>
        <v>490911.75928768812</v>
      </c>
      <c r="Z5" s="43">
        <f>Data!U51</f>
        <v>601202.57906048512</v>
      </c>
      <c r="AA5" s="43">
        <f>Data!V51</f>
        <v>616107.33804114221</v>
      </c>
      <c r="AB5" s="43">
        <f>Data!W51</f>
        <v>616107.33804114221</v>
      </c>
      <c r="AC5" s="43">
        <f>Data!X51</f>
        <v>593750.19957015652</v>
      </c>
      <c r="AD5" s="24">
        <f>'Intermediate calculations'!Y15*'Intermediate calculations'!Y16*Constants!$H$18</f>
        <v>590094.07598886173</v>
      </c>
      <c r="AE5" s="24">
        <f>'Intermediate calculations'!Z15*'Intermediate calculations'!Z16*Constants!$H$18</f>
        <v>594428.51686362829</v>
      </c>
      <c r="AF5" s="24">
        <f>'Intermediate calculations'!AA15*'Intermediate calculations'!AA16*Constants!$H$18</f>
        <v>597675.51411543426</v>
      </c>
      <c r="AG5" s="24">
        <f>'Intermediate calculations'!AB15*'Intermediate calculations'!AB16*Constants!$H$18</f>
        <v>600156.21287836926</v>
      </c>
      <c r="AH5" s="24">
        <f>'Intermediate calculations'!AC15*'Intermediate calculations'!AC16*Constants!$H$18</f>
        <v>601790.31144554657</v>
      </c>
      <c r="AI5" s="24">
        <f>'Intermediate calculations'!AD15*'Intermediate calculations'!AD16*Constants!$H$18</f>
        <v>605130.93285001884</v>
      </c>
      <c r="AJ5" s="24">
        <f>'Intermediate calculations'!AE15*'Intermediate calculations'!AE16*Constants!$H$18</f>
        <v>608333.07566794287</v>
      </c>
      <c r="AK5" s="24">
        <f>'Intermediate calculations'!AF15*'Intermediate calculations'!AF16*Constants!$H$18</f>
        <v>611589.60045272473</v>
      </c>
      <c r="AL5" s="24">
        <f>'Intermediate calculations'!AG15*'Intermediate calculations'!AG16*Constants!$H$18</f>
        <v>592184.31569792028</v>
      </c>
      <c r="AM5" s="24">
        <f>'Intermediate calculations'!AH15*'Intermediate calculations'!AH16*Constants!$H$18</f>
        <v>597636.53764788795</v>
      </c>
      <c r="AN5" s="24">
        <f>'Intermediate calculations'!AI15*'Intermediate calculations'!AI16*Constants!$H$18</f>
        <v>602921.53088525019</v>
      </c>
      <c r="AO5" s="24">
        <f>'Intermediate calculations'!AJ15*'Intermediate calculations'!AJ16*Constants!$H$18</f>
        <v>608435.04266731034</v>
      </c>
      <c r="AP5" s="24">
        <f>'Intermediate calculations'!AK15*'Intermediate calculations'!AK16*Constants!$H$18</f>
        <v>614465.01757222565</v>
      </c>
      <c r="AQ5" s="24">
        <f>'Intermediate calculations'!AL15*'Intermediate calculations'!AL16*Constants!$H$18</f>
        <v>621217.31259470026</v>
      </c>
      <c r="AR5" s="24">
        <f>'Intermediate calculations'!AM15*'Intermediate calculations'!AM16*Constants!$H$18</f>
        <v>627893.92262214108</v>
      </c>
      <c r="AS5" s="24">
        <f>'Intermediate calculations'!AN15*'Intermediate calculations'!AN16*Constants!$H$18</f>
        <v>635082.60798279394</v>
      </c>
      <c r="AT5" s="24">
        <f>'Intermediate calculations'!AO15*'Intermediate calculations'!AO16*Constants!$H$18</f>
        <v>642829.88488832919</v>
      </c>
      <c r="AU5" s="24">
        <f>'Intermediate calculations'!AP15*'Intermediate calculations'!AP16*Constants!$H$18</f>
        <v>651579.82771805546</v>
      </c>
      <c r="AV5" s="24">
        <f>'Intermediate calculations'!AQ15*'Intermediate calculations'!AQ16*Constants!$H$18</f>
        <v>660349.28665516537</v>
      </c>
      <c r="AW5" s="24">
        <f>'Intermediate calculations'!AR15*'Intermediate calculations'!AR16*Constants!$H$18</f>
        <v>670247.75861794653</v>
      </c>
      <c r="AX5" s="24">
        <f>'Intermediate calculations'!AS15*'Intermediate calculations'!AS16*Constants!$H$18</f>
        <v>680555.81600001582</v>
      </c>
      <c r="AY5" s="24">
        <f>'Intermediate calculations'!AT15*'Intermediate calculations'!AT16*Constants!$H$18</f>
        <v>691229.11512532737</v>
      </c>
      <c r="AZ5" s="24">
        <f>'Intermediate calculations'!AU15*'Intermediate calculations'!AU16*Constants!$H$18</f>
        <v>702220.31764619367</v>
      </c>
      <c r="BA5" s="24">
        <f>'Intermediate calculations'!AV15*'Intermediate calculations'!AV16*Constants!$H$18</f>
        <v>712516.76048144966</v>
      </c>
      <c r="BB5" s="24">
        <f>'Intermediate calculations'!AW15*'Intermediate calculations'!AW16*Constants!$H$18</f>
        <v>722983.8929403451</v>
      </c>
      <c r="BC5" s="24">
        <f>'Intermediate calculations'!AX15*'Intermediate calculations'!AX16*Constants!$H$18</f>
        <v>734221.93041675503</v>
      </c>
      <c r="BD5" s="24">
        <f>'Intermediate calculations'!AY15*'Intermediate calculations'!AY16*Constants!$H$18</f>
        <v>746028.82511050953</v>
      </c>
      <c r="BE5" s="24">
        <f>'Intermediate calculations'!AZ15*'Intermediate calculations'!AZ16*Constants!$H$18</f>
        <v>757655.39059609466</v>
      </c>
      <c r="BF5" s="24">
        <f>'Intermediate calculations'!BA15*'Intermediate calculations'!BA16*Constants!$H$18</f>
        <v>769511.25541192957</v>
      </c>
      <c r="BG5" s="24">
        <f>'Intermediate calculations'!BB15*'Intermediate calculations'!BB16*Constants!$H$18</f>
        <v>781552.53968799009</v>
      </c>
      <c r="BH5" s="24">
        <f>'Intermediate calculations'!BC15*'Intermediate calculations'!BC16*Constants!$H$18</f>
        <v>794220.0386804085</v>
      </c>
      <c r="BI5" s="24">
        <f>'Intermediate calculations'!BD15*'Intermediate calculations'!BD16*Constants!$H$18</f>
        <v>807655.46077414462</v>
      </c>
      <c r="BJ5" s="24">
        <f>'Intermediate calculations'!BE15*'Intermediate calculations'!BE16*Constants!$H$18</f>
        <v>821806.64968621801</v>
      </c>
      <c r="BK5" s="24">
        <f>'Intermediate calculations'!BF15*'Intermediate calculations'!BF16*Constants!$H$18</f>
        <v>836972.2510348775</v>
      </c>
      <c r="BL5" s="24">
        <f>'Intermediate calculations'!BG15*'Intermediate calculations'!BG16*Constants!$H$18</f>
        <v>852696.58898590435</v>
      </c>
      <c r="BM5" s="24">
        <f>'Intermediate calculations'!BH15*'Intermediate calculations'!BH16*Constants!$H$18</f>
        <v>869147.86705957528</v>
      </c>
      <c r="BN5" s="24">
        <f>'Intermediate calculations'!BI15*'Intermediate calculations'!BI16*Constants!$H$18</f>
        <v>885578.94989949628</v>
      </c>
      <c r="BO5" s="24">
        <f>'Intermediate calculations'!BJ15*'Intermediate calculations'!BJ16*Constants!$H$18</f>
        <v>902803.89061544219</v>
      </c>
      <c r="BP5" s="24">
        <f>'Intermediate calculations'!BK15*'Intermediate calculations'!BK16*Constants!$H$18</f>
        <v>921014.08049172733</v>
      </c>
    </row>
    <row r="6" spans="1:72" s="23" customFormat="1" x14ac:dyDescent="0.25">
      <c r="A6" s="23" t="str">
        <f t="shared" ref="A6:A22" si="1">A5</f>
        <v>3A Livestock</v>
      </c>
      <c r="C6" s="23" t="str">
        <f>$C$5</f>
        <v>3A1ai Dairy cattle</v>
      </c>
      <c r="D6" t="str">
        <f>'IPCC Categories'!$F$40</f>
        <v>Pasture</v>
      </c>
      <c r="E6" s="23" t="str">
        <f>E5</f>
        <v>Population</v>
      </c>
      <c r="F6" s="23" t="str">
        <f>F5</f>
        <v>Head</v>
      </c>
      <c r="H6" s="43">
        <f>Data!C52</f>
        <v>399733.85323917714</v>
      </c>
      <c r="I6" s="43">
        <f>Data!D52</f>
        <v>460197.49462695734</v>
      </c>
      <c r="J6" s="43">
        <f>Data!E52</f>
        <v>398130.37764814246</v>
      </c>
      <c r="K6" s="43">
        <f>Data!F52</f>
        <v>422254.57783236104</v>
      </c>
      <c r="L6" s="43">
        <f>Data!G52</f>
        <v>391716.47528400371</v>
      </c>
      <c r="M6" s="43">
        <f>Data!H52</f>
        <v>419047.62665029167</v>
      </c>
      <c r="N6" s="43">
        <f>Data!I52</f>
        <v>420651.10224132636</v>
      </c>
      <c r="O6" s="43">
        <f>Data!J52</f>
        <v>405535.19189438137</v>
      </c>
      <c r="P6" s="43">
        <f>Data!K52</f>
        <v>400724.76512127731</v>
      </c>
      <c r="Q6" s="43">
        <f>Data!L52</f>
        <v>393626.23272950563</v>
      </c>
      <c r="R6" s="43">
        <f>Data!M52</f>
        <v>506842.41940435988</v>
      </c>
      <c r="S6" s="43">
        <f>Data!N52</f>
        <v>505238.9438133252</v>
      </c>
      <c r="T6" s="43">
        <f>Data!O52</f>
        <v>440577.43936137547</v>
      </c>
      <c r="U6" s="43">
        <f>Data!P52</f>
        <v>400724.76512127731</v>
      </c>
      <c r="V6" s="43">
        <f>Data!Q52</f>
        <v>386906.04851089959</v>
      </c>
      <c r="W6" s="43">
        <f>Data!R52</f>
        <v>414237.19987718761</v>
      </c>
      <c r="X6" s="43">
        <f>Data!S52</f>
        <v>405228.91003991402</v>
      </c>
      <c r="Y6" s="43">
        <f>Data!T52</f>
        <v>402328.24071231199</v>
      </c>
      <c r="Z6" s="43">
        <f>Data!U52</f>
        <v>492717.42093951488</v>
      </c>
      <c r="AA6" s="43">
        <f>Data!V52</f>
        <v>504932.66195885779</v>
      </c>
      <c r="AB6" s="43">
        <f>Data!W52</f>
        <v>504932.66195885779</v>
      </c>
      <c r="AC6" s="43">
        <f>Data!X52</f>
        <v>486609.80042984337</v>
      </c>
      <c r="AD6" s="24">
        <f>'Intermediate calculations'!Y15*'Intermediate calculations'!Y16*Constants!$H$19</f>
        <v>488935.09153362835</v>
      </c>
      <c r="AE6" s="24">
        <f>'Intermediate calculations'!Z15*'Intermediate calculations'!Z16*Constants!$H$19</f>
        <v>492526.48540129204</v>
      </c>
      <c r="AF6" s="24">
        <f>'Intermediate calculations'!AA15*'Intermediate calculations'!AA16*Constants!$H$19</f>
        <v>495216.85455278837</v>
      </c>
      <c r="AG6" s="24">
        <f>'Intermediate calculations'!AB15*'Intermediate calculations'!AB16*Constants!$H$19</f>
        <v>497272.29067064886</v>
      </c>
      <c r="AH6" s="24">
        <f>'Intermediate calculations'!AC15*'Intermediate calculations'!AC16*Constants!$H$19</f>
        <v>498626.25805488141</v>
      </c>
      <c r="AI6" s="24">
        <f>'Intermediate calculations'!AD15*'Intermediate calculations'!AD16*Constants!$H$19</f>
        <v>501394.20150430134</v>
      </c>
      <c r="AJ6" s="24">
        <f>'Intermediate calculations'!AE15*'Intermediate calculations'!AE16*Constants!$H$19</f>
        <v>504047.40555343835</v>
      </c>
      <c r="AK6" s="24">
        <f>'Intermediate calculations'!AF15*'Intermediate calculations'!AF16*Constants!$H$19</f>
        <v>506745.66894654336</v>
      </c>
      <c r="AL6" s="24">
        <f>'Intermediate calculations'!AG15*'Intermediate calculations'!AG16*Constants!$H$19</f>
        <v>490667.00443541969</v>
      </c>
      <c r="AM6" s="24">
        <f>'Intermediate calculations'!AH15*'Intermediate calculations'!AH16*Constants!$H$19</f>
        <v>495184.55976539286</v>
      </c>
      <c r="AN6" s="24">
        <f>'Intermediate calculations'!AI15*'Intermediate calculations'!AI16*Constants!$H$19</f>
        <v>499563.55416206445</v>
      </c>
      <c r="AO6" s="24">
        <f>'Intermediate calculations'!AJ15*'Intermediate calculations'!AJ16*Constants!$H$19</f>
        <v>504131.8924957714</v>
      </c>
      <c r="AP6" s="24">
        <f>'Intermediate calculations'!AK15*'Intermediate calculations'!AK16*Constants!$H$19</f>
        <v>509128.157416987</v>
      </c>
      <c r="AQ6" s="24">
        <f>'Intermediate calculations'!AL15*'Intermediate calculations'!AL16*Constants!$H$19</f>
        <v>514722.91614989447</v>
      </c>
      <c r="AR6" s="24">
        <f>'Intermediate calculations'!AM15*'Intermediate calculations'!AM16*Constants!$H$19</f>
        <v>520254.96445834544</v>
      </c>
      <c r="AS6" s="24">
        <f>'Intermediate calculations'!AN15*'Intermediate calculations'!AN16*Constants!$H$19</f>
        <v>526211.30375717208</v>
      </c>
      <c r="AT6" s="24">
        <f>'Intermediate calculations'!AO15*'Intermediate calculations'!AO16*Constants!$H$19</f>
        <v>532630.47605032986</v>
      </c>
      <c r="AU6" s="24">
        <f>'Intermediate calculations'!AP15*'Intermediate calculations'!AP16*Constants!$H$19</f>
        <v>539880.42868067452</v>
      </c>
      <c r="AV6" s="24">
        <f>'Intermediate calculations'!AQ15*'Intermediate calculations'!AQ16*Constants!$H$19</f>
        <v>547146.55179999408</v>
      </c>
      <c r="AW6" s="24">
        <f>'Intermediate calculations'!AR15*'Intermediate calculations'!AR16*Constants!$H$19</f>
        <v>555348.14285486995</v>
      </c>
      <c r="AX6" s="24">
        <f>'Intermediate calculations'!AS15*'Intermediate calculations'!AS16*Constants!$H$19</f>
        <v>563889.10468572739</v>
      </c>
      <c r="AY6" s="24">
        <f>'Intermediate calculations'!AT15*'Intermediate calculations'!AT16*Constants!$H$19</f>
        <v>572732.69538955693</v>
      </c>
      <c r="AZ6" s="24">
        <f>'Intermediate calculations'!AU15*'Intermediate calculations'!AU16*Constants!$H$19</f>
        <v>581839.69176398905</v>
      </c>
      <c r="BA6" s="24">
        <f>'Intermediate calculations'!AV15*'Intermediate calculations'!AV16*Constants!$H$19</f>
        <v>590371.03011320112</v>
      </c>
      <c r="BB6" s="24">
        <f>'Intermediate calculations'!AW15*'Intermediate calculations'!AW16*Constants!$H$19</f>
        <v>599043.79700771451</v>
      </c>
      <c r="BC6" s="24">
        <f>'Intermediate calculations'!AX15*'Intermediate calculations'!AX16*Constants!$H$19</f>
        <v>608355.31377388269</v>
      </c>
      <c r="BD6" s="24">
        <f>'Intermediate calculations'!AY15*'Intermediate calculations'!AY16*Constants!$H$19</f>
        <v>618138.16937727935</v>
      </c>
      <c r="BE6" s="24">
        <f>'Intermediate calculations'!AZ15*'Intermediate calculations'!AZ16*Constants!$H$19</f>
        <v>627771.60935104988</v>
      </c>
      <c r="BF6" s="24">
        <f>'Intermediate calculations'!BA15*'Intermediate calculations'!BA16*Constants!$H$19</f>
        <v>637595.04019845591</v>
      </c>
      <c r="BG6" s="24">
        <f>'Intermediate calculations'!BB15*'Intermediate calculations'!BB16*Constants!$H$19</f>
        <v>647572.10431290604</v>
      </c>
      <c r="BH6" s="24">
        <f>'Intermediate calculations'!BC15*'Intermediate calculations'!BC16*Constants!$H$19</f>
        <v>658068.03204948129</v>
      </c>
      <c r="BI6" s="24">
        <f>'Intermediate calculations'!BD15*'Intermediate calculations'!BD16*Constants!$H$19</f>
        <v>669200.2389271484</v>
      </c>
      <c r="BJ6" s="24">
        <f>'Intermediate calculations'!BE15*'Intermediate calculations'!BE16*Constants!$H$19</f>
        <v>680925.50974000921</v>
      </c>
      <c r="BK6" s="24">
        <f>'Intermediate calculations'!BF15*'Intermediate calculations'!BF16*Constants!$H$19</f>
        <v>693491.29371461272</v>
      </c>
      <c r="BL6" s="24">
        <f>'Intermediate calculations'!BG15*'Intermediate calculations'!BG16*Constants!$H$19</f>
        <v>706520.03087403509</v>
      </c>
      <c r="BM6" s="24">
        <f>'Intermediate calculations'!BH15*'Intermediate calculations'!BH16*Constants!$H$19</f>
        <v>720151.08984936238</v>
      </c>
      <c r="BN6" s="24">
        <f>'Intermediate calculations'!BI15*'Intermediate calculations'!BI16*Constants!$H$19</f>
        <v>733765.41563101124</v>
      </c>
      <c r="BO6" s="24">
        <f>'Intermediate calculations'!BJ15*'Intermediate calculations'!BJ16*Constants!$H$19</f>
        <v>748037.50936708064</v>
      </c>
      <c r="BP6" s="24">
        <f>'Intermediate calculations'!BK15*'Intermediate calculations'!BK16*Constants!$H$19</f>
        <v>763125.95240743121</v>
      </c>
    </row>
    <row r="7" spans="1:72" s="23" customFormat="1" x14ac:dyDescent="0.25">
      <c r="A7" s="23" t="str">
        <f t="shared" si="1"/>
        <v>3A Livestock</v>
      </c>
      <c r="C7" s="23" t="str">
        <f>'IPCC Categories'!D6</f>
        <v>3A1aii Other cattle</v>
      </c>
      <c r="D7" t="str">
        <f>'IPCC Categories'!F41</f>
        <v>Non-lactating</v>
      </c>
      <c r="E7" s="23" t="str">
        <f>E6</f>
        <v>Population</v>
      </c>
      <c r="F7" s="23" t="str">
        <f>F6</f>
        <v>Head</v>
      </c>
      <c r="H7" s="43">
        <f>Data!C53</f>
        <v>585792.9</v>
      </c>
      <c r="I7" s="43">
        <f>Data!D53</f>
        <v>665847.14000000013</v>
      </c>
      <c r="J7" s="43">
        <f>Data!E53</f>
        <v>575959.50999999989</v>
      </c>
      <c r="K7" s="43">
        <f>Data!F53</f>
        <v>602759.85000000009</v>
      </c>
      <c r="L7" s="43">
        <f>Data!G53</f>
        <v>536625.95000000007</v>
      </c>
      <c r="M7" s="43">
        <f>Data!H53</f>
        <v>583093.06999999995</v>
      </c>
      <c r="N7" s="43">
        <f>Data!I53</f>
        <v>592926.46</v>
      </c>
      <c r="O7" s="43">
        <f>Data!J53</f>
        <v>572912.89999999991</v>
      </c>
      <c r="P7" s="43">
        <f>Data!K53</f>
        <v>543412.73</v>
      </c>
      <c r="Q7" s="43">
        <f>Data!L53</f>
        <v>572566.12</v>
      </c>
      <c r="R7" s="43">
        <f>Data!M53</f>
        <v>709614.43</v>
      </c>
      <c r="S7" s="43">
        <f>Data!N53</f>
        <v>699781.04</v>
      </c>
      <c r="T7" s="43">
        <f>Data!O53</f>
        <v>642440.19000000006</v>
      </c>
      <c r="U7" s="43">
        <f>Data!P53</f>
        <v>543412.73</v>
      </c>
      <c r="V7" s="43">
        <f>Data!Q53</f>
        <v>507125.77999999997</v>
      </c>
      <c r="W7" s="43">
        <f>Data!R53</f>
        <v>553592.9</v>
      </c>
      <c r="X7" s="43">
        <f>Data!S53</f>
        <v>546806.12</v>
      </c>
      <c r="Y7" s="43">
        <f>Data!T53</f>
        <v>553246.12</v>
      </c>
      <c r="Z7" s="43">
        <f>Data!U53</f>
        <v>647220.70000000019</v>
      </c>
      <c r="AA7" s="43">
        <f>Data!V53</f>
        <v>673674.26</v>
      </c>
      <c r="AB7" s="43">
        <f>Data!W53</f>
        <v>673674.26</v>
      </c>
      <c r="AC7" s="43">
        <f>Data!X53</f>
        <v>633993.92000000016</v>
      </c>
      <c r="AD7" s="24">
        <f>'Intermediate calculations'!Y15*'Intermediate calculations'!Y16*(1-Constants!$H$18-Constants!$H$19)</f>
        <v>606953.90673140076</v>
      </c>
      <c r="AE7" s="24">
        <f>'Intermediate calculations'!Z15*'Intermediate calculations'!Z16*(1-Constants!$H$18-Constants!$H$19)</f>
        <v>611412.18877401785</v>
      </c>
      <c r="AF7" s="24">
        <f>'Intermediate calculations'!AA15*'Intermediate calculations'!AA16*(1-Constants!$H$18-Constants!$H$19)</f>
        <v>614751.95737587532</v>
      </c>
      <c r="AG7" s="24">
        <f>'Intermediate calculations'!AB15*'Intermediate calculations'!AB16*(1-Constants!$H$18-Constants!$H$19)</f>
        <v>617303.53324632277</v>
      </c>
      <c r="AH7" s="24">
        <f>'Intermediate calculations'!AC15*'Intermediate calculations'!AC16*(1-Constants!$H$18-Constants!$H$19)</f>
        <v>618984.32034399081</v>
      </c>
      <c r="AI7" s="24">
        <f>'Intermediate calculations'!AD15*'Intermediate calculations'!AD16*(1-Constants!$H$18-Constants!$H$19)</f>
        <v>622420.38807430526</v>
      </c>
      <c r="AJ7" s="24">
        <f>'Intermediate calculations'!AE15*'Intermediate calculations'!AE16*(1-Constants!$H$18-Constants!$H$19)</f>
        <v>625714.02068702702</v>
      </c>
      <c r="AK7" s="24">
        <f>'Intermediate calculations'!AF15*'Intermediate calculations'!AF16*(1-Constants!$H$18-Constants!$H$19)</f>
        <v>629063.58903708844</v>
      </c>
      <c r="AL7" s="24">
        <f>'Intermediate calculations'!AG15*'Intermediate calculations'!AG16*(1-Constants!$H$18-Constants!$H$19)</f>
        <v>609103.86757500388</v>
      </c>
      <c r="AM7" s="24">
        <f>'Intermediate calculations'!AH15*'Intermediate calculations'!AH16*(1-Constants!$H$18-Constants!$H$19)</f>
        <v>614711.86729497055</v>
      </c>
      <c r="AN7" s="24">
        <f>'Intermediate calculations'!AI15*'Intermediate calculations'!AI16*(1-Constants!$H$18-Constants!$H$19)</f>
        <v>620147.86033911468</v>
      </c>
      <c r="AO7" s="24">
        <f>'Intermediate calculations'!AJ15*'Intermediate calculations'!AJ16*(1-Constants!$H$18-Constants!$H$19)</f>
        <v>625818.90102923359</v>
      </c>
      <c r="AP7" s="24">
        <f>'Intermediate calculations'!AK15*'Intermediate calculations'!AK16*(1-Constants!$H$18-Constants!$H$19)</f>
        <v>632021.16093143227</v>
      </c>
      <c r="AQ7" s="24">
        <f>'Intermediate calculations'!AL15*'Intermediate calculations'!AL16*(1-Constants!$H$18-Constants!$H$19)</f>
        <v>638966.37866883457</v>
      </c>
      <c r="AR7" s="24">
        <f>'Intermediate calculations'!AM15*'Intermediate calculations'!AM16*(1-Constants!$H$18-Constants!$H$19)</f>
        <v>645833.74898277374</v>
      </c>
      <c r="AS7" s="24">
        <f>'Intermediate calculations'!AN15*'Intermediate calculations'!AN16*(1-Constants!$H$18-Constants!$H$19)</f>
        <v>653227.82535373105</v>
      </c>
      <c r="AT7" s="24">
        <f>'Intermediate calculations'!AO15*'Intermediate calculations'!AO16*(1-Constants!$H$18-Constants!$H$19)</f>
        <v>661196.45302799589</v>
      </c>
      <c r="AU7" s="24">
        <f>'Intermediate calculations'!AP15*'Intermediate calculations'!AP16*(1-Constants!$H$18-Constants!$H$19)</f>
        <v>670196.39422428573</v>
      </c>
      <c r="AV7" s="24">
        <f>'Intermediate calculations'!AQ15*'Intermediate calculations'!AQ16*(1-Constants!$H$18-Constants!$H$19)</f>
        <v>679216.40913102729</v>
      </c>
      <c r="AW7" s="24">
        <f>'Intermediate calculations'!AR15*'Intermediate calculations'!AR16*(1-Constants!$H$18-Constants!$H$19)</f>
        <v>689397.69457845937</v>
      </c>
      <c r="AX7" s="24">
        <f>'Intermediate calculations'!AS15*'Intermediate calculations'!AS16*(1-Constants!$H$18-Constants!$H$19)</f>
        <v>700000.26788573072</v>
      </c>
      <c r="AY7" s="24">
        <f>'Intermediate calculations'!AT15*'Intermediate calculations'!AT16*(1-Constants!$H$18-Constants!$H$19)</f>
        <v>710978.51841462264</v>
      </c>
      <c r="AZ7" s="24">
        <f>'Intermediate calculations'!AU15*'Intermediate calculations'!AU16*(1-Constants!$H$18-Constants!$H$19)</f>
        <v>722283.75529322797</v>
      </c>
      <c r="BA7" s="24">
        <f>'Intermediate calculations'!AV15*'Intermediate calculations'!AV16*(1-Constants!$H$18-Constants!$H$19)</f>
        <v>732874.38220949122</v>
      </c>
      <c r="BB7" s="24">
        <f>'Intermediate calculations'!AW15*'Intermediate calculations'!AW16*(1-Constants!$H$18-Constants!$H$19)</f>
        <v>743640.57559578365</v>
      </c>
      <c r="BC7" s="24">
        <f>'Intermediate calculations'!AX15*'Intermediate calculations'!AX16*(1-Constants!$H$18-Constants!$H$19)</f>
        <v>755199.69985723379</v>
      </c>
      <c r="BD7" s="24">
        <f>'Intermediate calculations'!AY15*'Intermediate calculations'!AY16*(1-Constants!$H$18-Constants!$H$19)</f>
        <v>767343.9343993814</v>
      </c>
      <c r="BE7" s="24">
        <f>'Intermediate calculations'!AZ15*'Intermediate calculations'!AZ16*(1-Constants!$H$18-Constants!$H$19)</f>
        <v>779302.68747026892</v>
      </c>
      <c r="BF7" s="24">
        <f>'Intermediate calculations'!BA15*'Intermediate calculations'!BA16*(1-Constants!$H$18-Constants!$H$19)</f>
        <v>791497.29128084192</v>
      </c>
      <c r="BG7" s="24">
        <f>'Intermediate calculations'!BB15*'Intermediate calculations'!BB16*(1-Constants!$H$18-Constants!$H$19)</f>
        <v>803882.6122505042</v>
      </c>
      <c r="BH7" s="24">
        <f>'Intermediate calculations'!BC15*'Intermediate calculations'!BC16*(1-Constants!$H$18-Constants!$H$19)</f>
        <v>816912.03978556313</v>
      </c>
      <c r="BI7" s="24">
        <f>'Intermediate calculations'!BD15*'Intermediate calculations'!BD16*(1-Constants!$H$18-Constants!$H$19)</f>
        <v>830731.33108197746</v>
      </c>
      <c r="BJ7" s="24">
        <f>'Intermediate calculations'!BE15*'Intermediate calculations'!BE16*(1-Constants!$H$18-Constants!$H$19)</f>
        <v>845286.83967725292</v>
      </c>
      <c r="BK7" s="24">
        <f>'Intermediate calculations'!BF15*'Intermediate calculations'!BF16*(1-Constants!$H$18-Constants!$H$19)</f>
        <v>860885.74392158841</v>
      </c>
      <c r="BL7" s="24">
        <f>'Intermediate calculations'!BG15*'Intermediate calculations'!BG16*(1-Constants!$H$18-Constants!$H$19)</f>
        <v>877059.34867121605</v>
      </c>
      <c r="BM7" s="24">
        <f>'Intermediate calculations'!BH15*'Intermediate calculations'!BH16*(1-Constants!$H$18-Constants!$H$19)</f>
        <v>893980.6632612776</v>
      </c>
      <c r="BN7" s="24">
        <f>'Intermediate calculations'!BI15*'Intermediate calculations'!BI16*(1-Constants!$H$18-Constants!$H$19)</f>
        <v>910881.20561091066</v>
      </c>
      <c r="BO7" s="24">
        <f>'Intermediate calculations'!BJ15*'Intermediate calculations'!BJ16*(1-Constants!$H$18-Constants!$H$19)</f>
        <v>928598.28749016928</v>
      </c>
      <c r="BP7" s="24">
        <f>'Intermediate calculations'!BK15*'Intermediate calculations'!BK16*(1-Constants!$H$18-Constants!$H$19)</f>
        <v>947328.76850577677</v>
      </c>
    </row>
    <row r="8" spans="1:72" s="23" customFormat="1" x14ac:dyDescent="0.25">
      <c r="A8" s="23" t="str">
        <f t="shared" si="1"/>
        <v>3A Livestock</v>
      </c>
      <c r="C8" s="23" t="str">
        <f>C7</f>
        <v>3A1aii Other cattle</v>
      </c>
      <c r="D8" t="str">
        <f>'IPCC Categories'!$F$36</f>
        <v>Commercial</v>
      </c>
      <c r="E8" s="23" t="str">
        <f>E6</f>
        <v>Population</v>
      </c>
      <c r="F8" s="23" t="str">
        <f>F6</f>
        <v>Head</v>
      </c>
      <c r="H8" s="43">
        <f>Data!C54</f>
        <v>6817100</v>
      </c>
      <c r="I8" s="43">
        <f>Data!D54</f>
        <v>6522860</v>
      </c>
      <c r="J8" s="43">
        <f>Data!E54</f>
        <v>6520490</v>
      </c>
      <c r="K8" s="43">
        <f>Data!F54</f>
        <v>6100150</v>
      </c>
      <c r="L8" s="43">
        <f>Data!G54</f>
        <v>6284050</v>
      </c>
      <c r="M8" s="43">
        <f>Data!H54</f>
        <v>6426930</v>
      </c>
      <c r="N8" s="43">
        <f>Data!I54</f>
        <v>6693540</v>
      </c>
      <c r="O8" s="43">
        <f>Data!J54</f>
        <v>6947100</v>
      </c>
      <c r="P8" s="43">
        <f>Data!K54</f>
        <v>7007270</v>
      </c>
      <c r="Q8" s="43">
        <f>Data!L54</f>
        <v>6893880</v>
      </c>
      <c r="R8" s="43">
        <f>Data!M54</f>
        <v>6425570</v>
      </c>
      <c r="S8" s="43">
        <f>Data!N54</f>
        <v>6458960</v>
      </c>
      <c r="T8" s="43">
        <f>Data!O54</f>
        <v>6019810</v>
      </c>
      <c r="U8" s="43">
        <f>Data!P54</f>
        <v>6177270</v>
      </c>
      <c r="V8" s="43">
        <f>Data!Q54</f>
        <v>6234220</v>
      </c>
      <c r="W8" s="43">
        <f>Data!R54</f>
        <v>6287100</v>
      </c>
      <c r="X8" s="43">
        <f>Data!S54</f>
        <v>6143880</v>
      </c>
      <c r="Y8" s="43">
        <f>Data!T54</f>
        <v>6323880</v>
      </c>
      <c r="Z8" s="43">
        <f>Data!U54</f>
        <v>6148152.25</v>
      </c>
      <c r="AA8" s="43">
        <f>Data!V54</f>
        <v>6044920.583333333</v>
      </c>
      <c r="AB8" s="43">
        <f>Data!W54</f>
        <v>6025917.666666667</v>
      </c>
      <c r="AC8" s="43">
        <f>Data!X54</f>
        <v>6004279.833333333</v>
      </c>
      <c r="AD8" s="24">
        <f>'Intermediate calculations'!Y10*'Intermediate calculations'!Y11*Constants!$H$20</f>
        <v>5956102.5281109614</v>
      </c>
      <c r="AE8" s="24">
        <f>'Intermediate calculations'!Z10*'Intermediate calculations'!Z11*Constants!$H$20</f>
        <v>5936006.5482581025</v>
      </c>
      <c r="AF8" s="24">
        <f>'Intermediate calculations'!AA10*'Intermediate calculations'!AA11*Constants!$H$20</f>
        <v>5872809.042929519</v>
      </c>
      <c r="AG8" s="24">
        <f>'Intermediate calculations'!AB10*'Intermediate calculations'!AB11*Constants!$H$20</f>
        <v>5779338.9600368366</v>
      </c>
      <c r="AH8" s="24">
        <f>'Intermediate calculations'!AC10*'Intermediate calculations'!AC11*Constants!$H$20</f>
        <v>5655859.2149560479</v>
      </c>
      <c r="AI8" s="24">
        <f>'Intermediate calculations'!AD10*'Intermediate calculations'!AD11*Constants!$H$20</f>
        <v>5575009.6952105975</v>
      </c>
      <c r="AJ8" s="24">
        <f>'Intermediate calculations'!AE10*'Intermediate calculations'!AE11*Constants!$H$20</f>
        <v>5486668.0825456409</v>
      </c>
      <c r="AK8" s="24">
        <f>'Intermediate calculations'!AF10*'Intermediate calculations'!AF11*Constants!$H$20</f>
        <v>5396297.2468193993</v>
      </c>
      <c r="AL8" s="24">
        <f>'Intermediate calculations'!AG10*'Intermediate calculations'!AG11*Constants!$H$20</f>
        <v>4727897.3971654698</v>
      </c>
      <c r="AM8" s="24">
        <f>'Intermediate calculations'!AH10*'Intermediate calculations'!AH11*Constants!$H$20</f>
        <v>4784081.7347139977</v>
      </c>
      <c r="AN8" s="24">
        <f>'Intermediate calculations'!AI10*'Intermediate calculations'!AI11*Constants!$H$20</f>
        <v>4831495.1094685355</v>
      </c>
      <c r="AO8" s="24">
        <f>'Intermediate calculations'!AJ10*'Intermediate calculations'!AJ11*Constants!$H$20</f>
        <v>4880194.4358400228</v>
      </c>
      <c r="AP8" s="24">
        <f>'Intermediate calculations'!AK10*'Intermediate calculations'!AK11*Constants!$H$20</f>
        <v>4937056.7924311776</v>
      </c>
      <c r="AQ8" s="24">
        <f>'Intermediate calculations'!AL10*'Intermediate calculations'!AL11*Constants!$H$20</f>
        <v>5006606.9464501441</v>
      </c>
      <c r="AR8" s="24">
        <f>'Intermediate calculations'!AM10*'Intermediate calculations'!AM11*Constants!$H$20</f>
        <v>5079306.3213539924</v>
      </c>
      <c r="AS8" s="24">
        <f>'Intermediate calculations'!AN10*'Intermediate calculations'!AN11*Constants!$H$20</f>
        <v>5159198.5099797184</v>
      </c>
      <c r="AT8" s="24">
        <f>'Intermediate calculations'!AO10*'Intermediate calculations'!AO11*Constants!$H$20</f>
        <v>5247015.1211931417</v>
      </c>
      <c r="AU8" s="24">
        <f>'Intermediate calculations'!AP10*'Intermediate calculations'!AP11*Constants!$H$20</f>
        <v>5352251.3685862636</v>
      </c>
      <c r="AV8" s="24">
        <f>'Intermediate calculations'!AQ10*'Intermediate calculations'!AQ11*Constants!$H$20</f>
        <v>5452618.5235552127</v>
      </c>
      <c r="AW8" s="24">
        <f>'Intermediate calculations'!AR10*'Intermediate calculations'!AR11*Constants!$H$20</f>
        <v>5532445.3128198916</v>
      </c>
      <c r="AX8" s="24">
        <f>'Intermediate calculations'!AS10*'Intermediate calculations'!AS11*Constants!$H$20</f>
        <v>5612188.5524017364</v>
      </c>
      <c r="AY8" s="24">
        <f>'Intermediate calculations'!AT10*'Intermediate calculations'!AT11*Constants!$H$20</f>
        <v>5690600.6471409546</v>
      </c>
      <c r="AZ8" s="24">
        <f>'Intermediate calculations'!AU10*'Intermediate calculations'!AU11*Constants!$H$20</f>
        <v>5766460.2194949295</v>
      </c>
      <c r="BA8" s="24">
        <f>'Intermediate calculations'!AV10*'Intermediate calculations'!AV11*Constants!$H$20</f>
        <v>5819854.8282191958</v>
      </c>
      <c r="BB8" s="24">
        <f>'Intermediate calculations'!AW10*'Intermediate calculations'!AW11*Constants!$H$20</f>
        <v>5874357.0722396532</v>
      </c>
      <c r="BC8" s="24">
        <f>'Intermediate calculations'!AX10*'Intermediate calculations'!AX11*Constants!$H$20</f>
        <v>5934883.4188577197</v>
      </c>
      <c r="BD8" s="24">
        <f>'Intermediate calculations'!AY10*'Intermediate calculations'!AY11*Constants!$H$20</f>
        <v>5996937.0224783113</v>
      </c>
      <c r="BE8" s="24">
        <f>'Intermediate calculations'!AZ10*'Intermediate calculations'!AZ11*Constants!$H$20</f>
        <v>6046749.4304606067</v>
      </c>
      <c r="BF8" s="24">
        <f>'Intermediate calculations'!BA10*'Intermediate calculations'!BA11*Constants!$H$20</f>
        <v>6091806.9164547389</v>
      </c>
      <c r="BG8" s="24">
        <f>'Intermediate calculations'!BB10*'Intermediate calculations'!BB11*Constants!$H$20</f>
        <v>6167459.4509070897</v>
      </c>
      <c r="BH8" s="24">
        <f>'Intermediate calculations'!BC10*'Intermediate calculations'!BC11*Constants!$H$20</f>
        <v>6246221.0631786101</v>
      </c>
      <c r="BI8" s="24">
        <f>'Intermediate calculations'!BD10*'Intermediate calculations'!BD11*Constants!$H$20</f>
        <v>6329892.6864886982</v>
      </c>
      <c r="BJ8" s="24">
        <f>'Intermediate calculations'!BE10*'Intermediate calculations'!BE11*Constants!$H$20</f>
        <v>6417025.7869479731</v>
      </c>
      <c r="BK8" s="24">
        <f>'Intermediate calculations'!BF10*'Intermediate calculations'!BF11*Constants!$H$20</f>
        <v>6511684.9619602337</v>
      </c>
      <c r="BL8" s="24">
        <f>'Intermediate calculations'!BG10*'Intermediate calculations'!BG11*Constants!$H$20</f>
        <v>6610585.1048042579</v>
      </c>
      <c r="BM8" s="24">
        <f>'Intermediate calculations'!BH10*'Intermediate calculations'!BH11*Constants!$H$20</f>
        <v>6711201.9613396274</v>
      </c>
      <c r="BN8" s="24">
        <f>'Intermediate calculations'!BI10*'Intermediate calculations'!BI11*Constants!$H$20</f>
        <v>6802161.8833797174</v>
      </c>
      <c r="BO8" s="24">
        <f>'Intermediate calculations'!BJ10*'Intermediate calculations'!BJ11*Constants!$H$20</f>
        <v>6895200.7918293057</v>
      </c>
      <c r="BP8" s="24">
        <f>'Intermediate calculations'!BK10*'Intermediate calculations'!BK11*Constants!$H$20</f>
        <v>6992383.9035925884</v>
      </c>
    </row>
    <row r="9" spans="1:72" s="23" customFormat="1" x14ac:dyDescent="0.25">
      <c r="A9" s="23" t="str">
        <f t="shared" si="1"/>
        <v>3A Livestock</v>
      </c>
      <c r="C9" s="23" t="str">
        <f>$C$8</f>
        <v>3A1aii Other cattle</v>
      </c>
      <c r="D9" t="str">
        <f>'IPCC Categories'!$F$37</f>
        <v>Subsistence</v>
      </c>
      <c r="E9" s="23" t="str">
        <f t="shared" ref="E9:E22" si="2">E8</f>
        <v>Population</v>
      </c>
      <c r="F9" s="23" t="str">
        <f t="shared" ref="F9:F22" si="3">F8</f>
        <v>Head</v>
      </c>
      <c r="H9" s="43">
        <f>Data!C55</f>
        <v>4590000</v>
      </c>
      <c r="I9" s="43">
        <f>Data!D55</f>
        <v>4870000</v>
      </c>
      <c r="J9" s="43">
        <f>Data!E55</f>
        <v>5100000</v>
      </c>
      <c r="K9" s="43">
        <f>Data!F55</f>
        <v>5040000</v>
      </c>
      <c r="L9" s="43">
        <f>Data!G55</f>
        <v>4390000</v>
      </c>
      <c r="M9" s="43">
        <f>Data!H55</f>
        <v>4240000</v>
      </c>
      <c r="N9" s="43">
        <f>Data!I55</f>
        <v>4360000</v>
      </c>
      <c r="O9" s="43">
        <f>Data!J55</f>
        <v>4560000</v>
      </c>
      <c r="P9" s="43">
        <f>Data!K55</f>
        <v>4840000</v>
      </c>
      <c r="Q9" s="43">
        <f>Data!L55</f>
        <v>5040000</v>
      </c>
      <c r="R9" s="43">
        <f>Data!M55</f>
        <v>4920000</v>
      </c>
      <c r="S9" s="43">
        <f>Data!N55</f>
        <v>4800000</v>
      </c>
      <c r="T9" s="43">
        <f>Data!O55</f>
        <v>5440000</v>
      </c>
      <c r="U9" s="43">
        <f>Data!P55</f>
        <v>5570000</v>
      </c>
      <c r="V9" s="43">
        <f>Data!Q55</f>
        <v>5480000</v>
      </c>
      <c r="W9" s="43">
        <f>Data!R55</f>
        <v>5320000</v>
      </c>
      <c r="X9" s="43">
        <f>Data!S55</f>
        <v>5490000</v>
      </c>
      <c r="Y9" s="43">
        <f>Data!T55</f>
        <v>5710000</v>
      </c>
      <c r="Z9" s="43">
        <f>Data!U55</f>
        <v>5620000</v>
      </c>
      <c r="AA9" s="43">
        <f>Data!V55</f>
        <v>5560000</v>
      </c>
      <c r="AB9" s="43">
        <f>Data!W55</f>
        <v>5480000</v>
      </c>
      <c r="AC9" s="43">
        <f>Data!X55</f>
        <v>5520000</v>
      </c>
      <c r="AD9" s="24">
        <f>'Intermediate calculations'!Y10*'Intermediate calculations'!Y11*(1-Constants!$H$20)</f>
        <v>5281826.7702116063</v>
      </c>
      <c r="AE9" s="24">
        <f>'Intermediate calculations'!Z10*'Intermediate calculations'!Z11*(1-Constants!$H$20)</f>
        <v>5264005.8069458632</v>
      </c>
      <c r="AF9" s="24">
        <f>'Intermediate calculations'!AA10*'Intermediate calculations'!AA11*(1-Constants!$H$20)</f>
        <v>5207962.7361827809</v>
      </c>
      <c r="AG9" s="24">
        <f>'Intermediate calculations'!AB10*'Intermediate calculations'!AB11*(1-Constants!$H$20)</f>
        <v>5125074.172108138</v>
      </c>
      <c r="AH9" s="24">
        <f>'Intermediate calculations'!AC10*'Intermediate calculations'!AC11*(1-Constants!$H$20)</f>
        <v>5015573.2660930986</v>
      </c>
      <c r="AI9" s="24">
        <f>'Intermediate calculations'!AD10*'Intermediate calculations'!AD11*(1-Constants!$H$20)</f>
        <v>4943876.5221678885</v>
      </c>
      <c r="AJ9" s="24">
        <f>'Intermediate calculations'!AE10*'Intermediate calculations'!AE11*(1-Constants!$H$20)</f>
        <v>4865535.8467857568</v>
      </c>
      <c r="AK9" s="24">
        <f>'Intermediate calculations'!AF10*'Intermediate calculations'!AF11*(1-Constants!$H$20)</f>
        <v>4785395.671707768</v>
      </c>
      <c r="AL9" s="24">
        <f>'Intermediate calculations'!AG10*'Intermediate calculations'!AG11*(1-Constants!$H$20)</f>
        <v>4192663.7295618313</v>
      </c>
      <c r="AM9" s="24">
        <f>'Intermediate calculations'!AH10*'Intermediate calculations'!AH11*(1-Constants!$H$20)</f>
        <v>4242487.5760671292</v>
      </c>
      <c r="AN9" s="24">
        <f>'Intermediate calculations'!AI10*'Intermediate calculations'!AI11*(1-Constants!$H$20)</f>
        <v>4284533.3989626626</v>
      </c>
      <c r="AO9" s="24">
        <f>'Intermediate calculations'!AJ10*'Intermediate calculations'!AJ11*(1-Constants!$H$20)</f>
        <v>4327719.5940468116</v>
      </c>
      <c r="AP9" s="24">
        <f>'Intermediate calculations'!AK10*'Intermediate calculations'!AK11*(1-Constants!$H$20)</f>
        <v>4378144.7027219869</v>
      </c>
      <c r="AQ9" s="24">
        <f>'Intermediate calculations'!AL10*'Intermediate calculations'!AL11*(1-Constants!$H$20)</f>
        <v>4439821.2543991841</v>
      </c>
      <c r="AR9" s="24">
        <f>'Intermediate calculations'!AM10*'Intermediate calculations'!AM11*(1-Constants!$H$20)</f>
        <v>4504290.5113893896</v>
      </c>
      <c r="AS9" s="24">
        <f>'Intermediate calculations'!AN10*'Intermediate calculations'!AN11*(1-Constants!$H$20)</f>
        <v>4575138.3013027692</v>
      </c>
      <c r="AT9" s="24">
        <f>'Intermediate calculations'!AO10*'Intermediate calculations'!AO11*(1-Constants!$H$20)</f>
        <v>4653013.4093599552</v>
      </c>
      <c r="AU9" s="24">
        <f>'Intermediate calculations'!AP10*'Intermediate calculations'!AP11*(1-Constants!$H$20)</f>
        <v>4746336.1193123469</v>
      </c>
      <c r="AV9" s="24">
        <f>'Intermediate calculations'!AQ10*'Intermediate calculations'!AQ11*(1-Constants!$H$20)</f>
        <v>4835340.9548508478</v>
      </c>
      <c r="AW9" s="24">
        <f>'Intermediate calculations'!AR10*'Intermediate calculations'!AR11*(1-Constants!$H$20)</f>
        <v>4906130.7491044318</v>
      </c>
      <c r="AX9" s="24">
        <f>'Intermediate calculations'!AS10*'Intermediate calculations'!AS11*(1-Constants!$H$20)</f>
        <v>4976846.4521298409</v>
      </c>
      <c r="AY9" s="24">
        <f>'Intermediate calculations'!AT10*'Intermediate calculations'!AT11*(1-Constants!$H$20)</f>
        <v>5046381.7059551859</v>
      </c>
      <c r="AZ9" s="24">
        <f>'Intermediate calculations'!AU10*'Intermediate calculations'!AU11*(1-Constants!$H$20)</f>
        <v>5113653.4021936171</v>
      </c>
      <c r="BA9" s="24">
        <f>'Intermediate calculations'!AV10*'Intermediate calculations'!AV11*(1-Constants!$H$20)</f>
        <v>5161003.3382321168</v>
      </c>
      <c r="BB9" s="24">
        <f>'Intermediate calculations'!AW10*'Intermediate calculations'!AW11*(1-Constants!$H$20)</f>
        <v>5209335.5168917673</v>
      </c>
      <c r="BC9" s="24">
        <f>'Intermediate calculations'!AX10*'Intermediate calculations'!AX11*(1-Constants!$H$20)</f>
        <v>5263009.8242700528</v>
      </c>
      <c r="BD9" s="24">
        <f>'Intermediate calculations'!AY10*'Intermediate calculations'!AY11*(1-Constants!$H$20)</f>
        <v>5318038.49163171</v>
      </c>
      <c r="BE9" s="24">
        <f>'Intermediate calculations'!AZ10*'Intermediate calculations'!AZ11*(1-Constants!$H$20)</f>
        <v>5362211.7590877069</v>
      </c>
      <c r="BF9" s="24">
        <f>'Intermediate calculations'!BA10*'Intermediate calculations'!BA11*(1-Constants!$H$20)</f>
        <v>5402168.397610805</v>
      </c>
      <c r="BG9" s="24">
        <f>'Intermediate calculations'!BB10*'Intermediate calculations'!BB11*(1-Constants!$H$20)</f>
        <v>5469256.4942006255</v>
      </c>
      <c r="BH9" s="24">
        <f>'Intermediate calculations'!BC10*'Intermediate calculations'!BC11*(1-Constants!$H$20)</f>
        <v>5539101.6975357477</v>
      </c>
      <c r="BI9" s="24">
        <f>'Intermediate calculations'!BD10*'Intermediate calculations'!BD11*(1-Constants!$H$20)</f>
        <v>5613301.0616031839</v>
      </c>
      <c r="BJ9" s="24">
        <f>'Intermediate calculations'!BE10*'Intermediate calculations'!BE11*(1-Constants!$H$20)</f>
        <v>5690570.0374821648</v>
      </c>
      <c r="BK9" s="24">
        <f>'Intermediate calculations'!BF10*'Intermediate calculations'!BF11*(1-Constants!$H$20)</f>
        <v>5774513.0794741698</v>
      </c>
      <c r="BL9" s="24">
        <f>'Intermediate calculations'!BG10*'Intermediate calculations'!BG11*(1-Constants!$H$20)</f>
        <v>5862216.9797320766</v>
      </c>
      <c r="BM9" s="24">
        <f>'Intermediate calculations'!BH10*'Intermediate calculations'!BH11*(1-Constants!$H$20)</f>
        <v>5951443.2487351401</v>
      </c>
      <c r="BN9" s="24">
        <f>'Intermediate calculations'!BI10*'Intermediate calculations'!BI11*(1-Constants!$H$20)</f>
        <v>6032105.8211103147</v>
      </c>
      <c r="BO9" s="24">
        <f>'Intermediate calculations'!BJ10*'Intermediate calculations'!BJ11*(1-Constants!$H$20)</f>
        <v>6114612.0229429686</v>
      </c>
      <c r="BP9" s="24">
        <f>'Intermediate calculations'!BK10*'Intermediate calculations'!BK11*(1-Constants!$H$20)</f>
        <v>6200793.2729972005</v>
      </c>
    </row>
    <row r="10" spans="1:72" s="23" customFormat="1" x14ac:dyDescent="0.25">
      <c r="A10" s="23" t="str">
        <f t="shared" si="1"/>
        <v>3A Livestock</v>
      </c>
      <c r="C10" s="23" t="str">
        <f>$C$9</f>
        <v>3A1aii Other cattle</v>
      </c>
      <c r="D10" t="str">
        <f>'IPCC Categories'!$F$38</f>
        <v>Feedlot</v>
      </c>
      <c r="E10" s="23" t="str">
        <f t="shared" si="2"/>
        <v>Population</v>
      </c>
      <c r="F10" s="23" t="str">
        <f t="shared" si="3"/>
        <v>Head</v>
      </c>
      <c r="H10" s="43">
        <v>420000</v>
      </c>
      <c r="I10" s="43">
        <v>420000</v>
      </c>
      <c r="J10" s="43">
        <v>420000</v>
      </c>
      <c r="K10" s="43">
        <v>420000</v>
      </c>
      <c r="L10" s="43">
        <v>420000</v>
      </c>
      <c r="M10" s="43">
        <v>420000</v>
      </c>
      <c r="N10" s="43">
        <v>420000</v>
      </c>
      <c r="O10" s="43">
        <v>420000</v>
      </c>
      <c r="P10" s="43">
        <v>420000</v>
      </c>
      <c r="Q10" s="43">
        <v>420000</v>
      </c>
      <c r="R10" s="43">
        <v>420000</v>
      </c>
      <c r="S10" s="43">
        <v>420000</v>
      </c>
      <c r="T10" s="43">
        <v>420000</v>
      </c>
      <c r="U10" s="43">
        <v>420000</v>
      </c>
      <c r="V10" s="43">
        <v>420000</v>
      </c>
      <c r="W10" s="43">
        <v>420000</v>
      </c>
      <c r="X10" s="43">
        <v>420000</v>
      </c>
      <c r="Y10" s="43">
        <v>420000</v>
      </c>
      <c r="Z10" s="43">
        <v>391147.75</v>
      </c>
      <c r="AA10" s="43">
        <v>400819.41666666669</v>
      </c>
      <c r="AB10" s="43">
        <v>399822.33333333331</v>
      </c>
      <c r="AC10" s="43">
        <v>461800.16666666669</v>
      </c>
      <c r="AD10" s="24">
        <f>(((('Intermediate calculations'!Y9/('Intermediate calculations'!Y64+0.27))*ttokg)/Constants!$H$21)/(365/'Intermediate calculations'!Y65))</f>
        <v>541405.91606729885</v>
      </c>
      <c r="AE10" s="24">
        <f>(((('Intermediate calculations'!Z9/('Intermediate calculations'!Z64+0.27))*ttokg)/Constants!$H$21)/(365/'Intermediate calculations'!Z65))</f>
        <v>562640.86847983464</v>
      </c>
      <c r="AF10" s="24">
        <f>(((('Intermediate calculations'!AA9/('Intermediate calculations'!AA64+0.27))*ttokg)/Constants!$H$21)/(365/'Intermediate calculations'!AA65))</f>
        <v>580121.54191023379</v>
      </c>
      <c r="AG10" s="24">
        <f>(((('Intermediate calculations'!AB9/('Intermediate calculations'!AB64+0.27))*ttokg)/Constants!$H$21)/(365/'Intermediate calculations'!AB65))</f>
        <v>594686.81119661022</v>
      </c>
      <c r="AH10" s="24">
        <f>(((('Intermediate calculations'!AC9/('Intermediate calculations'!AC64+0.27))*ttokg)/Constants!$H$21)/(365/'Intermediate calculations'!AC65))</f>
        <v>606012.99202959891</v>
      </c>
      <c r="AI10" s="24">
        <f>(((('Intermediate calculations'!AD9/('Intermediate calculations'!AD64+0.27))*ttokg)/Constants!$H$21)/(365/'Intermediate calculations'!AD65))</f>
        <v>621826.89813027438</v>
      </c>
      <c r="AJ10" s="24">
        <f>(((('Intermediate calculations'!AE9/('Intermediate calculations'!AE64+0.27))*ttokg)/Constants!$H$21)/(365/'Intermediate calculations'!AE65))</f>
        <v>636895.56857724069</v>
      </c>
      <c r="AK10" s="24">
        <f>(((('Intermediate calculations'!AF9/('Intermediate calculations'!AF64+0.27))*ttokg)/Constants!$H$21)/(365/'Intermediate calculations'!AF65))</f>
        <v>651795.42720219388</v>
      </c>
      <c r="AL10" s="24">
        <f>(((('Intermediate calculations'!AG9/('Intermediate calculations'!AG64+0.27))*ttokg)/Constants!$H$21)/(365/'Intermediate calculations'!AG65))</f>
        <v>594131.52893650881</v>
      </c>
      <c r="AM10" s="24">
        <f>(((('Intermediate calculations'!AH9/('Intermediate calculations'!AH64+0.27))*ttokg)/Constants!$H$21)/(365/'Intermediate calculations'!AH65))</f>
        <v>615665.47994690062</v>
      </c>
      <c r="AN10" s="24">
        <f>(((('Intermediate calculations'!AI9/('Intermediate calculations'!AI64+0.27))*ttokg)/Constants!$H$21)/(365/'Intermediate calculations'!AI65))</f>
        <v>636530.48024944938</v>
      </c>
      <c r="AO10" s="24">
        <f>(((('Intermediate calculations'!AJ9/('Intermediate calculations'!AJ64+0.27))*ttokg)/Constants!$H$21)/(365/'Intermediate calculations'!AJ65))</f>
        <v>658018.65519302059</v>
      </c>
      <c r="AP10" s="24">
        <f>(((('Intermediate calculations'!AK9/('Intermediate calculations'!AK64+0.27))*ttokg)/Constants!$H$21)/(365/'Intermediate calculations'!AK65))</f>
        <v>681107.29447105178</v>
      </c>
      <c r="AQ10" s="24">
        <f>(((('Intermediate calculations'!AL9/('Intermediate calculations'!AL64+0.27))*ttokg)/Constants!$H$21)/(365/'Intermediate calculations'!AL65))</f>
        <v>706529.01882904919</v>
      </c>
      <c r="AR10" s="24">
        <f>(((('Intermediate calculations'!AM9/('Intermediate calculations'!AM64+0.27))*ttokg)/Constants!$H$21)/(365/'Intermediate calculations'!AM65))</f>
        <v>733046.82731290522</v>
      </c>
      <c r="AS10" s="24">
        <f>(((('Intermediate calculations'!AN9/('Intermediate calculations'!AN64+0.27))*ttokg)/Constants!$H$21)/(365/'Intermediate calculations'!AN65))</f>
        <v>761307.66742003744</v>
      </c>
      <c r="AT10" s="24">
        <f>(((('Intermediate calculations'!AO9/('Intermediate calculations'!AO64+0.27))*ttokg)/Constants!$H$21)/(365/'Intermediate calculations'!AO65))</f>
        <v>791513.29355313175</v>
      </c>
      <c r="AU10" s="24">
        <f>(((('Intermediate calculations'!AP9/('Intermediate calculations'!AP64+0.27))*ttokg)/Constants!$H$21)/(365/'Intermediate calculations'!AP65))</f>
        <v>825228.91158229182</v>
      </c>
      <c r="AV10" s="24">
        <f>(((('Intermediate calculations'!AQ9/('Intermediate calculations'!AQ64+0.27))*ttokg)/Constants!$H$21)/(365/'Intermediate calculations'!AQ65))</f>
        <v>859143.02845105191</v>
      </c>
      <c r="AW10" s="24">
        <f>(((('Intermediate calculations'!AR9/('Intermediate calculations'!AR64+0.27))*ttokg)/Constants!$H$21)/(365/'Intermediate calculations'!AR65))</f>
        <v>900615.55822695175</v>
      </c>
      <c r="AX10" s="24">
        <f>(((('Intermediate calculations'!AS9/('Intermediate calculations'!AS64+0.27))*ttokg)/Constants!$H$21)/(365/'Intermediate calculations'!AS65))</f>
        <v>943937.6507344956</v>
      </c>
      <c r="AY10" s="24">
        <f>(((('Intermediate calculations'!AT9/('Intermediate calculations'!AT64+0.27))*ttokg)/Constants!$H$21)/(365/'Intermediate calculations'!AT65))</f>
        <v>988993.928477754</v>
      </c>
      <c r="AZ10" s="24">
        <f>(((('Intermediate calculations'!AU9/('Intermediate calculations'!AU64+0.27))*ttokg)/Constants!$H$21)/(365/'Intermediate calculations'!AU65))</f>
        <v>1035651.9379350937</v>
      </c>
      <c r="BA10" s="24">
        <f>(((('Intermediate calculations'!AV9/('Intermediate calculations'!AV64+0.27))*ttokg)/Constants!$H$21)/(365/'Intermediate calculations'!AV65))</f>
        <v>1080286.5804421594</v>
      </c>
      <c r="BB10" s="24">
        <f>(((('Intermediate calculations'!AW9/('Intermediate calculations'!AW64+0.27))*ttokg)/Constants!$H$21)/(365/'Intermediate calculations'!AW65))</f>
        <v>1127123.5481725801</v>
      </c>
      <c r="BC10" s="24">
        <f>(((('Intermediate calculations'!AX9/('Intermediate calculations'!AX64+0.27))*ttokg)/Constants!$H$21)/(365/'Intermediate calculations'!AX65))</f>
        <v>1177276.6855524804</v>
      </c>
      <c r="BD10" s="24">
        <f>(((('Intermediate calculations'!AY9/('Intermediate calculations'!AY64+0.27))*ttokg)/Constants!$H$21)/(365/'Intermediate calculations'!AY65))</f>
        <v>1230072.4026826019</v>
      </c>
      <c r="BE10" s="24">
        <f>(((('Intermediate calculations'!AZ9/('Intermediate calculations'!AZ64+0.27))*ttokg)/Constants!$H$21)/(365/'Intermediate calculations'!AZ65))</f>
        <v>1282763.6132389193</v>
      </c>
      <c r="BF10" s="24">
        <f>(((('Intermediate calculations'!BA9/('Intermediate calculations'!BA64+0.27))*ttokg)/Constants!$H$21)/(365/'Intermediate calculations'!BA65))</f>
        <v>1336878.8011967759</v>
      </c>
      <c r="BG10" s="24">
        <f>(((('Intermediate calculations'!BB9/('Intermediate calculations'!BB64+0.27))*ttokg)/Constants!$H$21)/(365/'Intermediate calculations'!BB65))</f>
        <v>1391649.6733908386</v>
      </c>
      <c r="BH10" s="24">
        <f>(((('Intermediate calculations'!BC9/('Intermediate calculations'!BC64+0.27))*ttokg)/Constants!$H$21)/(365/'Intermediate calculations'!BC65))</f>
        <v>1449305.3944497309</v>
      </c>
      <c r="BI10" s="24">
        <f>(((('Intermediate calculations'!BD9/('Intermediate calculations'!BD64+0.27))*ttokg)/Constants!$H$21)/(365/'Intermediate calculations'!BD65))</f>
        <v>1510443.3655106982</v>
      </c>
      <c r="BJ10" s="24">
        <f>(((('Intermediate calculations'!BE9/('Intermediate calculations'!BE64+0.27))*ttokg)/Constants!$H$21)/(365/'Intermediate calculations'!BE65))</f>
        <v>1574923.3281967361</v>
      </c>
      <c r="BK10" s="24">
        <f>(((('Intermediate calculations'!BF9/('Intermediate calculations'!BF64+0.27))*ttokg)/Constants!$H$21)/(365/'Intermediate calculations'!BF65))</f>
        <v>1643970.2917960682</v>
      </c>
      <c r="BL10" s="24">
        <f>(((('Intermediate calculations'!BG9/('Intermediate calculations'!BG64+0.27))*ttokg)/Constants!$H$21)/(365/'Intermediate calculations'!BG65))</f>
        <v>1717031.8120025897</v>
      </c>
      <c r="BM10" s="24">
        <f>(((('Intermediate calculations'!BH9/('Intermediate calculations'!BH64+0.27))*ttokg)/Constants!$H$21)/(365/'Intermediate calculations'!BH65))</f>
        <v>1793680.4335620701</v>
      </c>
      <c r="BN10" s="24">
        <f>(((('Intermediate calculations'!BI9/('Intermediate calculations'!BI64+0.27))*ttokg)/Constants!$H$21)/(365/'Intermediate calculations'!BI65))</f>
        <v>1870993.0285062527</v>
      </c>
      <c r="BO10" s="24">
        <f>(((('Intermediate calculations'!BJ9/('Intermediate calculations'!BJ64+0.27))*ttokg)/Constants!$H$21)/(365/'Intermediate calculations'!BJ65))</f>
        <v>1952236.6567621555</v>
      </c>
      <c r="BP10" s="24">
        <f>(((('Intermediate calculations'!BK9/('Intermediate calculations'!BK64+0.27))*ttokg)/Constants!$H$21)/(365/'Intermediate calculations'!BK65))</f>
        <v>2038247.6855003031</v>
      </c>
    </row>
    <row r="11" spans="1:72" s="23" customFormat="1" x14ac:dyDescent="0.25">
      <c r="A11" s="23" t="str">
        <f t="shared" si="1"/>
        <v>3A Livestock</v>
      </c>
      <c r="C11" s="23" t="str">
        <f>'IPCC Categories'!$C$7</f>
        <v>3A1c Sheep</v>
      </c>
      <c r="D11" t="str">
        <f>'IPCC Categories'!F36</f>
        <v>Commercial</v>
      </c>
      <c r="E11" s="23" t="str">
        <f t="shared" si="2"/>
        <v>Population</v>
      </c>
      <c r="F11" s="23" t="str">
        <f t="shared" si="3"/>
        <v>Head</v>
      </c>
      <c r="H11" s="43">
        <v>29979000</v>
      </c>
      <c r="I11" s="43">
        <v>28631000</v>
      </c>
      <c r="J11" s="43">
        <v>27448000</v>
      </c>
      <c r="K11" s="43">
        <v>25670000</v>
      </c>
      <c r="L11" s="43">
        <v>25851000</v>
      </c>
      <c r="M11" s="43">
        <v>25481000</v>
      </c>
      <c r="N11" s="43">
        <v>25566000</v>
      </c>
      <c r="O11" s="43">
        <v>25010000</v>
      </c>
      <c r="P11" s="43">
        <v>25079000</v>
      </c>
      <c r="Q11" s="43">
        <v>24463000</v>
      </c>
      <c r="R11" s="43">
        <v>23586000</v>
      </c>
      <c r="S11" s="43">
        <v>22998000</v>
      </c>
      <c r="T11" s="43">
        <v>22614000</v>
      </c>
      <c r="U11" s="43">
        <v>22693000</v>
      </c>
      <c r="V11" s="43">
        <v>22289000</v>
      </c>
      <c r="W11" s="43">
        <v>22236000</v>
      </c>
      <c r="X11" s="43">
        <v>21945000</v>
      </c>
      <c r="Y11" s="43">
        <v>21924000</v>
      </c>
      <c r="Z11" s="43">
        <v>21995000</v>
      </c>
      <c r="AA11" s="43">
        <v>21917000</v>
      </c>
      <c r="AB11" s="43">
        <v>21493000</v>
      </c>
      <c r="AC11" s="43">
        <v>21325000</v>
      </c>
      <c r="AD11" s="24">
        <f>('Intermediate calculations'!Y27*'Intermediate calculations'!Y28)*Constants!$H$22</f>
        <v>19015076.41040441</v>
      </c>
      <c r="AE11" s="24">
        <f>('Intermediate calculations'!Z27*'Intermediate calculations'!Z28)*Constants!$H$22</f>
        <v>19025380.368026402</v>
      </c>
      <c r="AF11" s="24">
        <f>('Intermediate calculations'!AA27*'Intermediate calculations'!AA28)*Constants!$H$22</f>
        <v>19048817.362263631</v>
      </c>
      <c r="AG11" s="24">
        <f>('Intermediate calculations'!AB27*'Intermediate calculations'!AB28)*Constants!$H$22</f>
        <v>19084708.997385543</v>
      </c>
      <c r="AH11" s="24">
        <f>('Intermediate calculations'!AC27*'Intermediate calculations'!AC28)*Constants!$H$22</f>
        <v>19132390.395799868</v>
      </c>
      <c r="AI11" s="24">
        <f>('Intermediate calculations'!AD27*'Intermediate calculations'!AD28)*Constants!$H$22</f>
        <v>19192371.015796937</v>
      </c>
      <c r="AJ11" s="24">
        <f>('Intermediate calculations'!AE27*'Intermediate calculations'!AE28)*Constants!$H$22</f>
        <v>19258851.414673623</v>
      </c>
      <c r="AK11" s="24">
        <f>('Intermediate calculations'!AF27*'Intermediate calculations'!AF28)*Constants!$H$22</f>
        <v>19332008.652391259</v>
      </c>
      <c r="AL11" s="24">
        <f>('Intermediate calculations'!AG27*'Intermediate calculations'!AG28)*Constants!$H$22</f>
        <v>19402537.281937174</v>
      </c>
      <c r="AM11" s="24">
        <f>('Intermediate calculations'!AH27*'Intermediate calculations'!AH28)*Constants!$H$22</f>
        <v>19430496.26238849</v>
      </c>
      <c r="AN11" s="24">
        <f>('Intermediate calculations'!AI27*'Intermediate calculations'!AI28)*Constants!$H$22</f>
        <v>19463151.13180723</v>
      </c>
      <c r="AO11" s="24">
        <f>('Intermediate calculations'!AJ27*'Intermediate calculations'!AJ28)*Constants!$H$22</f>
        <v>19500369.861777421</v>
      </c>
      <c r="AP11" s="24">
        <f>('Intermediate calculations'!AK27*'Intermediate calculations'!AK28)*Constants!$H$22</f>
        <v>19542012.637349878</v>
      </c>
      <c r="AQ11" s="24">
        <f>('Intermediate calculations'!AL27*'Intermediate calculations'!AL28)*Constants!$H$22</f>
        <v>19587936.927437693</v>
      </c>
      <c r="AR11" s="24">
        <f>('Intermediate calculations'!AM27*'Intermediate calculations'!AM28)*Constants!$H$22</f>
        <v>19616139.240428608</v>
      </c>
      <c r="AS11" s="24">
        <f>('Intermediate calculations'!AN27*'Intermediate calculations'!AN28)*Constants!$H$22</f>
        <v>19647928.56534468</v>
      </c>
      <c r="AT11" s="24">
        <f>('Intermediate calculations'!AO27*'Intermediate calculations'!AO28)*Constants!$H$22</f>
        <v>19683155.000589993</v>
      </c>
      <c r="AU11" s="24">
        <f>('Intermediate calculations'!AP27*'Intermediate calculations'!AP28)*Constants!$H$22</f>
        <v>19721841.644773193</v>
      </c>
      <c r="AV11" s="24">
        <f>('Intermediate calculations'!AQ27*'Intermediate calculations'!AQ28)*Constants!$H$22</f>
        <v>19763467.010573816</v>
      </c>
      <c r="AW11" s="24">
        <f>('Intermediate calculations'!AR27*'Intermediate calculations'!AR28)*Constants!$H$22</f>
        <v>19791007.357354656</v>
      </c>
      <c r="AX11" s="24">
        <f>('Intermediate calculations'!AS27*'Intermediate calculations'!AS28)*Constants!$H$22</f>
        <v>19821242.624943525</v>
      </c>
      <c r="AY11" s="24">
        <f>('Intermediate calculations'!AT27*'Intermediate calculations'!AT28)*Constants!$H$22</f>
        <v>19854047.973214451</v>
      </c>
      <c r="AZ11" s="24">
        <f>('Intermediate calculations'!AU27*'Intermediate calculations'!AU28)*Constants!$H$22</f>
        <v>19889306.880348381</v>
      </c>
      <c r="BA11" s="24">
        <f>('Intermediate calculations'!AV27*'Intermediate calculations'!AV28)*Constants!$H$22</f>
        <v>19926533.29427414</v>
      </c>
      <c r="BB11" s="24">
        <f>('Intermediate calculations'!AW27*'Intermediate calculations'!AW28)*Constants!$H$22</f>
        <v>19949613.939975332</v>
      </c>
      <c r="BC11" s="24">
        <f>('Intermediate calculations'!AX27*'Intermediate calculations'!AX28)*Constants!$H$22</f>
        <v>19974950.588448111</v>
      </c>
      <c r="BD11" s="24">
        <f>('Intermediate calculations'!AY27*'Intermediate calculations'!AY28)*Constants!$H$22</f>
        <v>20002390.177974951</v>
      </c>
      <c r="BE11" s="24">
        <f>('Intermediate calculations'!AZ27*'Intermediate calculations'!AZ28)*Constants!$H$22</f>
        <v>20031571.331830245</v>
      </c>
      <c r="BF11" s="24">
        <f>('Intermediate calculations'!BA27*'Intermediate calculations'!BA28)*Constants!$H$22</f>
        <v>20062591.398706682</v>
      </c>
      <c r="BG11" s="24">
        <f>('Intermediate calculations'!BB27*'Intermediate calculations'!BB28)*Constants!$H$22</f>
        <v>20080130.549318913</v>
      </c>
      <c r="BH11" s="24">
        <f>('Intermediate calculations'!BC27*'Intermediate calculations'!BC28)*Constants!$H$22</f>
        <v>20099455.539323125</v>
      </c>
      <c r="BI11" s="24">
        <f>('Intermediate calculations'!BD27*'Intermediate calculations'!BD28)*Constants!$H$22</f>
        <v>20120568.020051677</v>
      </c>
      <c r="BJ11" s="24">
        <f>('Intermediate calculations'!BE27*'Intermediate calculations'!BE28)*Constants!$H$22</f>
        <v>20143397.491074674</v>
      </c>
      <c r="BK11" s="24">
        <f>('Intermediate calculations'!BF27*'Intermediate calculations'!BF28)*Constants!$H$22</f>
        <v>20168013.948189612</v>
      </c>
      <c r="BL11" s="24">
        <f>('Intermediate calculations'!BG27*'Intermediate calculations'!BG28)*Constants!$H$22</f>
        <v>20178800.18204638</v>
      </c>
      <c r="BM11" s="24">
        <f>('Intermediate calculations'!BH27*'Intermediate calculations'!BH28)*Constants!$H$22</f>
        <v>20191104.145001031</v>
      </c>
      <c r="BN11" s="24">
        <f>('Intermediate calculations'!BI27*'Intermediate calculations'!BI28)*Constants!$H$22</f>
        <v>20204592.935109455</v>
      </c>
      <c r="BO11" s="24">
        <f>('Intermediate calculations'!BJ27*'Intermediate calculations'!BJ28)*Constants!$H$22</f>
        <v>20219546.163626585</v>
      </c>
      <c r="BP11" s="24">
        <f>('Intermediate calculations'!BK27*'Intermediate calculations'!BK28)*Constants!$H$22</f>
        <v>20236002.361803632</v>
      </c>
    </row>
    <row r="12" spans="1:72" s="23" customFormat="1" x14ac:dyDescent="0.25">
      <c r="A12" s="23" t="str">
        <f t="shared" si="1"/>
        <v>3A Livestock</v>
      </c>
      <c r="C12" s="23" t="str">
        <f>'IPCC Categories'!$C$7</f>
        <v>3A1c Sheep</v>
      </c>
      <c r="D12" t="str">
        <f>'IPCC Categories'!$F$37</f>
        <v>Subsistence</v>
      </c>
      <c r="E12" s="23" t="str">
        <f t="shared" si="2"/>
        <v>Population</v>
      </c>
      <c r="F12" s="23" t="str">
        <f t="shared" si="3"/>
        <v>Head</v>
      </c>
      <c r="H12" s="43">
        <v>4183862.7657327019</v>
      </c>
      <c r="I12" s="43">
        <v>3995736.1768468926</v>
      </c>
      <c r="J12" s="43">
        <v>3830636.9523276691</v>
      </c>
      <c r="K12" s="43">
        <v>3582499.6563046952</v>
      </c>
      <c r="L12" s="43">
        <v>3607759.9772159201</v>
      </c>
      <c r="M12" s="43">
        <v>3556122.8571211509</v>
      </c>
      <c r="N12" s="43">
        <v>3567985.4387645437</v>
      </c>
      <c r="O12" s="43">
        <v>3490390.1988383494</v>
      </c>
      <c r="P12" s="43">
        <v>3500019.8239371148</v>
      </c>
      <c r="Q12" s="43">
        <v>3414050.996968525</v>
      </c>
      <c r="R12" s="43">
        <v>3291657.0663655167</v>
      </c>
      <c r="S12" s="43">
        <v>3209595.9133500443</v>
      </c>
      <c r="T12" s="43">
        <v>3156004.9562787157</v>
      </c>
      <c r="U12" s="43">
        <v>3167030.1792178694</v>
      </c>
      <c r="V12" s="43">
        <v>3110648.0264657419</v>
      </c>
      <c r="W12" s="43">
        <v>3103251.3579116268</v>
      </c>
      <c r="X12" s="43">
        <v>3062639.4607560104</v>
      </c>
      <c r="Y12" s="43">
        <v>3059708.705291172</v>
      </c>
      <c r="Z12" s="43">
        <v>3069617.4499580064</v>
      </c>
      <c r="AA12" s="43">
        <v>3058731.7868028926</v>
      </c>
      <c r="AB12" s="43">
        <v>2999558.4383699675</v>
      </c>
      <c r="AC12" s="43">
        <v>2976112.3946512612</v>
      </c>
      <c r="AD12" s="24">
        <f>('Intermediate calculations'!Y27*'Intermediate calculations'!Y28)*(1-Constants!$H$22)</f>
        <v>2841333.2567270957</v>
      </c>
      <c r="AE12" s="24">
        <f>('Intermediate calculations'!Z27*'Intermediate calculations'!Z28)*(1-Constants!$H$22)</f>
        <v>2842872.9285556697</v>
      </c>
      <c r="AF12" s="24">
        <f>('Intermediate calculations'!AA27*'Intermediate calculations'!AA28)*(1-Constants!$H$22)</f>
        <v>2846375.0081543359</v>
      </c>
      <c r="AG12" s="24">
        <f>('Intermediate calculations'!AB27*'Intermediate calculations'!AB28)*(1-Constants!$H$22)</f>
        <v>2851738.1260461155</v>
      </c>
      <c r="AH12" s="24">
        <f>('Intermediate calculations'!AC27*'Intermediate calculations'!AC28)*(1-Constants!$H$22)</f>
        <v>2858862.9327057274</v>
      </c>
      <c r="AI12" s="24">
        <f>('Intermediate calculations'!AD27*'Intermediate calculations'!AD28)*(1-Constants!$H$22)</f>
        <v>2867825.5540845999</v>
      </c>
      <c r="AJ12" s="24">
        <f>('Intermediate calculations'!AE27*'Intermediate calculations'!AE28)*(1-Constants!$H$22)</f>
        <v>2877759.4067903114</v>
      </c>
      <c r="AK12" s="24">
        <f>('Intermediate calculations'!AF27*'Intermediate calculations'!AF28)*(1-Constants!$H$22)</f>
        <v>2888690.9480584641</v>
      </c>
      <c r="AL12" s="24">
        <f>('Intermediate calculations'!AG27*'Intermediate calculations'!AG28)*(1-Constants!$H$22)</f>
        <v>2899229.7087952103</v>
      </c>
      <c r="AM12" s="24">
        <f>('Intermediate calculations'!AH27*'Intermediate calculations'!AH28)*(1-Constants!$H$22)</f>
        <v>2903407.4874833375</v>
      </c>
      <c r="AN12" s="24">
        <f>('Intermediate calculations'!AI27*'Intermediate calculations'!AI28)*(1-Constants!$H$22)</f>
        <v>2908286.9507298162</v>
      </c>
      <c r="AO12" s="24">
        <f>('Intermediate calculations'!AJ27*'Intermediate calculations'!AJ28)*(1-Constants!$H$22)</f>
        <v>2913848.370150649</v>
      </c>
      <c r="AP12" s="24">
        <f>('Intermediate calculations'!AK27*'Intermediate calculations'!AK28)*(1-Constants!$H$22)</f>
        <v>2920070.8538568788</v>
      </c>
      <c r="AQ12" s="24">
        <f>('Intermediate calculations'!AL27*'Intermediate calculations'!AL28)*(1-Constants!$H$22)</f>
        <v>2926933.1040998851</v>
      </c>
      <c r="AR12" s="24">
        <f>('Intermediate calculations'!AM27*'Intermediate calculations'!AM28)*(1-Constants!$H$22)</f>
        <v>2931147.2428226657</v>
      </c>
      <c r="AS12" s="24">
        <f>('Intermediate calculations'!AN27*'Intermediate calculations'!AN28)*(1-Constants!$H$22)</f>
        <v>2935897.371833113</v>
      </c>
      <c r="AT12" s="24">
        <f>('Intermediate calculations'!AO27*'Intermediate calculations'!AO28)*(1-Constants!$H$22)</f>
        <v>2941161.0920421826</v>
      </c>
      <c r="AU12" s="24">
        <f>('Intermediate calculations'!AP27*'Intermediate calculations'!AP28)*(1-Constants!$H$22)</f>
        <v>2946941.8549661096</v>
      </c>
      <c r="AV12" s="24">
        <f>('Intermediate calculations'!AQ27*'Intermediate calculations'!AQ28)*(1-Constants!$H$22)</f>
        <v>2953161.7372121792</v>
      </c>
      <c r="AW12" s="24">
        <f>('Intermediate calculations'!AR27*'Intermediate calculations'!AR28)*(1-Constants!$H$22)</f>
        <v>2957276.9614437995</v>
      </c>
      <c r="AX12" s="24">
        <f>('Intermediate calculations'!AS27*'Intermediate calculations'!AS28)*(1-Constants!$H$22)</f>
        <v>2961794.8749915613</v>
      </c>
      <c r="AY12" s="24">
        <f>('Intermediate calculations'!AT27*'Intermediate calculations'!AT28)*(1-Constants!$H$22)</f>
        <v>2966696.8235837691</v>
      </c>
      <c r="AZ12" s="24">
        <f>('Intermediate calculations'!AU27*'Intermediate calculations'!AU28)*(1-Constants!$H$22)</f>
        <v>2971965.3959141262</v>
      </c>
      <c r="BA12" s="24">
        <f>('Intermediate calculations'!AV27*'Intermediate calculations'!AV28)*(1-Constants!$H$22)</f>
        <v>2977527.9635122279</v>
      </c>
      <c r="BB12" s="24">
        <f>('Intermediate calculations'!AW27*'Intermediate calculations'!AW28)*(1-Constants!$H$22)</f>
        <v>2980976.7956284983</v>
      </c>
      <c r="BC12" s="24">
        <f>('Intermediate calculations'!AX27*'Intermediate calculations'!AX28)*(1-Constants!$H$22)</f>
        <v>2984762.7316071889</v>
      </c>
      <c r="BD12" s="24">
        <f>('Intermediate calculations'!AY27*'Intermediate calculations'!AY28)*(1-Constants!$H$22)</f>
        <v>2988862.9001571764</v>
      </c>
      <c r="BE12" s="24">
        <f>('Intermediate calculations'!AZ27*'Intermediate calculations'!AZ28)*(1-Constants!$H$22)</f>
        <v>2993223.3024573927</v>
      </c>
      <c r="BF12" s="24">
        <f>('Intermediate calculations'!BA27*'Intermediate calculations'!BA28)*(1-Constants!$H$22)</f>
        <v>2997858.4848642168</v>
      </c>
      <c r="BG12" s="24">
        <f>('Intermediate calculations'!BB27*'Intermediate calculations'!BB28)*(1-Constants!$H$22)</f>
        <v>3000479.2774844356</v>
      </c>
      <c r="BH12" s="24">
        <f>('Intermediate calculations'!BC27*'Intermediate calculations'!BC28)*(1-Constants!$H$22)</f>
        <v>3003366.919668973</v>
      </c>
      <c r="BI12" s="24">
        <f>('Intermediate calculations'!BD27*'Intermediate calculations'!BD28)*(1-Constants!$H$22)</f>
        <v>3006521.6581686414</v>
      </c>
      <c r="BJ12" s="24">
        <f>('Intermediate calculations'!BE27*'Intermediate calculations'!BE28)*(1-Constants!$H$22)</f>
        <v>3009932.9584364453</v>
      </c>
      <c r="BK12" s="24">
        <f>('Intermediate calculations'!BF27*'Intermediate calculations'!BF28)*(1-Constants!$H$22)</f>
        <v>3013611.2796145398</v>
      </c>
      <c r="BL12" s="24">
        <f>('Intermediate calculations'!BG27*'Intermediate calculations'!BG28)*(1-Constants!$H$22)</f>
        <v>3015223.01570808</v>
      </c>
      <c r="BM12" s="24">
        <f>('Intermediate calculations'!BH27*'Intermediate calculations'!BH28)*(1-Constants!$H$22)</f>
        <v>3017061.5389081999</v>
      </c>
      <c r="BN12" s="24">
        <f>('Intermediate calculations'!BI27*'Intermediate calculations'!BI28)*(1-Constants!$H$22)</f>
        <v>3019077.1052462403</v>
      </c>
      <c r="BO12" s="24">
        <f>('Intermediate calculations'!BJ27*'Intermediate calculations'!BJ28)*(1-Constants!$H$22)</f>
        <v>3021311.4957143175</v>
      </c>
      <c r="BP12" s="24">
        <f>('Intermediate calculations'!BK27*'Intermediate calculations'!BK28)*(1-Constants!$H$22)</f>
        <v>3023770.4678557152</v>
      </c>
    </row>
    <row r="13" spans="1:72" s="23" customFormat="1" x14ac:dyDescent="0.25">
      <c r="A13" s="23" t="str">
        <f t="shared" si="1"/>
        <v>3A Livestock</v>
      </c>
      <c r="C13" s="23" t="str">
        <f>'IPCC Categories'!$C$8</f>
        <v>3A1d Goats</v>
      </c>
      <c r="D13" t="str">
        <f>'IPCC Categories'!F36</f>
        <v>Commercial</v>
      </c>
      <c r="E13" s="23" t="str">
        <f t="shared" si="2"/>
        <v>Population</v>
      </c>
      <c r="F13" s="23" t="str">
        <f t="shared" si="3"/>
        <v>Head</v>
      </c>
      <c r="H13" s="43">
        <v>2774000.0000000005</v>
      </c>
      <c r="I13" s="43">
        <v>2453000.0000000009</v>
      </c>
      <c r="J13" s="43">
        <v>2284999.9999999995</v>
      </c>
      <c r="K13" s="43">
        <v>2158999.9999999995</v>
      </c>
      <c r="L13" s="43">
        <v>2336999.9999999995</v>
      </c>
      <c r="M13" s="43">
        <v>2369000</v>
      </c>
      <c r="N13" s="43">
        <v>2405999.9999999995</v>
      </c>
      <c r="O13" s="43">
        <v>2394000</v>
      </c>
      <c r="P13" s="43">
        <v>2360000</v>
      </c>
      <c r="Q13" s="43">
        <v>2325000.0000000005</v>
      </c>
      <c r="R13" s="43">
        <v>2355000</v>
      </c>
      <c r="S13" s="43">
        <v>2427000.0000000005</v>
      </c>
      <c r="T13" s="43">
        <v>2216000.0000000005</v>
      </c>
      <c r="U13" s="43">
        <v>2160000</v>
      </c>
      <c r="V13" s="43">
        <v>2164000.0000000005</v>
      </c>
      <c r="W13" s="43">
        <v>2136000</v>
      </c>
      <c r="X13" s="43">
        <v>2181000</v>
      </c>
      <c r="Y13" s="43">
        <v>2116000</v>
      </c>
      <c r="Z13" s="43">
        <v>2114000.0000000005</v>
      </c>
      <c r="AA13" s="43">
        <v>2077000</v>
      </c>
      <c r="AB13" s="43">
        <v>2052000.0000000002</v>
      </c>
      <c r="AC13" s="43">
        <v>2033000.0000000002</v>
      </c>
      <c r="AD13" s="24">
        <f>'Intermediate calculations'!Y22*'Intermediate calculations'!Y25*Constants!$H$23</f>
        <v>2067458.9354186491</v>
      </c>
      <c r="AE13" s="24">
        <f>'Intermediate calculations'!Z22*'Intermediate calculations'!Z25*Constants!$H$23</f>
        <v>2072840.6657784102</v>
      </c>
      <c r="AF13" s="24">
        <f>'Intermediate calculations'!AA22*'Intermediate calculations'!AA25*Constants!$H$23</f>
        <v>2080061.4779437648</v>
      </c>
      <c r="AG13" s="24">
        <f>'Intermediate calculations'!AB22*'Intermediate calculations'!AB25*Constants!$H$23</f>
        <v>2089036.8170734884</v>
      </c>
      <c r="AH13" s="24">
        <f>'Intermediate calculations'!AC22*'Intermediate calculations'!AC25*Constants!$H$23</f>
        <v>2099678.43749724</v>
      </c>
      <c r="AI13" s="24">
        <f>'Intermediate calculations'!AD22*'Intermediate calculations'!AD25*Constants!$H$23</f>
        <v>2112093.2201888389</v>
      </c>
      <c r="AJ13" s="24">
        <f>'Intermediate calculations'!AE22*'Intermediate calculations'!AE25*Constants!$H$23</f>
        <v>2125313.1783247138</v>
      </c>
      <c r="AK13" s="24">
        <f>'Intermediate calculations'!AF22*'Intermediate calculations'!AF25*Constants!$H$23</f>
        <v>2139387.6800199593</v>
      </c>
      <c r="AL13" s="24">
        <f>'Intermediate calculations'!AG22*'Intermediate calculations'!AG25*Constants!$H$23</f>
        <v>2152763.9251345973</v>
      </c>
      <c r="AM13" s="24">
        <f>'Intermediate calculations'!AH22*'Intermediate calculations'!AH25*Constants!$H$23</f>
        <v>2158751.8645352237</v>
      </c>
      <c r="AN13" s="24">
        <f>'Intermediate calculations'!AI22*'Intermediate calculations'!AI25*Constants!$H$23</f>
        <v>2165351.3999638623</v>
      </c>
      <c r="AO13" s="24">
        <f>'Intermediate calculations'!AJ22*'Intermediate calculations'!AJ25*Constants!$H$23</f>
        <v>2172549.7278229245</v>
      </c>
      <c r="AP13" s="24">
        <f>'Intermediate calculations'!AK22*'Intermediate calculations'!AK25*Constants!$H$23</f>
        <v>2180331.4463785933</v>
      </c>
      <c r="AQ13" s="24">
        <f>'Intermediate calculations'!AL22*'Intermediate calculations'!AL25*Constants!$H$23</f>
        <v>2188679.6447351002</v>
      </c>
      <c r="AR13" s="24">
        <f>'Intermediate calculations'!AM22*'Intermediate calculations'!AM25*Constants!$H$23</f>
        <v>2193945.0686634537</v>
      </c>
      <c r="AS13" s="24">
        <f>'Intermediate calculations'!AN22*'Intermediate calculations'!AN25*Constants!$H$23</f>
        <v>2199689.1395176924</v>
      </c>
      <c r="AT13" s="24">
        <f>'Intermediate calculations'!AO22*'Intermediate calculations'!AO25*Constants!$H$23</f>
        <v>2205891.4353405046</v>
      </c>
      <c r="AU13" s="24">
        <f>'Intermediate calculations'!AP22*'Intermediate calculations'!AP25*Constants!$H$23</f>
        <v>2212559.6258286922</v>
      </c>
      <c r="AV13" s="24">
        <f>'Intermediate calculations'!AQ22*'Intermediate calculations'!AQ25*Constants!$H$23</f>
        <v>2219611.0839872318</v>
      </c>
      <c r="AW13" s="24">
        <f>'Intermediate calculations'!AR22*'Intermediate calculations'!AR25*Constants!$H$23</f>
        <v>2224251.5118566672</v>
      </c>
      <c r="AX13" s="24">
        <f>'Intermediate calculations'!AS22*'Intermediate calculations'!AS25*Constants!$H$23</f>
        <v>2229252.7053817464</v>
      </c>
      <c r="AY13" s="24">
        <f>'Intermediate calculations'!AT22*'Intermediate calculations'!AT25*Constants!$H$23</f>
        <v>2234596.5542389555</v>
      </c>
      <c r="AZ13" s="24">
        <f>'Intermediate calculations'!AU22*'Intermediate calculations'!AU25*Constants!$H$23</f>
        <v>2240266.1283060093</v>
      </c>
      <c r="BA13" s="24">
        <f>'Intermediate calculations'!AV22*'Intermediate calculations'!AV25*Constants!$H$23</f>
        <v>2246184.0962797729</v>
      </c>
      <c r="BB13" s="24">
        <f>'Intermediate calculations'!AW22*'Intermediate calculations'!AW25*Constants!$H$23</f>
        <v>2249730.5312539567</v>
      </c>
      <c r="BC13" s="24">
        <f>'Intermediate calculations'!AX22*'Intermediate calculations'!AX25*Constants!$H$23</f>
        <v>2253585.9670473156</v>
      </c>
      <c r="BD13" s="24">
        <f>'Intermediate calculations'!AY22*'Intermediate calculations'!AY25*Constants!$H$23</f>
        <v>2257726.6928999033</v>
      </c>
      <c r="BE13" s="24">
        <f>'Intermediate calculations'!AZ22*'Intermediate calculations'!AZ25*Constants!$H$23</f>
        <v>2262095.2887907065</v>
      </c>
      <c r="BF13" s="24">
        <f>'Intermediate calculations'!BA22*'Intermediate calculations'!BA25*Constants!$H$23</f>
        <v>2266708.6908088843</v>
      </c>
      <c r="BG13" s="24">
        <f>'Intermediate calculations'!BB22*'Intermediate calculations'!BB25*Constants!$H$23</f>
        <v>2269097.5365828103</v>
      </c>
      <c r="BH13" s="24">
        <f>'Intermediate calculations'!BC22*'Intermediate calculations'!BC25*Constants!$H$23</f>
        <v>2271733.056127198</v>
      </c>
      <c r="BI13" s="24">
        <f>'Intermediate calculations'!BD22*'Intermediate calculations'!BD25*Constants!$H$23</f>
        <v>2274616.077688837</v>
      </c>
      <c r="BJ13" s="24">
        <f>'Intermediate calculations'!BE22*'Intermediate calculations'!BE25*Constants!$H$23</f>
        <v>2277735.7511015423</v>
      </c>
      <c r="BK13" s="24">
        <f>'Intermediate calculations'!BF22*'Intermediate calculations'!BF25*Constants!$H$23</f>
        <v>2281103.7111612358</v>
      </c>
      <c r="BL13" s="24">
        <f>'Intermediate calculations'!BG22*'Intermediate calculations'!BG25*Constants!$H$23</f>
        <v>2282223.2510226816</v>
      </c>
      <c r="BM13" s="24">
        <f>'Intermediate calculations'!BH22*'Intermediate calculations'!BH25*Constants!$H$23</f>
        <v>2283556.754526474</v>
      </c>
      <c r="BN13" s="24">
        <f>'Intermediate calculations'!BI22*'Intermediate calculations'!BI25*Constants!$H$23</f>
        <v>2285051.3562245434</v>
      </c>
      <c r="BO13" s="24">
        <f>'Intermediate calculations'!BJ22*'Intermediate calculations'!BJ25*Constants!$H$23</f>
        <v>2286751.9302304969</v>
      </c>
      <c r="BP13" s="24">
        <f>'Intermediate calculations'!BK22*'Intermediate calculations'!BK25*Constants!$H$23</f>
        <v>2288664.7117831726</v>
      </c>
    </row>
    <row r="14" spans="1:72" s="23" customFormat="1" x14ac:dyDescent="0.25">
      <c r="A14" s="23" t="str">
        <f t="shared" si="1"/>
        <v>3A Livestock</v>
      </c>
      <c r="C14" s="23" t="str">
        <f>C13</f>
        <v>3A1d Goats</v>
      </c>
      <c r="D14" t="str">
        <f>$D$12</f>
        <v>Subsistence</v>
      </c>
      <c r="E14" s="23" t="str">
        <f t="shared" si="2"/>
        <v>Population</v>
      </c>
      <c r="F14" s="23" t="str">
        <f t="shared" si="3"/>
        <v>Head</v>
      </c>
      <c r="H14" s="43">
        <v>5479284.9120494025</v>
      </c>
      <c r="I14" s="43">
        <v>4845236.4416932901</v>
      </c>
      <c r="J14" s="43">
        <v>4513397.9899181286</v>
      </c>
      <c r="K14" s="43">
        <v>4264519.151086757</v>
      </c>
      <c r="L14" s="43">
        <v>4616109.8916580593</v>
      </c>
      <c r="M14" s="43">
        <v>4679317.2158057094</v>
      </c>
      <c r="N14" s="43">
        <v>4752400.6843514293</v>
      </c>
      <c r="O14" s="43">
        <v>4728697.9377960609</v>
      </c>
      <c r="P14" s="43">
        <v>4661540.1558891824</v>
      </c>
      <c r="Q14" s="43">
        <v>4592407.1451026909</v>
      </c>
      <c r="R14" s="43">
        <v>4651664.0114911124</v>
      </c>
      <c r="S14" s="43">
        <v>4793880.4908233248</v>
      </c>
      <c r="T14" s="43">
        <v>4377107.1972247576</v>
      </c>
      <c r="U14" s="43">
        <v>4266494.3799663708</v>
      </c>
      <c r="V14" s="43">
        <v>4274395.2954848269</v>
      </c>
      <c r="W14" s="43">
        <v>4219088.886855633</v>
      </c>
      <c r="X14" s="43">
        <v>4307974.1864382662</v>
      </c>
      <c r="Y14" s="43">
        <v>4179584.3092633518</v>
      </c>
      <c r="Z14" s="43">
        <v>4175633.8515041238</v>
      </c>
      <c r="AA14" s="43">
        <v>4102550.3829584038</v>
      </c>
      <c r="AB14" s="43">
        <v>4053169.6609680522</v>
      </c>
      <c r="AC14" s="43">
        <v>4015640.3122553849</v>
      </c>
      <c r="AD14" s="24">
        <f>'Intermediate calculations'!Y22*'Intermediate calculations'!Y25*(1-Constants!$H$23)</f>
        <v>4013302.6393420827</v>
      </c>
      <c r="AE14" s="24">
        <f>'Intermediate calculations'!Z22*'Intermediate calculations'!Z25*(1-Constants!$H$23)</f>
        <v>4023749.5276875012</v>
      </c>
      <c r="AF14" s="24">
        <f>'Intermediate calculations'!AA22*'Intermediate calculations'!AA25*(1-Constants!$H$23)</f>
        <v>4037766.3983614249</v>
      </c>
      <c r="AG14" s="24">
        <f>'Intermediate calculations'!AB22*'Intermediate calculations'!AB25*(1-Constants!$H$23)</f>
        <v>4055189.1154955942</v>
      </c>
      <c r="AH14" s="24">
        <f>'Intermediate calculations'!AC22*'Intermediate calculations'!AC25*(1-Constants!$H$23)</f>
        <v>4075846.378671112</v>
      </c>
      <c r="AI14" s="24">
        <f>'Intermediate calculations'!AD22*'Intermediate calculations'!AD25*(1-Constants!$H$23)</f>
        <v>4099945.6627195105</v>
      </c>
      <c r="AJ14" s="24">
        <f>'Intermediate calculations'!AE22*'Intermediate calculations'!AE25*(1-Constants!$H$23)</f>
        <v>4125607.934395032</v>
      </c>
      <c r="AK14" s="24">
        <f>'Intermediate calculations'!AF22*'Intermediate calculations'!AF25*(1-Constants!$H$23)</f>
        <v>4152929.0259210966</v>
      </c>
      <c r="AL14" s="24">
        <f>'Intermediate calculations'!AG22*'Intermediate calculations'!AG25*(1-Constants!$H$23)</f>
        <v>4178894.6782024526</v>
      </c>
      <c r="AM14" s="24">
        <f>'Intermediate calculations'!AH22*'Intermediate calculations'!AH25*(1-Constants!$H$23)</f>
        <v>4190518.3252742575</v>
      </c>
      <c r="AN14" s="24">
        <f>'Intermediate calculations'!AI22*'Intermediate calculations'!AI25*(1-Constants!$H$23)</f>
        <v>4203329.1881651441</v>
      </c>
      <c r="AO14" s="24">
        <f>'Intermediate calculations'!AJ22*'Intermediate calculations'!AJ25*(1-Constants!$H$23)</f>
        <v>4217302.4128327351</v>
      </c>
      <c r="AP14" s="24">
        <f>'Intermediate calculations'!AK22*'Intermediate calculations'!AK25*(1-Constants!$H$23)</f>
        <v>4232408.101793739</v>
      </c>
      <c r="AQ14" s="24">
        <f>'Intermediate calculations'!AL22*'Intermediate calculations'!AL25*(1-Constants!$H$23)</f>
        <v>4248613.4280151939</v>
      </c>
      <c r="AR14" s="24">
        <f>'Intermediate calculations'!AM22*'Intermediate calculations'!AM25*(1-Constants!$H$23)</f>
        <v>4258834.5450525861</v>
      </c>
      <c r="AS14" s="24">
        <f>'Intermediate calculations'!AN22*'Intermediate calculations'!AN25*(1-Constants!$H$23)</f>
        <v>4269984.8002402252</v>
      </c>
      <c r="AT14" s="24">
        <f>'Intermediate calculations'!AO22*'Intermediate calculations'!AO25*(1-Constants!$H$23)</f>
        <v>4282024.5509550963</v>
      </c>
      <c r="AU14" s="24">
        <f>'Intermediate calculations'!AP22*'Intermediate calculations'!AP25*(1-Constants!$H$23)</f>
        <v>4294968.6854321668</v>
      </c>
      <c r="AV14" s="24">
        <f>'Intermediate calculations'!AQ22*'Intermediate calculations'!AQ25*(1-Constants!$H$23)</f>
        <v>4308656.8100928608</v>
      </c>
      <c r="AW14" s="24">
        <f>'Intermediate calculations'!AR22*'Intermediate calculations'!AR25*(1-Constants!$H$23)</f>
        <v>4317664.6994864708</v>
      </c>
      <c r="AX14" s="24">
        <f>'Intermediate calculations'!AS22*'Intermediate calculations'!AS25*(1-Constants!$H$23)</f>
        <v>4327372.8986822125</v>
      </c>
      <c r="AY14" s="24">
        <f>'Intermediate calculations'!AT22*'Intermediate calculations'!AT25*(1-Constants!$H$23)</f>
        <v>4337746.2523462074</v>
      </c>
      <c r="AZ14" s="24">
        <f>'Intermediate calculations'!AU22*'Intermediate calculations'!AU25*(1-Constants!$H$23)</f>
        <v>4348751.8961234288</v>
      </c>
      <c r="BA14" s="24">
        <f>'Intermediate calculations'!AV22*'Intermediate calculations'!AV25*(1-Constants!$H$23)</f>
        <v>4360239.7163077937</v>
      </c>
      <c r="BB14" s="24">
        <f>'Intermediate calculations'!AW22*'Intermediate calculations'!AW25*(1-Constants!$H$23)</f>
        <v>4367123.972434151</v>
      </c>
      <c r="BC14" s="24">
        <f>'Intermediate calculations'!AX22*'Intermediate calculations'!AX25*(1-Constants!$H$23)</f>
        <v>4374608.0536800819</v>
      </c>
      <c r="BD14" s="24">
        <f>'Intermediate calculations'!AY22*'Intermediate calculations'!AY25*(1-Constants!$H$23)</f>
        <v>4382645.9332762826</v>
      </c>
      <c r="BE14" s="24">
        <f>'Intermediate calculations'!AZ22*'Intermediate calculations'!AZ25*(1-Constants!$H$23)</f>
        <v>4391126.1488290178</v>
      </c>
      <c r="BF14" s="24">
        <f>'Intermediate calculations'!BA22*'Intermediate calculations'!BA25*(1-Constants!$H$23)</f>
        <v>4400081.5762760686</v>
      </c>
      <c r="BG14" s="24">
        <f>'Intermediate calculations'!BB22*'Intermediate calculations'!BB25*(1-Constants!$H$23)</f>
        <v>4404718.7474842779</v>
      </c>
      <c r="BH14" s="24">
        <f>'Intermediate calculations'!BC22*'Intermediate calculations'!BC25*(1-Constants!$H$23)</f>
        <v>4409834.7560116192</v>
      </c>
      <c r="BI14" s="24">
        <f>'Intermediate calculations'!BD22*'Intermediate calculations'!BD25*(1-Constants!$H$23)</f>
        <v>4415431.2096312707</v>
      </c>
      <c r="BJ14" s="24">
        <f>'Intermediate calculations'!BE22*'Intermediate calculations'!BE25*(1-Constants!$H$23)</f>
        <v>4421487.0462559341</v>
      </c>
      <c r="BK14" s="24">
        <f>'Intermediate calculations'!BF22*'Intermediate calculations'!BF25*(1-Constants!$H$23)</f>
        <v>4428024.8510776917</v>
      </c>
      <c r="BL14" s="24">
        <f>'Intermediate calculations'!BG22*'Intermediate calculations'!BG25*(1-Constants!$H$23)</f>
        <v>4430198.0755146164</v>
      </c>
      <c r="BM14" s="24">
        <f>'Intermediate calculations'!BH22*'Intermediate calculations'!BH25*(1-Constants!$H$23)</f>
        <v>4432786.6411396246</v>
      </c>
      <c r="BN14" s="24">
        <f>'Intermediate calculations'!BI22*'Intermediate calculations'!BI25*(1-Constants!$H$23)</f>
        <v>4435687.926788819</v>
      </c>
      <c r="BO14" s="24">
        <f>'Intermediate calculations'!BJ22*'Intermediate calculations'!BJ25*(1-Constants!$H$23)</f>
        <v>4438989.0410356699</v>
      </c>
      <c r="BP14" s="24">
        <f>'Intermediate calculations'!BK22*'Intermediate calculations'!BK25*(1-Constants!$H$23)</f>
        <v>4442702.0875790995</v>
      </c>
    </row>
    <row r="15" spans="1:72" s="23" customFormat="1" x14ac:dyDescent="0.25">
      <c r="A15" s="23" t="str">
        <f t="shared" si="1"/>
        <v>3A Livestock</v>
      </c>
      <c r="C15" s="23" t="str">
        <f>'IPCC Categories'!$C$9</f>
        <v>3A1f Horses</v>
      </c>
      <c r="D15" t="str">
        <f>'IPCC Categories'!$F$42</f>
        <v>Horses</v>
      </c>
      <c r="E15" s="23" t="str">
        <f t="shared" si="2"/>
        <v>Population</v>
      </c>
      <c r="F15" s="23" t="str">
        <f t="shared" si="3"/>
        <v>Head</v>
      </c>
      <c r="H15" s="43">
        <v>230000</v>
      </c>
      <c r="I15" s="43">
        <v>230000</v>
      </c>
      <c r="J15" s="43">
        <v>230000</v>
      </c>
      <c r="K15" s="43">
        <v>235000</v>
      </c>
      <c r="L15" s="43">
        <v>240000</v>
      </c>
      <c r="M15" s="43">
        <v>245000</v>
      </c>
      <c r="N15" s="43">
        <v>250000</v>
      </c>
      <c r="O15" s="43">
        <v>255000</v>
      </c>
      <c r="P15" s="43">
        <v>260000</v>
      </c>
      <c r="Q15" s="43">
        <v>258000</v>
      </c>
      <c r="R15" s="43">
        <v>270000</v>
      </c>
      <c r="S15" s="43">
        <v>270000</v>
      </c>
      <c r="T15" s="43">
        <v>270000</v>
      </c>
      <c r="U15" s="43">
        <v>270000</v>
      </c>
      <c r="V15" s="43">
        <v>270000</v>
      </c>
      <c r="W15" s="43">
        <v>270000</v>
      </c>
      <c r="X15" s="43">
        <v>280000</v>
      </c>
      <c r="Y15" s="43">
        <v>290000</v>
      </c>
      <c r="Z15" s="43">
        <v>298000</v>
      </c>
      <c r="AA15" s="43">
        <v>300000</v>
      </c>
      <c r="AB15" s="43">
        <v>300000</v>
      </c>
      <c r="AC15" s="43">
        <v>305000</v>
      </c>
      <c r="AD15" s="24">
        <f>((Data!$AJ$61*((Drivers!Z5*1000000)/Drivers!Z4))+Data!$AK$61)</f>
        <v>308524.5503754922</v>
      </c>
      <c r="AE15" s="24">
        <f>((Data!$AJ$61*((Drivers!AA5*1000000)/Drivers!AA4))+Data!$AK$61)</f>
        <v>310900.33686838136</v>
      </c>
      <c r="AF15" s="24">
        <f>((Data!$AJ$61*((Drivers!AB5*1000000)/Drivers!AB4))+Data!$AK$61)</f>
        <v>311955.45642045024</v>
      </c>
      <c r="AG15" s="24">
        <f>((Data!$AJ$61*((Drivers!AC5*1000000)/Drivers!AC4))+Data!$AK$61)</f>
        <v>312002.23938949523</v>
      </c>
      <c r="AH15" s="24">
        <f>((Data!$AJ$61*((Drivers!AD5*1000000)/Drivers!AD4))+Data!$AK$61)</f>
        <v>311011.20969215012</v>
      </c>
      <c r="AI15" s="24">
        <f>((Data!$AJ$61*((Drivers!AE5*1000000)/Drivers!AE4))+Data!$AK$61)</f>
        <v>311120.4189320344</v>
      </c>
      <c r="AJ15" s="24">
        <f>((Data!$AJ$61*((Drivers!AF5*1000000)/Drivers!AF4))+Data!$AK$61)</f>
        <v>310949.20330409106</v>
      </c>
      <c r="AK15" s="24">
        <f>((Data!$AJ$61*((Drivers!AG5*1000000)/Drivers!AG4))+Data!$AK$61)</f>
        <v>310654.57924097718</v>
      </c>
      <c r="AL15" s="24">
        <f>((Data!$AJ$61*((Drivers!AH5*1000000)/Drivers!AH4))+Data!$AK$61)</f>
        <v>292102.93442772917</v>
      </c>
      <c r="AM15" s="24">
        <f>((Data!$AJ$61*((Drivers!AI5*1000000)/Drivers!AI4))+Data!$AK$61)</f>
        <v>295097.85695593245</v>
      </c>
      <c r="AN15" s="24">
        <f>((Data!$AJ$61*((Drivers!AJ5*1000000)/Drivers!AJ4))+Data!$AK$61)</f>
        <v>297813.52762443485</v>
      </c>
      <c r="AO15" s="24">
        <f>((Data!$AJ$61*((Drivers!AK5*1000000)/Drivers!AK4))+Data!$AK$61)</f>
        <v>300569.90142023831</v>
      </c>
      <c r="AP15" s="24">
        <f>((Data!$AJ$61*((Drivers!AL5*1000000)/Drivers!AL4))+Data!$AK$61)</f>
        <v>303594.71112881502</v>
      </c>
      <c r="AQ15" s="24">
        <f>((Data!$AJ$61*((Drivers!AM5*1000000)/Drivers!AM4))+Data!$AK$61)</f>
        <v>307045.71424199187</v>
      </c>
      <c r="AR15" s="24">
        <f>((Data!$AJ$61*((Drivers!AN5*1000000)/Drivers!AN4))+Data!$AK$61)</f>
        <v>310928.42239388742</v>
      </c>
      <c r="AS15" s="24">
        <f>((Data!$AJ$61*((Drivers!AO5*1000000)/Drivers!AO4))+Data!$AK$61)</f>
        <v>315084.99703662377</v>
      </c>
      <c r="AT15" s="24">
        <f>((Data!$AJ$61*((Drivers!AP5*1000000)/Drivers!AP4))+Data!$AK$61)</f>
        <v>319548.64202173206</v>
      </c>
      <c r="AU15" s="24">
        <f>((Data!$AJ$61*((Drivers!AQ5*1000000)/Drivers!AQ4))+Data!$AK$61)</f>
        <v>324653.52368269378</v>
      </c>
      <c r="AV15" s="24">
        <f>((Data!$AJ$61*((Drivers!AR5*1000000)/Drivers!AR4))+Data!$AK$61)</f>
        <v>329647.07923769811</v>
      </c>
      <c r="AW15" s="24">
        <f>((Data!$AJ$61*((Drivers!AS5*1000000)/Drivers!AS4))+Data!$AK$61)</f>
        <v>335891.81761594221</v>
      </c>
      <c r="AX15" s="24">
        <f>((Data!$AJ$61*((Drivers!AT5*1000000)/Drivers!AT4))+Data!$AK$61)</f>
        <v>342328.24921026954</v>
      </c>
      <c r="AY15" s="24">
        <f>((Data!$AJ$61*((Drivers!AU5*1000000)/Drivers!AU4))+Data!$AK$61)</f>
        <v>348920.93674144841</v>
      </c>
      <c r="AZ15" s="24">
        <f>((Data!$AJ$61*((Drivers!AV5*1000000)/Drivers!AV4))+Data!$AK$61)</f>
        <v>355632.59238106571</v>
      </c>
      <c r="BA15" s="24">
        <f>((Data!$AJ$61*((Drivers!AW5*1000000)/Drivers!AW4))+Data!$AK$61)</f>
        <v>361712.19934516679</v>
      </c>
      <c r="BB15" s="24">
        <f>((Data!$AJ$61*((Drivers!AX5*1000000)/Drivers!AX4))+Data!$AK$61)</f>
        <v>368331.35040016391</v>
      </c>
      <c r="BC15" s="24">
        <f>((Data!$AJ$61*((Drivers!AY5*1000000)/Drivers!AY4))+Data!$AK$61)</f>
        <v>375420.20209181483</v>
      </c>
      <c r="BD15" s="24">
        <f>((Data!$AJ$61*((Drivers!AZ5*1000000)/Drivers!AZ4))+Data!$AK$61)</f>
        <v>382825.70173359098</v>
      </c>
      <c r="BE15" s="24">
        <f>((Data!$AJ$61*((Drivers!BA5*1000000)/Drivers!BA4))+Data!$AK$61)</f>
        <v>389997.61587562214</v>
      </c>
      <c r="BF15" s="24">
        <f>((Data!$AJ$61*((Drivers!BB5*1000000)/Drivers!BB4))+Data!$AK$61)</f>
        <v>397235.82732167386</v>
      </c>
      <c r="BG15" s="24">
        <f>((Data!$AJ$61*((Drivers!BC5*1000000)/Drivers!BC4))+Data!$AK$61)</f>
        <v>405029.65396368544</v>
      </c>
      <c r="BH15" s="24">
        <f>((Data!$AJ$61*((Drivers!BD5*1000000)/Drivers!BD4))+Data!$AK$61)</f>
        <v>413191.30021622876</v>
      </c>
      <c r="BI15" s="24">
        <f>((Data!$AJ$61*((Drivers!BE5*1000000)/Drivers!BE4))+Data!$AK$61)</f>
        <v>421819.43795325304</v>
      </c>
      <c r="BJ15" s="24">
        <f>((Data!$AJ$61*((Drivers!BF5*1000000)/Drivers!BF4))+Data!$AK$61)</f>
        <v>430872.09928357042</v>
      </c>
      <c r="BK15" s="24">
        <f>((Data!$AJ$61*((Drivers!BG5*1000000)/Drivers!BG4))+Data!$AK$61)</f>
        <v>440558.95158605115</v>
      </c>
      <c r="BL15" s="24">
        <f>((Data!$AJ$61*((Drivers!BH5*1000000)/Drivers!BH4))+Data!$AK$61)</f>
        <v>451119.63374053134</v>
      </c>
      <c r="BM15" s="24">
        <f>((Data!$AJ$61*((Drivers!BI5*1000000)/Drivers!BI4))+Data!$AK$61)</f>
        <v>462122.38085888</v>
      </c>
      <c r="BN15" s="24">
        <f>((Data!$AJ$61*((Drivers!BJ5*1000000)/Drivers!BJ4))+Data!$AK$61)</f>
        <v>473031.64334623067</v>
      </c>
      <c r="BO15" s="24">
        <f>((Data!$AJ$61*((Drivers!BK5*1000000)/Drivers!BK4))+Data!$AK$61)</f>
        <v>484425.89583189634</v>
      </c>
      <c r="BP15" s="24">
        <f>((Data!$AJ$61*((Drivers!BL5*1000000)/Drivers!BL4))+Data!$AK$61)</f>
        <v>496437.08159989625</v>
      </c>
    </row>
    <row r="16" spans="1:72" s="23" customFormat="1" x14ac:dyDescent="0.25">
      <c r="A16" s="23" t="str">
        <f t="shared" si="1"/>
        <v>3A Livestock</v>
      </c>
      <c r="C16" s="23" t="str">
        <f>'IPCC Categories'!$C$10</f>
        <v>3A1g Mules &amp; asses</v>
      </c>
      <c r="D16" t="str">
        <f>'IPCC Categories'!$F$43</f>
        <v>Mules &amp; Asses</v>
      </c>
      <c r="E16" s="23" t="str">
        <f t="shared" si="2"/>
        <v>Population</v>
      </c>
      <c r="F16" s="23" t="str">
        <f t="shared" si="3"/>
        <v>Head</v>
      </c>
      <c r="H16" s="43">
        <v>224000</v>
      </c>
      <c r="I16" s="43">
        <v>224000</v>
      </c>
      <c r="J16" s="43">
        <v>224000</v>
      </c>
      <c r="K16" s="43">
        <v>224000</v>
      </c>
      <c r="L16" s="43">
        <v>224000</v>
      </c>
      <c r="M16" s="43">
        <v>224000</v>
      </c>
      <c r="N16" s="43">
        <v>224000</v>
      </c>
      <c r="O16" s="43">
        <v>224000</v>
      </c>
      <c r="P16" s="43">
        <v>224000</v>
      </c>
      <c r="Q16" s="43">
        <v>224000</v>
      </c>
      <c r="R16" s="43">
        <v>164000</v>
      </c>
      <c r="S16" s="43">
        <v>164000</v>
      </c>
      <c r="T16" s="43">
        <v>164000</v>
      </c>
      <c r="U16" s="43">
        <v>164000</v>
      </c>
      <c r="V16" s="43">
        <v>164000</v>
      </c>
      <c r="W16" s="43">
        <v>164000</v>
      </c>
      <c r="X16" s="43">
        <v>164050</v>
      </c>
      <c r="Y16" s="43">
        <v>164600</v>
      </c>
      <c r="Z16" s="43">
        <v>164700</v>
      </c>
      <c r="AA16" s="43">
        <v>164800</v>
      </c>
      <c r="AB16" s="43">
        <v>166300</v>
      </c>
      <c r="AC16" s="43">
        <v>167000</v>
      </c>
      <c r="AD16" s="24">
        <f t="shared" ref="AD16:AI16" si="4">AC16</f>
        <v>167000</v>
      </c>
      <c r="AE16" s="24">
        <f t="shared" si="4"/>
        <v>167000</v>
      </c>
      <c r="AF16" s="24">
        <f t="shared" si="4"/>
        <v>167000</v>
      </c>
      <c r="AG16" s="24">
        <f t="shared" si="4"/>
        <v>167000</v>
      </c>
      <c r="AH16" s="24">
        <f t="shared" si="4"/>
        <v>167000</v>
      </c>
      <c r="AI16" s="24">
        <f t="shared" si="4"/>
        <v>167000</v>
      </c>
      <c r="AJ16" s="24">
        <f>AI16</f>
        <v>167000</v>
      </c>
      <c r="AK16" s="24">
        <f t="shared" ref="AK16:BP16" si="5">AJ16</f>
        <v>167000</v>
      </c>
      <c r="AL16" s="24">
        <f t="shared" si="5"/>
        <v>167000</v>
      </c>
      <c r="AM16" s="24">
        <f t="shared" si="5"/>
        <v>167000</v>
      </c>
      <c r="AN16" s="24">
        <f t="shared" si="5"/>
        <v>167000</v>
      </c>
      <c r="AO16" s="24">
        <f t="shared" si="5"/>
        <v>167000</v>
      </c>
      <c r="AP16" s="24">
        <f t="shared" si="5"/>
        <v>167000</v>
      </c>
      <c r="AQ16" s="24">
        <f t="shared" si="5"/>
        <v>167000</v>
      </c>
      <c r="AR16" s="24">
        <f t="shared" si="5"/>
        <v>167000</v>
      </c>
      <c r="AS16" s="24">
        <f t="shared" si="5"/>
        <v>167000</v>
      </c>
      <c r="AT16" s="24">
        <f t="shared" si="5"/>
        <v>167000</v>
      </c>
      <c r="AU16" s="24">
        <f t="shared" si="5"/>
        <v>167000</v>
      </c>
      <c r="AV16" s="24">
        <f t="shared" si="5"/>
        <v>167000</v>
      </c>
      <c r="AW16" s="24">
        <f t="shared" si="5"/>
        <v>167000</v>
      </c>
      <c r="AX16" s="24">
        <f t="shared" si="5"/>
        <v>167000</v>
      </c>
      <c r="AY16" s="24">
        <f t="shared" si="5"/>
        <v>167000</v>
      </c>
      <c r="AZ16" s="24">
        <f t="shared" si="5"/>
        <v>167000</v>
      </c>
      <c r="BA16" s="24">
        <f t="shared" si="5"/>
        <v>167000</v>
      </c>
      <c r="BB16" s="24">
        <f t="shared" si="5"/>
        <v>167000</v>
      </c>
      <c r="BC16" s="24">
        <f t="shared" si="5"/>
        <v>167000</v>
      </c>
      <c r="BD16" s="24">
        <f t="shared" si="5"/>
        <v>167000</v>
      </c>
      <c r="BE16" s="24">
        <f t="shared" si="5"/>
        <v>167000</v>
      </c>
      <c r="BF16" s="24">
        <f t="shared" si="5"/>
        <v>167000</v>
      </c>
      <c r="BG16" s="24">
        <f t="shared" si="5"/>
        <v>167000</v>
      </c>
      <c r="BH16" s="24">
        <f t="shared" si="5"/>
        <v>167000</v>
      </c>
      <c r="BI16" s="24">
        <f t="shared" si="5"/>
        <v>167000</v>
      </c>
      <c r="BJ16" s="24">
        <f t="shared" si="5"/>
        <v>167000</v>
      </c>
      <c r="BK16" s="24">
        <f t="shared" si="5"/>
        <v>167000</v>
      </c>
      <c r="BL16" s="24">
        <f t="shared" si="5"/>
        <v>167000</v>
      </c>
      <c r="BM16" s="24">
        <f t="shared" si="5"/>
        <v>167000</v>
      </c>
      <c r="BN16" s="24">
        <f t="shared" si="5"/>
        <v>167000</v>
      </c>
      <c r="BO16" s="24">
        <f t="shared" si="5"/>
        <v>167000</v>
      </c>
      <c r="BP16" s="24">
        <f t="shared" si="5"/>
        <v>167000</v>
      </c>
    </row>
    <row r="17" spans="1:72" s="23" customFormat="1" x14ac:dyDescent="0.25">
      <c r="A17" s="23" t="str">
        <f t="shared" si="1"/>
        <v>3A Livestock</v>
      </c>
      <c r="C17" s="23" t="str">
        <f>'IPCC Categories'!$C$11</f>
        <v>3A1h Swine</v>
      </c>
      <c r="D17" t="str">
        <f>'IPCC Categories'!F36</f>
        <v>Commercial</v>
      </c>
      <c r="E17" s="23" t="str">
        <f t="shared" si="2"/>
        <v>Population</v>
      </c>
      <c r="F17" s="23" t="str">
        <f t="shared" si="3"/>
        <v>Head</v>
      </c>
      <c r="H17" s="43">
        <v>1524000</v>
      </c>
      <c r="I17" s="43">
        <v>1665000</v>
      </c>
      <c r="J17" s="43">
        <v>1654000</v>
      </c>
      <c r="K17" s="43">
        <v>1653000</v>
      </c>
      <c r="L17" s="43">
        <v>1570000</v>
      </c>
      <c r="M17" s="43">
        <v>1585000</v>
      </c>
      <c r="N17" s="43">
        <v>1707000</v>
      </c>
      <c r="O17" s="43">
        <v>1699000</v>
      </c>
      <c r="P17" s="43">
        <v>1736000</v>
      </c>
      <c r="Q17" s="43">
        <v>1780000</v>
      </c>
      <c r="R17" s="43">
        <v>1647000</v>
      </c>
      <c r="S17" s="43">
        <v>1678000</v>
      </c>
      <c r="T17" s="43">
        <v>1710000</v>
      </c>
      <c r="U17" s="43">
        <v>1663000</v>
      </c>
      <c r="V17" s="43">
        <v>1663000</v>
      </c>
      <c r="W17" s="43">
        <v>1651000</v>
      </c>
      <c r="X17" s="43">
        <v>1622000</v>
      </c>
      <c r="Y17" s="43">
        <v>1651000</v>
      </c>
      <c r="Z17" s="43">
        <v>1615000</v>
      </c>
      <c r="AA17" s="43">
        <v>1613000</v>
      </c>
      <c r="AB17" s="43">
        <v>1594000</v>
      </c>
      <c r="AC17" s="43">
        <v>1584000</v>
      </c>
      <c r="AD17" s="24">
        <f>'Intermediate calculations'!Y32*'Intermediate calculations'!Y33*Constants!$H$24</f>
        <v>1656460.7305104209</v>
      </c>
      <c r="AE17" s="24">
        <f>'Intermediate calculations'!Z32*'Intermediate calculations'!Z33*Constants!$H$24</f>
        <v>1656336.0413098084</v>
      </c>
      <c r="AF17" s="24">
        <f>'Intermediate calculations'!AA32*'Intermediate calculations'!AA33*Constants!$H$24</f>
        <v>1644892.0084516716</v>
      </c>
      <c r="AG17" s="24">
        <f>'Intermediate calculations'!AB32*'Intermediate calculations'!AB33*Constants!$H$24</f>
        <v>1625486.1316714154</v>
      </c>
      <c r="AH17" s="24">
        <f>'Intermediate calculations'!AC32*'Intermediate calculations'!AC33*Constants!$H$24</f>
        <v>1597957.7710381686</v>
      </c>
      <c r="AI17" s="24">
        <f>'Intermediate calculations'!AD32*'Intermediate calculations'!AD33*Constants!$H$24</f>
        <v>1583043.739987073</v>
      </c>
      <c r="AJ17" s="24">
        <f>'Intermediate calculations'!AE32*'Intermediate calculations'!AE33*Constants!$H$24</f>
        <v>1566522.5265637732</v>
      </c>
      <c r="AK17" s="24">
        <f>'Intermediate calculations'!AF32*'Intermediate calculations'!AF33*Constants!$H$24</f>
        <v>1549897.806273042</v>
      </c>
      <c r="AL17" s="24">
        <f>'Intermediate calculations'!AG32*'Intermediate calculations'!AG33*Constants!$H$24</f>
        <v>1362199.9891051946</v>
      </c>
      <c r="AM17" s="24">
        <f>'Intermediate calculations'!AH32*'Intermediate calculations'!AH33*Constants!$H$24</f>
        <v>1373467.1306455508</v>
      </c>
      <c r="AN17" s="24">
        <f>'Intermediate calculations'!AI32*'Intermediate calculations'!AI33*Constants!$H$24</f>
        <v>1382327.3591001588</v>
      </c>
      <c r="AO17" s="24">
        <f>'Intermediate calculations'!AJ32*'Intermediate calculations'!AJ33*Constants!$H$24</f>
        <v>1391751.3606220926</v>
      </c>
      <c r="AP17" s="24">
        <f>'Intermediate calculations'!AK32*'Intermediate calculations'!AK33*Constants!$H$24</f>
        <v>1403753.1688664192</v>
      </c>
      <c r="AQ17" s="24">
        <f>'Intermediate calculations'!AL32*'Intermediate calculations'!AL33*Constants!$H$24</f>
        <v>1419643.6607996966</v>
      </c>
      <c r="AR17" s="24">
        <f>'Intermediate calculations'!AM32*'Intermediate calculations'!AM33*Constants!$H$24</f>
        <v>1437086.8566860643</v>
      </c>
      <c r="AS17" s="24">
        <f>'Intermediate calculations'!AN32*'Intermediate calculations'!AN33*Constants!$H$24</f>
        <v>1456759.525611806</v>
      </c>
      <c r="AT17" s="24">
        <f>'Intermediate calculations'!AO32*'Intermediate calculations'!AO33*Constants!$H$24</f>
        <v>1478863.3267463099</v>
      </c>
      <c r="AU17" s="24">
        <f>'Intermediate calculations'!AP32*'Intermediate calculations'!AP33*Constants!$H$24</f>
        <v>1506164.5650998261</v>
      </c>
      <c r="AV17" s="24">
        <f>'Intermediate calculations'!AQ32*'Intermediate calculations'!AQ33*Constants!$H$24</f>
        <v>1532128.4802163565</v>
      </c>
      <c r="AW17" s="24">
        <f>'Intermediate calculations'!AR32*'Intermediate calculations'!AR33*Constants!$H$24</f>
        <v>1566236.6213585059</v>
      </c>
      <c r="AX17" s="24">
        <f>'Intermediate calculations'!AS32*'Intermediate calculations'!AS33*Constants!$H$24</f>
        <v>1601255.1833535125</v>
      </c>
      <c r="AY17" s="24">
        <f>'Intermediate calculations'!AT32*'Intermediate calculations'!AT33*Constants!$H$24</f>
        <v>1636854.0771716854</v>
      </c>
      <c r="AZ17" s="24">
        <f>'Intermediate calculations'!AU32*'Intermediate calculations'!AU33*Constants!$H$24</f>
        <v>1672702.1748073229</v>
      </c>
      <c r="BA17" s="24">
        <f>'Intermediate calculations'!AV32*'Intermediate calculations'!AV33*Constants!$H$24</f>
        <v>1702774.9341828479</v>
      </c>
      <c r="BB17" s="24">
        <f>'Intermediate calculations'!AW32*'Intermediate calculations'!AW33*Constants!$H$24</f>
        <v>1734495.4518749258</v>
      </c>
      <c r="BC17" s="24">
        <f>'Intermediate calculations'!AX32*'Intermediate calculations'!AX33*Constants!$H$24</f>
        <v>1769117.7385376655</v>
      </c>
      <c r="BD17" s="24">
        <f>'Intermediate calculations'!AY32*'Intermediate calculations'!AY33*Constants!$H$24</f>
        <v>1805343.686071024</v>
      </c>
      <c r="BE17" s="24">
        <f>'Intermediate calculations'!AZ32*'Intermediate calculations'!AZ33*Constants!$H$24</f>
        <v>1838903.2020876089</v>
      </c>
      <c r="BF17" s="24">
        <f>'Intermediate calculations'!BA32*'Intermediate calculations'!BA33*Constants!$H$24</f>
        <v>1872131.8243370159</v>
      </c>
      <c r="BG17" s="24">
        <f>'Intermediate calculations'!BB32*'Intermediate calculations'!BB33*Constants!$H$24</f>
        <v>1906627.3132459107</v>
      </c>
      <c r="BH17" s="24">
        <f>'Intermediate calculations'!BC32*'Intermediate calculations'!BC33*Constants!$H$24</f>
        <v>1942834.741256881</v>
      </c>
      <c r="BI17" s="24">
        <f>'Intermediate calculations'!BD32*'Intermediate calculations'!BD33*Constants!$H$24</f>
        <v>1981385.5433236763</v>
      </c>
      <c r="BJ17" s="24">
        <f>'Intermediate calculations'!BE32*'Intermediate calculations'!BE33*Constants!$H$24</f>
        <v>2021868.7634575411</v>
      </c>
      <c r="BK17" s="24">
        <f>'Intermediate calculations'!BF32*'Intermediate calculations'!BF33*Constants!$H$24</f>
        <v>2065675.2585895262</v>
      </c>
      <c r="BL17" s="24">
        <f>'Intermediate calculations'!BG32*'Intermediate calculations'!BG33*Constants!$H$24</f>
        <v>2112065.6126023917</v>
      </c>
      <c r="BM17" s="24">
        <f>'Intermediate calculations'!BH32*'Intermediate calculations'!BH33*Constants!$H$24</f>
        <v>2160007.1866023694</v>
      </c>
      <c r="BN17" s="24">
        <f>'Intermediate calculations'!BI32*'Intermediate calculations'!BI33*Constants!$H$24</f>
        <v>2205753.4584026444</v>
      </c>
      <c r="BO17" s="24">
        <f>'Intermediate calculations'!BJ32*'Intermediate calculations'!BJ33*Constants!$H$24</f>
        <v>2253243.4483684944</v>
      </c>
      <c r="BP17" s="24">
        <f>'Intermediate calculations'!BK32*'Intermediate calculations'!BK33*Constants!$H$24</f>
        <v>2303246.3196297283</v>
      </c>
    </row>
    <row r="18" spans="1:72" s="23" customFormat="1" x14ac:dyDescent="0.25">
      <c r="A18" s="23" t="str">
        <f t="shared" si="1"/>
        <v>3A Livestock</v>
      </c>
      <c r="C18" s="23" t="str">
        <f>C17</f>
        <v>3A1h Swine</v>
      </c>
      <c r="D18" t="str">
        <f>'IPCC Categories'!F37</f>
        <v>Subsistence</v>
      </c>
      <c r="E18" s="23" t="str">
        <f t="shared" si="2"/>
        <v>Population</v>
      </c>
      <c r="F18" s="23" t="str">
        <f t="shared" si="3"/>
        <v>Head</v>
      </c>
      <c r="H18" s="43">
        <v>199009.99166888703</v>
      </c>
      <c r="I18" s="43">
        <v>217422.33341778014</v>
      </c>
      <c r="J18" s="43">
        <v>215985.90959339839</v>
      </c>
      <c r="K18" s="43">
        <v>215855.3256093637</v>
      </c>
      <c r="L18" s="43">
        <v>205016.85493448336</v>
      </c>
      <c r="M18" s="43">
        <v>206975.6146950039</v>
      </c>
      <c r="N18" s="43">
        <v>222906.86074723766</v>
      </c>
      <c r="O18" s="43">
        <v>221862.18887496003</v>
      </c>
      <c r="P18" s="43">
        <v>226693.79628424402</v>
      </c>
      <c r="Q18" s="43">
        <v>232439.49158177094</v>
      </c>
      <c r="R18" s="43">
        <v>215071.82170515548</v>
      </c>
      <c r="S18" s="43">
        <v>219119.92521023127</v>
      </c>
      <c r="T18" s="43">
        <v>223298.61269934176</v>
      </c>
      <c r="U18" s="43">
        <v>217161.16544971074</v>
      </c>
      <c r="V18" s="43">
        <v>217161.16544971074</v>
      </c>
      <c r="W18" s="43">
        <v>215594.1576412943</v>
      </c>
      <c r="X18" s="43">
        <v>211807.22210428791</v>
      </c>
      <c r="Y18" s="43">
        <v>215594.1576412943</v>
      </c>
      <c r="Z18" s="43">
        <v>210893.134216045</v>
      </c>
      <c r="AA18" s="43">
        <v>210631.96624797559</v>
      </c>
      <c r="AB18" s="43">
        <v>208150.87055131624</v>
      </c>
      <c r="AC18" s="43">
        <v>206845.03071096921</v>
      </c>
      <c r="AD18" s="24">
        <f>'Intermediate calculations'!Y32*'Intermediate calculations'!Y33*(1-Constants!$H$24)</f>
        <v>225881.00870596647</v>
      </c>
      <c r="AE18" s="24">
        <f>'Intermediate calculations'!Z32*'Intermediate calculations'!Z33*(1-Constants!$H$24)</f>
        <v>225864.00563315567</v>
      </c>
      <c r="AF18" s="24">
        <f>'Intermediate calculations'!AA32*'Intermediate calculations'!AA33*(1-Constants!$H$24)</f>
        <v>224303.45569795521</v>
      </c>
      <c r="AG18" s="24">
        <f>'Intermediate calculations'!AB32*'Intermediate calculations'!AB33*(1-Constants!$H$24)</f>
        <v>221657.19977337483</v>
      </c>
      <c r="AH18" s="24">
        <f>'Intermediate calculations'!AC32*'Intermediate calculations'!AC33*(1-Constants!$H$24)</f>
        <v>217903.3324142957</v>
      </c>
      <c r="AI18" s="24">
        <f>'Intermediate calculations'!AD32*'Intermediate calculations'!AD33*(1-Constants!$H$24)</f>
        <v>215869.60090732813</v>
      </c>
      <c r="AJ18" s="24">
        <f>'Intermediate calculations'!AE32*'Intermediate calculations'!AE33*(1-Constants!$H$24)</f>
        <v>213616.70816778723</v>
      </c>
      <c r="AK18" s="24">
        <f>'Intermediate calculations'!AF32*'Intermediate calculations'!AF33*(1-Constants!$H$24)</f>
        <v>211349.70085541482</v>
      </c>
      <c r="AL18" s="24">
        <f>'Intermediate calculations'!AG32*'Intermediate calculations'!AG33*(1-Constants!$H$24)</f>
        <v>185754.54396889015</v>
      </c>
      <c r="AM18" s="24">
        <f>'Intermediate calculations'!AH32*'Intermediate calculations'!AH33*(1-Constants!$H$24)</f>
        <v>187290.97236075692</v>
      </c>
      <c r="AN18" s="24">
        <f>'Intermediate calculations'!AI32*'Intermediate calculations'!AI33*(1-Constants!$H$24)</f>
        <v>188499.18533183984</v>
      </c>
      <c r="AO18" s="24">
        <f>'Intermediate calculations'!AJ32*'Intermediate calculations'!AJ33*(1-Constants!$H$24)</f>
        <v>189784.27644846719</v>
      </c>
      <c r="AP18" s="24">
        <f>'Intermediate calculations'!AK32*'Intermediate calculations'!AK33*(1-Constants!$H$24)</f>
        <v>191420.88666360261</v>
      </c>
      <c r="AQ18" s="24">
        <f>'Intermediate calculations'!AL32*'Intermediate calculations'!AL33*(1-Constants!$H$24)</f>
        <v>193587.77192723134</v>
      </c>
      <c r="AR18" s="24">
        <f>'Intermediate calculations'!AM32*'Intermediate calculations'!AM33*(1-Constants!$H$24)</f>
        <v>195966.38954809966</v>
      </c>
      <c r="AS18" s="24">
        <f>'Intermediate calculations'!AN32*'Intermediate calculations'!AN33*(1-Constants!$H$24)</f>
        <v>198649.0262197917</v>
      </c>
      <c r="AT18" s="24">
        <f>'Intermediate calculations'!AO32*'Intermediate calculations'!AO33*(1-Constants!$H$24)</f>
        <v>201663.18091995132</v>
      </c>
      <c r="AU18" s="24">
        <f>'Intermediate calculations'!AP32*'Intermediate calculations'!AP33*(1-Constants!$H$24)</f>
        <v>205386.07705906717</v>
      </c>
      <c r="AV18" s="24">
        <f>'Intermediate calculations'!AQ32*'Intermediate calculations'!AQ33*(1-Constants!$H$24)</f>
        <v>208926.61093859404</v>
      </c>
      <c r="AW18" s="24">
        <f>'Intermediate calculations'!AR32*'Intermediate calculations'!AR33*(1-Constants!$H$24)</f>
        <v>213577.72109434172</v>
      </c>
      <c r="AX18" s="24">
        <f>'Intermediate calculations'!AS32*'Intermediate calculations'!AS33*(1-Constants!$H$24)</f>
        <v>218352.97954820626</v>
      </c>
      <c r="AY18" s="24">
        <f>'Intermediate calculations'!AT32*'Intermediate calculations'!AT33*(1-Constants!$H$24)</f>
        <v>223207.37415977527</v>
      </c>
      <c r="AZ18" s="24">
        <f>'Intermediate calculations'!AU32*'Intermediate calculations'!AU33*(1-Constants!$H$24)</f>
        <v>228095.75111008948</v>
      </c>
      <c r="BA18" s="24">
        <f>'Intermediate calculations'!AV32*'Intermediate calculations'!AV33*(1-Constants!$H$24)</f>
        <v>232196.5819340247</v>
      </c>
      <c r="BB18" s="24">
        <f>'Intermediate calculations'!AW32*'Intermediate calculations'!AW33*(1-Constants!$H$24)</f>
        <v>236522.10707385349</v>
      </c>
      <c r="BC18" s="24">
        <f>'Intermediate calculations'!AX32*'Intermediate calculations'!AX33*(1-Constants!$H$24)</f>
        <v>241243.32798240893</v>
      </c>
      <c r="BD18" s="24">
        <f>'Intermediate calculations'!AY32*'Intermediate calculations'!AY33*(1-Constants!$H$24)</f>
        <v>246183.22991877599</v>
      </c>
      <c r="BE18" s="24">
        <f>'Intermediate calculations'!AZ32*'Intermediate calculations'!AZ33*(1-Constants!$H$24)</f>
        <v>250759.52755740119</v>
      </c>
      <c r="BF18" s="24">
        <f>'Intermediate calculations'!BA32*'Intermediate calculations'!BA33*(1-Constants!$H$24)</f>
        <v>255290.70331868395</v>
      </c>
      <c r="BG18" s="24">
        <f>'Intermediate calculations'!BB32*'Intermediate calculations'!BB33*(1-Constants!$H$24)</f>
        <v>259994.63362444236</v>
      </c>
      <c r="BH18" s="24">
        <f>'Intermediate calculations'!BC32*'Intermediate calculations'!BC33*(1-Constants!$H$24)</f>
        <v>264932.01017139287</v>
      </c>
      <c r="BI18" s="24">
        <f>'Intermediate calculations'!BD32*'Intermediate calculations'!BD33*(1-Constants!$H$24)</f>
        <v>270188.93772595585</v>
      </c>
      <c r="BJ18" s="24">
        <f>'Intermediate calculations'!BE32*'Intermediate calculations'!BE33*(1-Constants!$H$24)</f>
        <v>275709.37683511921</v>
      </c>
      <c r="BK18" s="24">
        <f>'Intermediate calculations'!BF32*'Intermediate calculations'!BF33*(1-Constants!$H$24)</f>
        <v>281682.98980766261</v>
      </c>
      <c r="BL18" s="24">
        <f>'Intermediate calculations'!BG32*'Intermediate calculations'!BG33*(1-Constants!$H$24)</f>
        <v>288008.9471730534</v>
      </c>
      <c r="BM18" s="24">
        <f>'Intermediate calculations'!BH32*'Intermediate calculations'!BH33*(1-Constants!$H$24)</f>
        <v>294546.43453668669</v>
      </c>
      <c r="BN18" s="24">
        <f>'Intermediate calculations'!BI32*'Intermediate calculations'!BI33*(1-Constants!$H$24)</f>
        <v>300784.56250945147</v>
      </c>
      <c r="BO18" s="24">
        <f>'Intermediate calculations'!BJ32*'Intermediate calculations'!BJ33*(1-Constants!$H$24)</f>
        <v>307260.47023206746</v>
      </c>
      <c r="BP18" s="24">
        <f>'Intermediate calculations'!BK32*'Intermediate calculations'!BK33*(1-Constants!$H$24)</f>
        <v>314079.04358587199</v>
      </c>
    </row>
    <row r="19" spans="1:72" s="23" customFormat="1" x14ac:dyDescent="0.25">
      <c r="A19" s="23" t="str">
        <f t="shared" si="1"/>
        <v>3A Livestock</v>
      </c>
      <c r="C19" s="23" t="str">
        <f>'IPCC Categories'!$C$19</f>
        <v>3A2i Poultry</v>
      </c>
      <c r="D19" t="str">
        <f>'IPCC Categories'!F50</f>
        <v>Commercial layers</v>
      </c>
      <c r="E19" s="23" t="str">
        <f t="shared" si="2"/>
        <v>Population</v>
      </c>
      <c r="F19" s="23" t="str">
        <f t="shared" si="3"/>
        <v>Head</v>
      </c>
      <c r="H19" s="43">
        <v>14643674.931267885</v>
      </c>
      <c r="I19" s="43">
        <v>14226110.812328145</v>
      </c>
      <c r="J19" s="43">
        <v>13492476.52712371</v>
      </c>
      <c r="K19" s="43">
        <v>13280331.082668224</v>
      </c>
      <c r="L19" s="43">
        <v>12702684.496371185</v>
      </c>
      <c r="M19" s="43">
        <v>13860209.809151115</v>
      </c>
      <c r="N19" s="43">
        <v>14640611.562802857</v>
      </c>
      <c r="O19" s="43">
        <v>14688755.298092401</v>
      </c>
      <c r="P19" s="43">
        <v>16538299.007411262</v>
      </c>
      <c r="Q19" s="43">
        <v>17730716.13950536</v>
      </c>
      <c r="R19" s="43">
        <v>17355030.714458548</v>
      </c>
      <c r="S19" s="43">
        <v>17818001.024886843</v>
      </c>
      <c r="T19" s="43">
        <v>17678155.288284503</v>
      </c>
      <c r="U19" s="43">
        <v>16972399.104253348</v>
      </c>
      <c r="V19" s="43">
        <v>17587835.89054852</v>
      </c>
      <c r="W19" s="43">
        <v>18648391.6209228</v>
      </c>
      <c r="X19" s="43">
        <v>20580691.805783488</v>
      </c>
      <c r="Y19" s="43">
        <v>22776081.657241259</v>
      </c>
      <c r="Z19" s="43">
        <v>23076039.863330547</v>
      </c>
      <c r="AA19" s="43">
        <v>22225308.649488669</v>
      </c>
      <c r="AB19" s="43">
        <v>23091061.215630483</v>
      </c>
      <c r="AC19" s="43">
        <v>24156882.687047753</v>
      </c>
      <c r="AD19" s="24">
        <f>'Intermediate calculations'!Y37*'Intermediate calculations'!Y38*Constants!$H$25</f>
        <v>23656062.153755136</v>
      </c>
      <c r="AE19" s="24">
        <f>'Intermediate calculations'!Z37*'Intermediate calculations'!Z38*Constants!$H$25</f>
        <v>24208845.411962353</v>
      </c>
      <c r="AF19" s="24">
        <f>'Intermediate calculations'!AA37*'Intermediate calculations'!AA38*Constants!$H$25</f>
        <v>24671346.552571923</v>
      </c>
      <c r="AG19" s="24">
        <f>'Intermediate calculations'!AB37*'Intermediate calculations'!AB38*Constants!$H$25</f>
        <v>25065596.135520827</v>
      </c>
      <c r="AH19" s="24">
        <f>'Intermediate calculations'!AC37*'Intermediate calculations'!AC38*Constants!$H$25</f>
        <v>25385720.504399143</v>
      </c>
      <c r="AI19" s="24">
        <f>'Intermediate calculations'!AD37*'Intermediate calculations'!AD38*Constants!$H$25</f>
        <v>25813847.962556787</v>
      </c>
      <c r="AJ19" s="24">
        <f>'Intermediate calculations'!AE37*'Intermediate calculations'!AE38*Constants!$H$25</f>
        <v>26223072.531355023</v>
      </c>
      <c r="AK19" s="24">
        <f>'Intermediate calculations'!AF37*'Intermediate calculations'!AF38*Constants!$H$25</f>
        <v>26627563.718929257</v>
      </c>
      <c r="AL19" s="24">
        <f>'Intermediate calculations'!AG37*'Intermediate calculations'!AG38*Constants!$H$25</f>
        <v>25372557.923396409</v>
      </c>
      <c r="AM19" s="24">
        <f>'Intermediate calculations'!AH37*'Intermediate calculations'!AH38*Constants!$H$25</f>
        <v>25946116.666185383</v>
      </c>
      <c r="AN19" s="24">
        <f>'Intermediate calculations'!AI37*'Intermediate calculations'!AI38*Constants!$H$25</f>
        <v>26503387.787201893</v>
      </c>
      <c r="AO19" s="24">
        <f>'Intermediate calculations'!AJ37*'Intermediate calculations'!AJ38*Constants!$H$25</f>
        <v>27073831.116274778</v>
      </c>
      <c r="AP19" s="24">
        <f>'Intermediate calculations'!AK37*'Intermediate calculations'!AK38*Constants!$H$25</f>
        <v>27679473.805133615</v>
      </c>
      <c r="AQ19" s="24">
        <f>'Intermediate calculations'!AL37*'Intermediate calculations'!AL38*Constants!$H$25</f>
        <v>28336591.128331948</v>
      </c>
      <c r="AR19" s="24">
        <f>'Intermediate calculations'!AM37*'Intermediate calculations'!AM38*Constants!$H$25</f>
        <v>28998798.436734486</v>
      </c>
      <c r="AS19" s="24">
        <f>'Intermediate calculations'!AN37*'Intermediate calculations'!AN38*Constants!$H$25</f>
        <v>29698242.636208747</v>
      </c>
      <c r="AT19" s="24">
        <f>'Intermediate calculations'!AO37*'Intermediate calculations'!AO38*Constants!$H$25</f>
        <v>30439164.948247753</v>
      </c>
      <c r="AU19" s="24">
        <f>'Intermediate calculations'!AP37*'Intermediate calculations'!AP38*Constants!$H$25</f>
        <v>31256197.528286949</v>
      </c>
      <c r="AV19" s="24">
        <f>'Intermediate calculations'!AQ37*'Intermediate calculations'!AQ38*Constants!$H$25</f>
        <v>32075036.379239038</v>
      </c>
      <c r="AW19" s="24">
        <f>'Intermediate calculations'!AR37*'Intermediate calculations'!AR38*Constants!$H$25</f>
        <v>32991747.629328243</v>
      </c>
      <c r="AX19" s="24">
        <f>'Intermediate calculations'!AS37*'Intermediate calculations'!AS38*Constants!$H$25</f>
        <v>33941536.04018604</v>
      </c>
      <c r="AY19" s="24">
        <f>'Intermediate calculations'!AT37*'Intermediate calculations'!AT38*Constants!$H$25</f>
        <v>34921380.244372427</v>
      </c>
      <c r="AZ19" s="24">
        <f>'Intermediate calculations'!AU37*'Intermediate calculations'!AU38*Constants!$H$25</f>
        <v>35927948.734720677</v>
      </c>
      <c r="BA19" s="24">
        <f>'Intermediate calculations'!AV37*'Intermediate calculations'!AV38*Constants!$H$25</f>
        <v>36882204.818045989</v>
      </c>
      <c r="BB19" s="24">
        <f>'Intermediate calculations'!AW37*'Intermediate calculations'!AW38*Constants!$H$25</f>
        <v>37861688.009419069</v>
      </c>
      <c r="BC19" s="24">
        <f>'Intermediate calculations'!AX37*'Intermediate calculations'!AX38*Constants!$H$25</f>
        <v>38903995.617757298</v>
      </c>
      <c r="BD19" s="24">
        <f>'Intermediate calculations'!AY37*'Intermediate calculations'!AY38*Constants!$H$25</f>
        <v>39993800.154568322</v>
      </c>
      <c r="BE19" s="24">
        <f>'Intermediate calculations'!AZ37*'Intermediate calculations'!AZ38*Constants!$H$25</f>
        <v>41071997.693097062</v>
      </c>
      <c r="BF19" s="24">
        <f>'Intermediate calculations'!BA37*'Intermediate calculations'!BA38*Constants!$H$25</f>
        <v>42171110.444473885</v>
      </c>
      <c r="BG19" s="24">
        <f>'Intermediate calculations'!BB37*'Intermediate calculations'!BB38*Constants!$H$25</f>
        <v>43297395.339766257</v>
      </c>
      <c r="BH19" s="24">
        <f>'Intermediate calculations'!BC37*'Intermediate calculations'!BC38*Constants!$H$25</f>
        <v>44476946.193880372</v>
      </c>
      <c r="BI19" s="24">
        <f>'Intermediate calculations'!BD37*'Intermediate calculations'!BD38*Constants!$H$25</f>
        <v>45721678.547593988</v>
      </c>
      <c r="BJ19" s="24">
        <f>'Intermediate calculations'!BE37*'Intermediate calculations'!BE38*Constants!$H$25</f>
        <v>47027957.390872538</v>
      </c>
      <c r="BK19" s="24">
        <f>'Intermediate calculations'!BF37*'Intermediate calculations'!BF38*Constants!$H$25</f>
        <v>48420553.19096259</v>
      </c>
      <c r="BL19" s="24">
        <f>'Intermediate calculations'!BG37*'Intermediate calculations'!BG38*Constants!$H$25</f>
        <v>49872962.448235527</v>
      </c>
      <c r="BM19" s="24">
        <f>'Intermediate calculations'!BH37*'Intermediate calculations'!BH38*Constants!$H$25</f>
        <v>51389547.971842438</v>
      </c>
      <c r="BN19" s="24">
        <f>'Intermediate calculations'!BI37*'Intermediate calculations'!BI38*Constants!$H$25</f>
        <v>52909573.080331892</v>
      </c>
      <c r="BO19" s="24">
        <f>'Intermediate calculations'!BJ37*'Intermediate calculations'!BJ38*Constants!$H$25</f>
        <v>54499870.812401213</v>
      </c>
      <c r="BP19" s="24">
        <f>'Intermediate calculations'!BK37*'Intermediate calculations'!BK38*Constants!$H$25</f>
        <v>56176742.782821409</v>
      </c>
    </row>
    <row r="20" spans="1:72" s="23" customFormat="1" x14ac:dyDescent="0.25">
      <c r="A20" s="23" t="str">
        <f t="shared" si="1"/>
        <v>3A Livestock</v>
      </c>
      <c r="C20" s="23" t="str">
        <f>C19</f>
        <v>3A2i Poultry</v>
      </c>
      <c r="D20" t="str">
        <f>'IPCC Categories'!F51</f>
        <v>Commercial broilers</v>
      </c>
      <c r="E20" s="23" t="str">
        <f t="shared" si="2"/>
        <v>Population</v>
      </c>
      <c r="F20" s="23" t="str">
        <f t="shared" si="3"/>
        <v>Head</v>
      </c>
      <c r="H20" s="43">
        <v>40304488.125775687</v>
      </c>
      <c r="I20" s="43">
        <v>37886218.887128815</v>
      </c>
      <c r="J20" s="43">
        <v>35805187.036307976</v>
      </c>
      <c r="K20" s="43">
        <v>40268107.368938237</v>
      </c>
      <c r="L20" s="43">
        <v>39890443.299430735</v>
      </c>
      <c r="M20" s="43">
        <v>45660443.796231762</v>
      </c>
      <c r="N20" s="43">
        <v>53091326.838711366</v>
      </c>
      <c r="O20" s="43">
        <v>54040901.985378392</v>
      </c>
      <c r="P20" s="43">
        <v>59214394.697576575</v>
      </c>
      <c r="Q20" s="43">
        <v>61819163.842046939</v>
      </c>
      <c r="R20" s="43">
        <v>66512864.907880791</v>
      </c>
      <c r="S20" s="43">
        <v>64225159.968942329</v>
      </c>
      <c r="T20" s="43">
        <v>71182309.580183759</v>
      </c>
      <c r="U20" s="43">
        <v>67705122.244331256</v>
      </c>
      <c r="V20" s="43">
        <v>69339582.95804137</v>
      </c>
      <c r="W20" s="43">
        <v>76722494.212373629</v>
      </c>
      <c r="X20" s="43">
        <v>82061878.307196394</v>
      </c>
      <c r="Y20" s="43">
        <v>85859218.536646262</v>
      </c>
      <c r="Z20" s="43">
        <v>91416754.470852047</v>
      </c>
      <c r="AA20" s="43">
        <v>86261715.79298</v>
      </c>
      <c r="AB20" s="43">
        <v>88431266.728296682</v>
      </c>
      <c r="AC20" s="43">
        <v>91461113.859690607</v>
      </c>
      <c r="AD20" s="24">
        <f>'Intermediate calculations'!Y42*'Intermediate calculations'!Y43*Constants!$H$26</f>
        <v>94092762.580055237</v>
      </c>
      <c r="AE20" s="24">
        <f>'Intermediate calculations'!Z42*'Intermediate calculations'!Z43*Constants!$H$26</f>
        <v>96077568.228083029</v>
      </c>
      <c r="AF20" s="24">
        <f>'Intermediate calculations'!AA42*'Intermediate calculations'!AA43*Constants!$H$26</f>
        <v>97042056.344136983</v>
      </c>
      <c r="AG20" s="24">
        <f>'Intermediate calculations'!AB42*'Intermediate calculations'!AB43*Constants!$H$26</f>
        <v>97240112.133953497</v>
      </c>
      <c r="AH20" s="24">
        <f>'Intermediate calculations'!AC42*'Intermediate calculations'!AC43*Constants!$H$26</f>
        <v>96633156.238297045</v>
      </c>
      <c r="AI20" s="24">
        <f>'Intermediate calculations'!AD42*'Intermediate calculations'!AD43*Constants!$H$26</f>
        <v>97039852.488621905</v>
      </c>
      <c r="AJ20" s="24">
        <f>'Intermediate calculations'!AE42*'Intermediate calculations'!AE43*Constants!$H$26</f>
        <v>97246396.148570761</v>
      </c>
      <c r="AK20" s="24">
        <f>'Intermediate calculations'!AF42*'Intermediate calculations'!AF43*Constants!$H$26</f>
        <v>97385754.169579551</v>
      </c>
      <c r="AL20" s="24">
        <f>'Intermediate calculations'!AG42*'Intermediate calculations'!AG43*Constants!$H$26</f>
        <v>81609608.007041141</v>
      </c>
      <c r="AM20" s="24">
        <f>'Intermediate calculations'!AH42*'Intermediate calculations'!AH43*Constants!$H$26</f>
        <v>84266752.57492736</v>
      </c>
      <c r="AN20" s="24">
        <f>'Intermediate calculations'!AI42*'Intermediate calculations'!AI43*Constants!$H$26</f>
        <v>86716457.073193893</v>
      </c>
      <c r="AO20" s="24">
        <f>'Intermediate calculations'!AJ42*'Intermediate calculations'!AJ43*Constants!$H$26</f>
        <v>89238801.299814567</v>
      </c>
      <c r="AP20" s="24">
        <f>'Intermediate calculations'!AK42*'Intermediate calculations'!AK43*Constants!$H$26</f>
        <v>92035256.805545047</v>
      </c>
      <c r="AQ20" s="24">
        <f>'Intermediate calculations'!AL42*'Intermediate calculations'!AL43*Constants!$H$26</f>
        <v>95247894.577978864</v>
      </c>
      <c r="AR20" s="24">
        <f>'Intermediate calculations'!AM42*'Intermediate calculations'!AM43*Constants!$H$26</f>
        <v>98739204.225288242</v>
      </c>
      <c r="AS20" s="24">
        <f>'Intermediate calculations'!AN42*'Intermediate calculations'!AN43*Constants!$H$26</f>
        <v>102507148.9556611</v>
      </c>
      <c r="AT20" s="24">
        <f>'Intermediate calculations'!AO42*'Intermediate calculations'!AO43*Constants!$H$26</f>
        <v>106583627.45238651</v>
      </c>
      <c r="AU20" s="24">
        <f>'Intermediate calculations'!AP42*'Intermediate calculations'!AP43*Constants!$H$26</f>
        <v>111269270.01977392</v>
      </c>
      <c r="AV20" s="24">
        <f>'Intermediate calculations'!AQ42*'Intermediate calculations'!AQ43*Constants!$H$26</f>
        <v>115897010.00371882</v>
      </c>
      <c r="AW20" s="24">
        <f>'Intermediate calculations'!AR42*'Intermediate calculations'!AR43*Constants!$H$26</f>
        <v>121542026.2672362</v>
      </c>
      <c r="AX20" s="24">
        <f>'Intermediate calculations'!AS42*'Intermediate calculations'!AS43*Constants!$H$26</f>
        <v>127393372.73784178</v>
      </c>
      <c r="AY20" s="24">
        <f>'Intermediate calculations'!AT42*'Intermediate calculations'!AT43*Constants!$H$26</f>
        <v>133421704.4695321</v>
      </c>
      <c r="AZ20" s="24">
        <f>'Intermediate calculations'!AU42*'Intermediate calculations'!AU43*Constants!$H$26</f>
        <v>139595876.9954814</v>
      </c>
      <c r="BA20" s="24">
        <f>'Intermediate calculations'!AV42*'Intermediate calculations'!AV43*Constants!$H$26</f>
        <v>145242101.85738522</v>
      </c>
      <c r="BB20" s="24">
        <f>'Intermediate calculations'!AW42*'Intermediate calculations'!AW43*Constants!$H$26</f>
        <v>151244304.68195772</v>
      </c>
      <c r="BC20" s="24">
        <f>'Intermediate calculations'!AX42*'Intermediate calculations'!AX43*Constants!$H$26</f>
        <v>157698823.42507789</v>
      </c>
      <c r="BD20" s="24">
        <f>'Intermediate calculations'!AY42*'Intermediate calculations'!AY43*Constants!$H$26</f>
        <v>164470122.95786309</v>
      </c>
      <c r="BE20" s="24">
        <f>'Intermediate calculations'!AZ42*'Intermediate calculations'!AZ43*Constants!$H$26</f>
        <v>171063465.67557558</v>
      </c>
      <c r="BF20" s="24">
        <f>'Intermediate calculations'!BA42*'Intermediate calculations'!BA43*Constants!$H$26</f>
        <v>177750808.99629036</v>
      </c>
      <c r="BG20" s="24">
        <f>'Intermediate calculations'!BB42*'Intermediate calculations'!BB43*Constants!$H$26</f>
        <v>184782921.01671153</v>
      </c>
      <c r="BH20" s="24">
        <f>'Intermediate calculations'!BC42*'Intermediate calculations'!BC43*Constants!$H$26</f>
        <v>192170260.35041821</v>
      </c>
      <c r="BI20" s="24">
        <f>'Intermediate calculations'!BD42*'Intermediate calculations'!BD43*Constants!$H$26</f>
        <v>200003871.61719081</v>
      </c>
      <c r="BJ20" s="24">
        <f>'Intermediate calculations'!BE42*'Intermediate calculations'!BE43*Constants!$H$26</f>
        <v>208247712.3244909</v>
      </c>
      <c r="BK20" s="24">
        <f>'Intermediate calculations'!BF42*'Intermediate calculations'!BF43*Constants!$H$26</f>
        <v>217093887.23452228</v>
      </c>
      <c r="BL20" s="24">
        <f>'Intermediate calculations'!BG42*'Intermediate calculations'!BG43*Constants!$H$26</f>
        <v>226522637.62721509</v>
      </c>
      <c r="BM20" s="24">
        <f>'Intermediate calculations'!BH42*'Intermediate calculations'!BH43*Constants!$H$26</f>
        <v>236363055.56006154</v>
      </c>
      <c r="BN20" s="24">
        <f>'Intermediate calculations'!BI42*'Intermediate calculations'!BI43*Constants!$H$26</f>
        <v>246131531.00598502</v>
      </c>
      <c r="BO20" s="24">
        <f>'Intermediate calculations'!BJ42*'Intermediate calculations'!BJ43*Constants!$H$26</f>
        <v>256353361.4611887</v>
      </c>
      <c r="BP20" s="24">
        <f>'Intermediate calculations'!BK42*'Intermediate calculations'!BK43*Constants!$H$26</f>
        <v>267149331.41186896</v>
      </c>
    </row>
    <row r="21" spans="1:72" s="23" customFormat="1" x14ac:dyDescent="0.25">
      <c r="A21" s="23" t="str">
        <f t="shared" si="1"/>
        <v>3A Livestock</v>
      </c>
      <c r="C21" s="23" t="str">
        <f>C20</f>
        <v>3A2i Poultry</v>
      </c>
      <c r="D21" t="str">
        <f>'IPCC Categories'!F52</f>
        <v>Subsistence layers</v>
      </c>
      <c r="E21" s="23" t="str">
        <f t="shared" si="2"/>
        <v>Population</v>
      </c>
      <c r="F21" s="23" t="str">
        <f t="shared" si="3"/>
        <v>Head</v>
      </c>
      <c r="H21" s="43">
        <v>615034.34711325122</v>
      </c>
      <c r="I21" s="43">
        <v>597496.65411778213</v>
      </c>
      <c r="J21" s="43">
        <v>566684.0141391959</v>
      </c>
      <c r="K21" s="43">
        <v>557773.90547206544</v>
      </c>
      <c r="L21" s="43">
        <v>533512.74884758983</v>
      </c>
      <c r="M21" s="43">
        <v>582128.81198434683</v>
      </c>
      <c r="N21" s="43">
        <v>614905.68563772005</v>
      </c>
      <c r="O21" s="43">
        <v>616927.72251988086</v>
      </c>
      <c r="P21" s="43">
        <v>694608.55831127299</v>
      </c>
      <c r="Q21" s="43">
        <v>744690.07785922522</v>
      </c>
      <c r="R21" s="43">
        <v>728911.290007259</v>
      </c>
      <c r="S21" s="43">
        <v>748356.04304524744</v>
      </c>
      <c r="T21" s="43">
        <v>742482.52210794913</v>
      </c>
      <c r="U21" s="43">
        <v>712840.76237864071</v>
      </c>
      <c r="V21" s="43">
        <v>738689.10740303784</v>
      </c>
      <c r="W21" s="43">
        <v>783232.44807875762</v>
      </c>
      <c r="X21" s="43">
        <v>864389.05584290659</v>
      </c>
      <c r="Y21" s="43">
        <v>956595.42960413289</v>
      </c>
      <c r="Z21" s="43">
        <v>969193.674259883</v>
      </c>
      <c r="AA21" s="43">
        <v>933462.96327852411</v>
      </c>
      <c r="AB21" s="43">
        <v>969824.57105648029</v>
      </c>
      <c r="AC21" s="43">
        <v>1014589.0728560057</v>
      </c>
      <c r="AD21" s="24">
        <f>'Intermediate calculations'!Y37*'Intermediate calculations'!Y38*(1-Constants!$H$25)</f>
        <v>985669.25640646485</v>
      </c>
      <c r="AE21" s="24">
        <f>'Intermediate calculations'!Z37*'Intermediate calculations'!Z38*(1-Constants!$H$25)</f>
        <v>1008701.8921650989</v>
      </c>
      <c r="AF21" s="24">
        <f>'Intermediate calculations'!AA37*'Intermediate calculations'!AA38*(1-Constants!$H$25)</f>
        <v>1027972.7730238311</v>
      </c>
      <c r="AG21" s="24">
        <f>'Intermediate calculations'!AB37*'Intermediate calculations'!AB38*(1-Constants!$H$25)</f>
        <v>1044399.8389800354</v>
      </c>
      <c r="AH21" s="24">
        <f>'Intermediate calculations'!AC37*'Intermediate calculations'!AC38*(1-Constants!$H$25)</f>
        <v>1057738.3543499652</v>
      </c>
      <c r="AI21" s="24">
        <f>'Intermediate calculations'!AD37*'Intermediate calculations'!AD38*(1-Constants!$H$25)</f>
        <v>1075576.998439867</v>
      </c>
      <c r="AJ21" s="24">
        <f>'Intermediate calculations'!AE37*'Intermediate calculations'!AE38*(1-Constants!$H$25)</f>
        <v>1092628.0221397937</v>
      </c>
      <c r="AK21" s="24">
        <f>'Intermediate calculations'!AF37*'Intermediate calculations'!AF38*(1-Constants!$H$25)</f>
        <v>1109481.8216220534</v>
      </c>
      <c r="AL21" s="24">
        <f>'Intermediate calculations'!AG37*'Intermediate calculations'!AG38*(1-Constants!$H$25)</f>
        <v>1057189.9134748513</v>
      </c>
      <c r="AM21" s="24">
        <f>'Intermediate calculations'!AH37*'Intermediate calculations'!AH38*(1-Constants!$H$25)</f>
        <v>1081088.194424392</v>
      </c>
      <c r="AN21" s="24">
        <f>'Intermediate calculations'!AI37*'Intermediate calculations'!AI38*(1-Constants!$H$25)</f>
        <v>1104307.8244667465</v>
      </c>
      <c r="AO21" s="24">
        <f>'Intermediate calculations'!AJ37*'Intermediate calculations'!AJ38*(1-Constants!$H$25)</f>
        <v>1128076.2965114501</v>
      </c>
      <c r="AP21" s="24">
        <f>'Intermediate calculations'!AK37*'Intermediate calculations'!AK38*(1-Constants!$H$25)</f>
        <v>1153311.408547235</v>
      </c>
      <c r="AQ21" s="24">
        <f>'Intermediate calculations'!AL37*'Intermediate calculations'!AL38*(1-Constants!$H$25)</f>
        <v>1180691.2970138323</v>
      </c>
      <c r="AR21" s="24">
        <f>'Intermediate calculations'!AM37*'Intermediate calculations'!AM38*(1-Constants!$H$25)</f>
        <v>1208283.2681972715</v>
      </c>
      <c r="AS21" s="24">
        <f>'Intermediate calculations'!AN37*'Intermediate calculations'!AN38*(1-Constants!$H$25)</f>
        <v>1237426.7765086989</v>
      </c>
      <c r="AT21" s="24">
        <f>'Intermediate calculations'!AO37*'Intermediate calculations'!AO38*(1-Constants!$H$25)</f>
        <v>1268298.5395103241</v>
      </c>
      <c r="AU21" s="24">
        <f>'Intermediate calculations'!AP37*'Intermediate calculations'!AP38*(1-Constants!$H$25)</f>
        <v>1302341.5636786241</v>
      </c>
      <c r="AV21" s="24">
        <f>'Intermediate calculations'!AQ37*'Intermediate calculations'!AQ38*(1-Constants!$H$25)</f>
        <v>1336459.8491349611</v>
      </c>
      <c r="AW21" s="24">
        <f>'Intermediate calculations'!AR37*'Intermediate calculations'!AR38*(1-Constants!$H$25)</f>
        <v>1374656.1512220115</v>
      </c>
      <c r="AX21" s="24">
        <f>'Intermediate calculations'!AS37*'Intermediate calculations'!AS38*(1-Constants!$H$25)</f>
        <v>1414230.6683410862</v>
      </c>
      <c r="AY21" s="24">
        <f>'Intermediate calculations'!AT37*'Intermediate calculations'!AT38*(1-Constants!$H$25)</f>
        <v>1455057.5101821858</v>
      </c>
      <c r="AZ21" s="24">
        <f>'Intermediate calculations'!AU37*'Intermediate calculations'!AU38*(1-Constants!$H$25)</f>
        <v>1496997.8639466963</v>
      </c>
      <c r="BA21" s="24">
        <f>'Intermediate calculations'!AV37*'Intermediate calculations'!AV38*(1-Constants!$H$25)</f>
        <v>1536758.5340852509</v>
      </c>
      <c r="BB21" s="24">
        <f>'Intermediate calculations'!AW37*'Intermediate calculations'!AW38*(1-Constants!$H$25)</f>
        <v>1577570.3337257958</v>
      </c>
      <c r="BC21" s="24">
        <f>'Intermediate calculations'!AX37*'Intermediate calculations'!AX38*(1-Constants!$H$25)</f>
        <v>1620999.8174065556</v>
      </c>
      <c r="BD21" s="24">
        <f>'Intermediate calculations'!AY37*'Intermediate calculations'!AY38*(1-Constants!$H$25)</f>
        <v>1666408.3397736817</v>
      </c>
      <c r="BE21" s="24">
        <f>'Intermediate calculations'!AZ37*'Intermediate calculations'!AZ38*(1-Constants!$H$25)</f>
        <v>1711333.2372123792</v>
      </c>
      <c r="BF21" s="24">
        <f>'Intermediate calculations'!BA37*'Intermediate calculations'!BA38*(1-Constants!$H$25)</f>
        <v>1757129.6018530801</v>
      </c>
      <c r="BG21" s="24">
        <f>'Intermediate calculations'!BB37*'Intermediate calculations'!BB38*(1-Constants!$H$25)</f>
        <v>1804058.139156929</v>
      </c>
      <c r="BH21" s="24">
        <f>'Intermediate calculations'!BC37*'Intermediate calculations'!BC38*(1-Constants!$H$25)</f>
        <v>1853206.0914116839</v>
      </c>
      <c r="BI21" s="24">
        <f>'Intermediate calculations'!BD37*'Intermediate calculations'!BD38*(1-Constants!$H$25)</f>
        <v>1905069.9394830845</v>
      </c>
      <c r="BJ21" s="24">
        <f>'Intermediate calculations'!BE37*'Intermediate calculations'!BE38*(1-Constants!$H$25)</f>
        <v>1959498.224619691</v>
      </c>
      <c r="BK21" s="24">
        <f>'Intermediate calculations'!BF37*'Intermediate calculations'!BF38*(1-Constants!$H$25)</f>
        <v>2017523.0496234433</v>
      </c>
      <c r="BL21" s="24">
        <f>'Intermediate calculations'!BG37*'Intermediate calculations'!BG38*(1-Constants!$H$25)</f>
        <v>2078040.1020098156</v>
      </c>
      <c r="BM21" s="24">
        <f>'Intermediate calculations'!BH37*'Intermediate calculations'!BH38*(1-Constants!$H$25)</f>
        <v>2141231.1654934371</v>
      </c>
      <c r="BN21" s="24">
        <f>'Intermediate calculations'!BI37*'Intermediate calculations'!BI38*(1-Constants!$H$25)</f>
        <v>2204565.545013831</v>
      </c>
      <c r="BO21" s="24">
        <f>'Intermediate calculations'!BJ37*'Intermediate calculations'!BJ38*(1-Constants!$H$25)</f>
        <v>2270827.9505167194</v>
      </c>
      <c r="BP21" s="24">
        <f>'Intermediate calculations'!BK37*'Intermediate calculations'!BK38*(1-Constants!$H$25)</f>
        <v>2340697.6159508945</v>
      </c>
    </row>
    <row r="22" spans="1:72" s="23" customFormat="1" x14ac:dyDescent="0.25">
      <c r="A22" s="23" t="str">
        <f t="shared" si="1"/>
        <v>3A Livestock</v>
      </c>
      <c r="C22" s="23" t="str">
        <f>C21</f>
        <v>3A2i Poultry</v>
      </c>
      <c r="D22" t="str">
        <f>'IPCC Categories'!F53</f>
        <v>Subsistence broilers</v>
      </c>
      <c r="E22" s="23" t="str">
        <f t="shared" si="2"/>
        <v>Population</v>
      </c>
      <c r="F22" s="23" t="str">
        <f t="shared" si="3"/>
        <v>Head</v>
      </c>
      <c r="H22" s="43">
        <v>1692788.501282579</v>
      </c>
      <c r="I22" s="43">
        <v>1591221.1932594103</v>
      </c>
      <c r="J22" s="43">
        <v>1503817.8555249351</v>
      </c>
      <c r="K22" s="43">
        <v>1691260.5094954062</v>
      </c>
      <c r="L22" s="43">
        <v>1675398.618576091</v>
      </c>
      <c r="M22" s="43">
        <v>1917738.6394417342</v>
      </c>
      <c r="N22" s="43">
        <v>2229835.7272258773</v>
      </c>
      <c r="O22" s="43">
        <v>2269717.8833858925</v>
      </c>
      <c r="P22" s="43">
        <v>2487004.5772982165</v>
      </c>
      <c r="Q22" s="43">
        <v>2596404.8813659716</v>
      </c>
      <c r="R22" s="43">
        <v>2793540.3261309932</v>
      </c>
      <c r="S22" s="43">
        <v>2697456.7186955782</v>
      </c>
      <c r="T22" s="43">
        <v>2989657.0023677181</v>
      </c>
      <c r="U22" s="43">
        <v>2843615.1342619131</v>
      </c>
      <c r="V22" s="43">
        <v>2912262.4842377375</v>
      </c>
      <c r="W22" s="43">
        <v>3222344.7569196927</v>
      </c>
      <c r="X22" s="43">
        <v>3446598.8889022488</v>
      </c>
      <c r="Y22" s="43">
        <v>3606087.1785391434</v>
      </c>
      <c r="Z22" s="43">
        <v>3839503.687775786</v>
      </c>
      <c r="AA22" s="43">
        <v>3622992.06330516</v>
      </c>
      <c r="AB22" s="43">
        <v>3714113.2025884609</v>
      </c>
      <c r="AC22" s="43">
        <v>3841366.7821070058</v>
      </c>
      <c r="AD22" s="24">
        <f>'Intermediate calculations'!Y42*'Intermediate calculations'!Y43*(1-Constants!$H$26)</f>
        <v>3920531.7741689715</v>
      </c>
      <c r="AE22" s="24">
        <f>'Intermediate calculations'!Z42*'Intermediate calculations'!Z43*(1-Constants!$H$26)</f>
        <v>4003232.0095034633</v>
      </c>
      <c r="AF22" s="24">
        <f>'Intermediate calculations'!AA42*'Intermediate calculations'!AA43*(1-Constants!$H$26)</f>
        <v>4043419.0143390447</v>
      </c>
      <c r="AG22" s="24">
        <f>'Intermediate calculations'!AB42*'Intermediate calculations'!AB43*(1-Constants!$H$26)</f>
        <v>4051671.3389147329</v>
      </c>
      <c r="AH22" s="24">
        <f>'Intermediate calculations'!AC42*'Intermediate calculations'!AC43*(1-Constants!$H$26)</f>
        <v>4026381.5099290474</v>
      </c>
      <c r="AI22" s="24">
        <f>'Intermediate calculations'!AD42*'Intermediate calculations'!AD43*(1-Constants!$H$26)</f>
        <v>4043327.1870259168</v>
      </c>
      <c r="AJ22" s="24">
        <f>'Intermediate calculations'!AE42*'Intermediate calculations'!AE43*(1-Constants!$H$26)</f>
        <v>4051933.1728571188</v>
      </c>
      <c r="AK22" s="24">
        <f>'Intermediate calculations'!AF42*'Intermediate calculations'!AF43*(1-Constants!$H$26)</f>
        <v>4057739.7570658182</v>
      </c>
      <c r="AL22" s="24">
        <f>'Intermediate calculations'!AG42*'Intermediate calculations'!AG43*(1-Constants!$H$26)</f>
        <v>3400400.3336267173</v>
      </c>
      <c r="AM22" s="24">
        <f>'Intermediate calculations'!AH42*'Intermediate calculations'!AH43*(1-Constants!$H$26)</f>
        <v>3511114.6906219763</v>
      </c>
      <c r="AN22" s="24">
        <f>'Intermediate calculations'!AI42*'Intermediate calculations'!AI43*(1-Constants!$H$26)</f>
        <v>3613185.711383082</v>
      </c>
      <c r="AO22" s="24">
        <f>'Intermediate calculations'!AJ42*'Intermediate calculations'!AJ43*(1-Constants!$H$26)</f>
        <v>3718283.3874922772</v>
      </c>
      <c r="AP22" s="24">
        <f>'Intermediate calculations'!AK42*'Intermediate calculations'!AK43*(1-Constants!$H$26)</f>
        <v>3834802.3668977139</v>
      </c>
      <c r="AQ22" s="24">
        <f>'Intermediate calculations'!AL42*'Intermediate calculations'!AL43*(1-Constants!$H$26)</f>
        <v>3968662.2740824562</v>
      </c>
      <c r="AR22" s="24">
        <f>'Intermediate calculations'!AM42*'Intermediate calculations'!AM43*(1-Constants!$H$26)</f>
        <v>4114133.509387014</v>
      </c>
      <c r="AS22" s="24">
        <f>'Intermediate calculations'!AN42*'Intermediate calculations'!AN43*(1-Constants!$H$26)</f>
        <v>4271131.2064858833</v>
      </c>
      <c r="AT22" s="24">
        <f>'Intermediate calculations'!AO42*'Intermediate calculations'!AO43*(1-Constants!$H$26)</f>
        <v>4440984.4771827757</v>
      </c>
      <c r="AU22" s="24">
        <f>'Intermediate calculations'!AP42*'Intermediate calculations'!AP43*(1-Constants!$H$26)</f>
        <v>4636219.5841572508</v>
      </c>
      <c r="AV22" s="24">
        <f>'Intermediate calculations'!AQ42*'Intermediate calculations'!AQ43*(1-Constants!$H$26)</f>
        <v>4829042.0834882883</v>
      </c>
      <c r="AW22" s="24">
        <f>'Intermediate calculations'!AR42*'Intermediate calculations'!AR43*(1-Constants!$H$26)</f>
        <v>5064251.0944681801</v>
      </c>
      <c r="AX22" s="24">
        <f>'Intermediate calculations'!AS42*'Intermediate calculations'!AS43*(1-Constants!$H$26)</f>
        <v>5308057.1974100797</v>
      </c>
      <c r="AY22" s="24">
        <f>'Intermediate calculations'!AT42*'Intermediate calculations'!AT43*(1-Constants!$H$26)</f>
        <v>5559237.6862305095</v>
      </c>
      <c r="AZ22" s="24">
        <f>'Intermediate calculations'!AU42*'Intermediate calculations'!AU43*(1-Constants!$H$26)</f>
        <v>5816494.8748117303</v>
      </c>
      <c r="BA22" s="24">
        <f>'Intermediate calculations'!AV42*'Intermediate calculations'!AV43*(1-Constants!$H$26)</f>
        <v>6051754.2440577224</v>
      </c>
      <c r="BB22" s="24">
        <f>'Intermediate calculations'!AW42*'Intermediate calculations'!AW43*(1-Constants!$H$26)</f>
        <v>6301846.0284149107</v>
      </c>
      <c r="BC22" s="24">
        <f>'Intermediate calculations'!AX42*'Intermediate calculations'!AX43*(1-Constants!$H$26)</f>
        <v>6570784.3093782524</v>
      </c>
      <c r="BD22" s="24">
        <f>'Intermediate calculations'!AY42*'Intermediate calculations'!AY43*(1-Constants!$H$26)</f>
        <v>6852921.7899109684</v>
      </c>
      <c r="BE22" s="24">
        <f>'Intermediate calculations'!AZ42*'Intermediate calculations'!AZ43*(1-Constants!$H$26)</f>
        <v>7127644.4031489892</v>
      </c>
      <c r="BF22" s="24">
        <f>'Intermediate calculations'!BA42*'Intermediate calculations'!BA43*(1-Constants!$H$26)</f>
        <v>7406283.7081787707</v>
      </c>
      <c r="BG22" s="24">
        <f>'Intermediate calculations'!BB42*'Intermediate calculations'!BB43*(1-Constants!$H$26)</f>
        <v>7699288.375696321</v>
      </c>
      <c r="BH22" s="24">
        <f>'Intermediate calculations'!BC42*'Intermediate calculations'!BC43*(1-Constants!$H$26)</f>
        <v>8007094.1812674329</v>
      </c>
      <c r="BI22" s="24">
        <f>'Intermediate calculations'!BD42*'Intermediate calculations'!BD43*(1-Constants!$H$26)</f>
        <v>8333494.6507162917</v>
      </c>
      <c r="BJ22" s="24">
        <f>'Intermediate calculations'!BE42*'Intermediate calculations'!BE43*(1-Constants!$H$26)</f>
        <v>8676988.0135204624</v>
      </c>
      <c r="BK22" s="24">
        <f>'Intermediate calculations'!BF42*'Intermediate calculations'!BF43*(1-Constants!$H$26)</f>
        <v>9045578.6347717699</v>
      </c>
      <c r="BL22" s="24">
        <f>'Intermediate calculations'!BG42*'Intermediate calculations'!BG43*(1-Constants!$H$26)</f>
        <v>9438443.2344673034</v>
      </c>
      <c r="BM22" s="24">
        <f>'Intermediate calculations'!BH42*'Intermediate calculations'!BH43*(1-Constants!$H$26)</f>
        <v>9848460.6483359057</v>
      </c>
      <c r="BN22" s="24">
        <f>'Intermediate calculations'!BI42*'Intermediate calculations'!BI43*(1-Constants!$H$26)</f>
        <v>10255480.45858272</v>
      </c>
      <c r="BO22" s="24">
        <f>'Intermediate calculations'!BJ42*'Intermediate calculations'!BJ43*(1-Constants!$H$26)</f>
        <v>10681390.060882872</v>
      </c>
      <c r="BP22" s="24">
        <f>'Intermediate calculations'!BK42*'Intermediate calculations'!BK43*(1-Constants!$H$26)</f>
        <v>11131222.142161217</v>
      </c>
    </row>
    <row r="23" spans="1:72" ht="18.75" customHeight="1" x14ac:dyDescent="0.25">
      <c r="A23" s="20" t="s">
        <v>98</v>
      </c>
      <c r="B23" s="20"/>
      <c r="C23" s="20"/>
      <c r="D23" s="15"/>
      <c r="E23" s="15"/>
      <c r="F23" s="15"/>
      <c r="G23" s="15"/>
      <c r="H23" s="15"/>
      <c r="I23" s="15"/>
      <c r="J23" s="15"/>
      <c r="K23" s="15"/>
      <c r="L23" s="15"/>
      <c r="M23" s="15"/>
      <c r="N23" s="15"/>
      <c r="O23" s="15"/>
      <c r="P23" s="15"/>
      <c r="Q23" s="15"/>
      <c r="R23" s="15"/>
      <c r="S23" s="15"/>
      <c r="T23" s="15"/>
      <c r="U23" s="15"/>
      <c r="V23" s="15"/>
      <c r="W23" s="15"/>
      <c r="X23" s="15"/>
      <c r="Y23" s="15"/>
      <c r="Z23" s="15"/>
      <c r="AA23" s="15"/>
      <c r="AB23" s="15"/>
      <c r="AC23" s="15"/>
      <c r="AD23" s="15"/>
      <c r="AE23" s="15"/>
      <c r="AF23" s="15"/>
      <c r="AG23" s="15"/>
      <c r="AH23" s="15"/>
      <c r="AI23" s="15"/>
      <c r="AJ23" s="15"/>
      <c r="AK23" s="15"/>
      <c r="AL23" s="15"/>
      <c r="AM23" s="15"/>
      <c r="AN23" s="15"/>
      <c r="AO23" s="15"/>
      <c r="AP23" s="15"/>
      <c r="AQ23" s="15"/>
      <c r="AR23" s="15"/>
      <c r="AS23" s="15"/>
      <c r="AT23" s="15"/>
      <c r="AU23" s="15"/>
      <c r="AV23" s="15"/>
      <c r="AW23" s="15"/>
      <c r="AX23" s="15"/>
      <c r="AY23" s="15"/>
      <c r="AZ23" s="15"/>
      <c r="BA23" s="15"/>
      <c r="BB23" s="15"/>
      <c r="BC23" s="15"/>
      <c r="BD23" s="15"/>
      <c r="BE23" s="15"/>
      <c r="BF23" s="15"/>
      <c r="BG23" s="15"/>
      <c r="BH23" s="15"/>
      <c r="BI23" s="15"/>
      <c r="BJ23" s="15"/>
      <c r="BK23" s="15"/>
      <c r="BL23" s="15"/>
      <c r="BM23" s="15"/>
      <c r="BN23" s="15"/>
      <c r="BO23" s="15"/>
      <c r="BP23" s="15"/>
      <c r="BS23" s="16"/>
      <c r="BT23" s="15"/>
    </row>
    <row r="24" spans="1:72" x14ac:dyDescent="0.25">
      <c r="A24" t="str">
        <f>'IPCC Categories'!A59</f>
        <v>3C Aggregated and non-CO2 emissions on land</v>
      </c>
      <c r="B24" t="str">
        <f>'IPCC Categories'!B59</f>
        <v>3C1 Biomass burning (CH4)</v>
      </c>
      <c r="C24" t="str">
        <f>'IPCC Categories'!C59</f>
        <v>3C1a Biomass burning in forest land</v>
      </c>
      <c r="D24" t="s">
        <v>346</v>
      </c>
      <c r="E24" t="str">
        <f t="shared" ref="E24:E39" si="6">D24&amp;" - Burnt area"</f>
        <v>Indigenous forests - Burnt area</v>
      </c>
      <c r="F24" t="s">
        <v>361</v>
      </c>
      <c r="G24" t="s">
        <v>640</v>
      </c>
      <c r="H24" s="44">
        <v>13927.534820378225</v>
      </c>
      <c r="I24" s="21">
        <v>13927.534820378225</v>
      </c>
      <c r="J24" s="21">
        <v>13927.534820378225</v>
      </c>
      <c r="K24" s="21">
        <v>13927.534820378225</v>
      </c>
      <c r="L24" s="21">
        <v>13927.534820378225</v>
      </c>
      <c r="M24" s="21">
        <v>13927.534820378225</v>
      </c>
      <c r="N24" s="21">
        <v>13927.534820378225</v>
      </c>
      <c r="O24" s="21">
        <v>13927.534820378225</v>
      </c>
      <c r="P24" s="21">
        <v>13927.534820378225</v>
      </c>
      <c r="Q24" s="21">
        <v>13927.534820378225</v>
      </c>
      <c r="R24" s="21">
        <v>12852.281138089251</v>
      </c>
      <c r="S24" s="21">
        <v>14305.950279381213</v>
      </c>
      <c r="T24" s="21">
        <v>13083.022271627655</v>
      </c>
      <c r="U24" s="21">
        <v>16497.991047996074</v>
      </c>
      <c r="V24" s="21">
        <v>12898.429364796932</v>
      </c>
      <c r="W24" s="21">
        <v>16959.473315072886</v>
      </c>
      <c r="X24" s="21">
        <v>15136.618360119473</v>
      </c>
      <c r="Y24" s="21">
        <v>19797.589257595289</v>
      </c>
      <c r="Z24" s="21">
        <v>16567.213388057597</v>
      </c>
      <c r="AA24" s="21">
        <v>16336.472254519189</v>
      </c>
      <c r="AB24" s="21">
        <v>13394.88</v>
      </c>
      <c r="AC24" s="21">
        <v>10042.290000000001</v>
      </c>
      <c r="AD24" s="45">
        <f>'[2]Activity data'!AE545</f>
        <v>13597.343916991533</v>
      </c>
      <c r="AE24" s="45">
        <f>'[2]Activity data'!AF545</f>
        <v>13591.541699530653</v>
      </c>
      <c r="AF24" s="45">
        <f>'[2]Activity data'!AG545</f>
        <v>13585.739482069775</v>
      </c>
      <c r="AG24" s="45">
        <f>'[2]Activity data'!AH545</f>
        <v>13579.937264608896</v>
      </c>
      <c r="AH24" s="45">
        <f>'[2]Activity data'!AI545</f>
        <v>13574.135047148016</v>
      </c>
      <c r="AI24" s="45">
        <f>'[2]Activity data'!AJ545</f>
        <v>13568.332829687137</v>
      </c>
      <c r="AJ24" s="45">
        <f>'[2]Activity data'!AK545</f>
        <v>13562.530612226257</v>
      </c>
      <c r="AK24" s="45">
        <f>'[2]Activity data'!AL545</f>
        <v>13556.72839476538</v>
      </c>
      <c r="AL24" s="45">
        <f>'[2]Activity data'!AM545</f>
        <v>13550.9261773045</v>
      </c>
      <c r="AM24" s="45">
        <f>'[2]Activity data'!AN545</f>
        <v>13545.12395984362</v>
      </c>
      <c r="AN24" s="45">
        <f>'[2]Activity data'!AO545</f>
        <v>13539.321742382741</v>
      </c>
      <c r="AO24" s="45">
        <f>'[2]Activity data'!AP545</f>
        <v>13533.519524921861</v>
      </c>
      <c r="AP24" s="45">
        <f>'[2]Activity data'!AQ545</f>
        <v>13527.717307460984</v>
      </c>
      <c r="AQ24" s="45">
        <f>'[2]Activity data'!AR545</f>
        <v>13521.915090000104</v>
      </c>
      <c r="AR24" s="45">
        <f>'[2]Activity data'!AS545</f>
        <v>13516.112872539225</v>
      </c>
      <c r="AS24" s="45">
        <f>'[2]Activity data'!AT545</f>
        <v>13510.310655078345</v>
      </c>
      <c r="AT24" s="45">
        <f>'[2]Activity data'!AU545</f>
        <v>13504.508437617465</v>
      </c>
      <c r="AU24" s="45">
        <f>'[2]Activity data'!AV545</f>
        <v>13498.706220156588</v>
      </c>
      <c r="AV24" s="45">
        <f>'[2]Activity data'!AW545</f>
        <v>13492.904002695708</v>
      </c>
      <c r="AW24" s="45">
        <f>'[2]Activity data'!AX545</f>
        <v>13487.101785234829</v>
      </c>
      <c r="AX24" s="45">
        <f>'[2]Activity data'!AY545</f>
        <v>13481.299567773949</v>
      </c>
      <c r="AY24" s="45">
        <f>'[2]Activity data'!AZ545</f>
        <v>13475.49735031307</v>
      </c>
      <c r="AZ24" s="45">
        <f>'[2]Activity data'!BA545</f>
        <v>13469.695132852192</v>
      </c>
      <c r="BA24" s="45">
        <f>'[2]Activity data'!BB545</f>
        <v>13463.892915391312</v>
      </c>
      <c r="BB24" s="45">
        <f>'[2]Activity data'!BC545</f>
        <v>13458.090697930433</v>
      </c>
      <c r="BC24" s="45">
        <f>'[2]Activity data'!BD545</f>
        <v>13452.288480469553</v>
      </c>
      <c r="BD24" s="45">
        <f>'[2]Activity data'!BE545</f>
        <v>13446.486263008674</v>
      </c>
      <c r="BE24" s="45">
        <f>'[2]Activity data'!BF545</f>
        <v>13440.684045547796</v>
      </c>
      <c r="BF24" s="45">
        <f>'[2]Activity data'!BG545</f>
        <v>13434.881828086916</v>
      </c>
      <c r="BG24" s="45">
        <f>'[2]Activity data'!BH545</f>
        <v>13429.079610626037</v>
      </c>
      <c r="BH24" s="45">
        <f>'[2]Activity data'!BI545</f>
        <v>13423.277393165157</v>
      </c>
      <c r="BI24" s="45">
        <f>'[2]Activity data'!BJ545</f>
        <v>13417.475175704278</v>
      </c>
      <c r="BJ24" s="45">
        <f>'[2]Activity data'!BK545</f>
        <v>13411.6729582434</v>
      </c>
      <c r="BK24" s="45">
        <f>'[2]Activity data'!BL545</f>
        <v>13405.87074078252</v>
      </c>
      <c r="BL24" s="45">
        <f>'[2]Activity data'!BM545</f>
        <v>13400.068523321641</v>
      </c>
      <c r="BM24" s="45">
        <f>'[2]Activity data'!BN545</f>
        <v>13394.266305860761</v>
      </c>
      <c r="BN24" s="45">
        <f>'[2]Activity data'!BO545</f>
        <v>13388.464088399882</v>
      </c>
      <c r="BO24" s="45">
        <f>'[2]Activity data'!BP545</f>
        <v>13382.661870939004</v>
      </c>
      <c r="BP24" s="45">
        <f>'[2]Activity data'!BQ545</f>
        <v>13376.859653478125</v>
      </c>
      <c r="BR24" s="23"/>
    </row>
    <row r="25" spans="1:72" x14ac:dyDescent="0.25">
      <c r="A25" t="str">
        <f t="shared" ref="A25:C27" si="7">A24</f>
        <v>3C Aggregated and non-CO2 emissions on land</v>
      </c>
      <c r="B25" t="str">
        <f t="shared" si="7"/>
        <v>3C1 Biomass burning (CH4)</v>
      </c>
      <c r="C25" t="str">
        <f t="shared" si="7"/>
        <v>3C1a Biomass burning in forest land</v>
      </c>
      <c r="D25" t="s">
        <v>347</v>
      </c>
      <c r="E25" t="str">
        <f t="shared" si="6"/>
        <v>Thickets - Burnt area</v>
      </c>
      <c r="F25" t="s">
        <v>361</v>
      </c>
      <c r="G25" t="s">
        <v>642</v>
      </c>
      <c r="H25" s="21">
        <v>401037.31973509229</v>
      </c>
      <c r="I25" s="21">
        <v>401037.31973509229</v>
      </c>
      <c r="J25" s="21">
        <v>401037.31973509229</v>
      </c>
      <c r="K25" s="21">
        <v>401037.31973509229</v>
      </c>
      <c r="L25" s="21">
        <v>401037.31973509229</v>
      </c>
      <c r="M25" s="21">
        <v>401037.31973509229</v>
      </c>
      <c r="N25" s="21">
        <v>401037.31973509229</v>
      </c>
      <c r="O25" s="21">
        <v>401037.31973509229</v>
      </c>
      <c r="P25" s="21">
        <v>401037.31973509229</v>
      </c>
      <c r="Q25" s="21">
        <v>401037.31973509229</v>
      </c>
      <c r="R25" s="21">
        <v>411780.62691264047</v>
      </c>
      <c r="S25" s="21">
        <v>522674.81569119875</v>
      </c>
      <c r="T25" s="21">
        <v>482456.63611545443</v>
      </c>
      <c r="U25" s="21">
        <v>289949.30840436177</v>
      </c>
      <c r="V25" s="21">
        <v>298325.21155180596</v>
      </c>
      <c r="W25" s="21">
        <v>512360.68702203204</v>
      </c>
      <c r="X25" s="21">
        <v>409265.54855707183</v>
      </c>
      <c r="Y25" s="21">
        <v>477841.81344468636</v>
      </c>
      <c r="Z25" s="21">
        <v>525720.59865390568</v>
      </c>
      <c r="AA25" s="21">
        <v>382291.91004643211</v>
      </c>
      <c r="AB25" s="21">
        <v>467157.06</v>
      </c>
      <c r="AC25" s="21">
        <v>371977.65</v>
      </c>
      <c r="AD25" s="45">
        <f>'[2]Activity data'!AE546</f>
        <v>393930.44129440375</v>
      </c>
      <c r="AE25" s="45">
        <f>'[2]Activity data'!AF546</f>
        <v>393306.72804719064</v>
      </c>
      <c r="AF25" s="45">
        <f>'[2]Activity data'!AG546</f>
        <v>392683.01479997754</v>
      </c>
      <c r="AG25" s="45">
        <f>'[2]Activity data'!AH546</f>
        <v>392059.30155276449</v>
      </c>
      <c r="AH25" s="45">
        <f>'[2]Activity data'!AI546</f>
        <v>391435.58830555138</v>
      </c>
      <c r="AI25" s="45">
        <f>'[2]Activity data'!AJ546</f>
        <v>390811.87505833828</v>
      </c>
      <c r="AJ25" s="45">
        <f>'[2]Activity data'!AK546</f>
        <v>390188.16181112523</v>
      </c>
      <c r="AK25" s="45">
        <f>'[2]Activity data'!AL546</f>
        <v>389564.44856391213</v>
      </c>
      <c r="AL25" s="45">
        <f>'[2]Activity data'!AM546</f>
        <v>388940.73531669908</v>
      </c>
      <c r="AM25" s="45">
        <f>'[2]Activity data'!AN546</f>
        <v>388317.02206948597</v>
      </c>
      <c r="AN25" s="45">
        <f>'[2]Activity data'!AO546</f>
        <v>387693.30882227287</v>
      </c>
      <c r="AO25" s="45">
        <f>'[2]Activity data'!AP546</f>
        <v>387069.59557505982</v>
      </c>
      <c r="AP25" s="45">
        <f>'[2]Activity data'!AQ546</f>
        <v>386445.88232784672</v>
      </c>
      <c r="AQ25" s="45">
        <f>'[2]Activity data'!AR546</f>
        <v>385822.16908063361</v>
      </c>
      <c r="AR25" s="45">
        <f>'[2]Activity data'!AS546</f>
        <v>385198.45583342056</v>
      </c>
      <c r="AS25" s="45">
        <f>'[2]Activity data'!AT546</f>
        <v>384574.74258620746</v>
      </c>
      <c r="AT25" s="45">
        <f>'[2]Activity data'!AU546</f>
        <v>383951.02933899435</v>
      </c>
      <c r="AU25" s="45">
        <f>'[2]Activity data'!AV546</f>
        <v>383327.31609178131</v>
      </c>
      <c r="AV25" s="45">
        <f>'[2]Activity data'!AW546</f>
        <v>382703.6028445682</v>
      </c>
      <c r="AW25" s="45">
        <f>'[2]Activity data'!AX546</f>
        <v>382079.88959735516</v>
      </c>
      <c r="AX25" s="45">
        <f>'[2]Activity data'!AY546</f>
        <v>381456.17635014205</v>
      </c>
      <c r="AY25" s="45">
        <f>'[2]Activity data'!AZ546</f>
        <v>380832.46310292894</v>
      </c>
      <c r="AZ25" s="45">
        <f>'[2]Activity data'!BA546</f>
        <v>380208.7498557159</v>
      </c>
      <c r="BA25" s="45">
        <f>'[2]Activity data'!BB546</f>
        <v>379585.03660850279</v>
      </c>
      <c r="BB25" s="45">
        <f>'[2]Activity data'!BC546</f>
        <v>378961.32336128969</v>
      </c>
      <c r="BC25" s="45">
        <f>'[2]Activity data'!BD546</f>
        <v>378337.61011407664</v>
      </c>
      <c r="BD25" s="45">
        <f>'[2]Activity data'!BE546</f>
        <v>377713.89686686354</v>
      </c>
      <c r="BE25" s="45">
        <f>'[2]Activity data'!BF546</f>
        <v>377090.18361965049</v>
      </c>
      <c r="BF25" s="45">
        <f>'[2]Activity data'!BG546</f>
        <v>376466.47037243738</v>
      </c>
      <c r="BG25" s="45">
        <f>'[2]Activity data'!BH546</f>
        <v>375842.75712522428</v>
      </c>
      <c r="BH25" s="45">
        <f>'[2]Activity data'!BI546</f>
        <v>375219.04387801123</v>
      </c>
      <c r="BI25" s="45">
        <f>'[2]Activity data'!BJ546</f>
        <v>374595.33063079813</v>
      </c>
      <c r="BJ25" s="45">
        <f>'[2]Activity data'!BK546</f>
        <v>373971.61738358502</v>
      </c>
      <c r="BK25" s="45">
        <f>'[2]Activity data'!BL546</f>
        <v>373347.90413637197</v>
      </c>
      <c r="BL25" s="45">
        <f>'[2]Activity data'!BM546</f>
        <v>372724.19088915887</v>
      </c>
      <c r="BM25" s="45">
        <f>'[2]Activity data'!BN546</f>
        <v>372100.47764194576</v>
      </c>
      <c r="BN25" s="45">
        <f>'[2]Activity data'!BO546</f>
        <v>371476.76439473272</v>
      </c>
      <c r="BO25" s="45">
        <f>'[2]Activity data'!BP546</f>
        <v>370853.05114751961</v>
      </c>
      <c r="BP25" s="45">
        <f>'[2]Activity data'!BQ546</f>
        <v>370229.33790030656</v>
      </c>
      <c r="BR25" s="23"/>
    </row>
    <row r="26" spans="1:72" x14ac:dyDescent="0.25">
      <c r="A26" t="str">
        <f t="shared" si="7"/>
        <v>3C Aggregated and non-CO2 emissions on land</v>
      </c>
      <c r="B26" t="str">
        <f t="shared" si="7"/>
        <v>3C1 Biomass burning (CH4)</v>
      </c>
      <c r="C26" t="str">
        <f t="shared" si="7"/>
        <v>3C1a Biomass burning in forest land</v>
      </c>
      <c r="D26" t="s">
        <v>348</v>
      </c>
      <c r="E26" t="str">
        <f t="shared" si="6"/>
        <v>Woodlands - Burnt area</v>
      </c>
      <c r="F26" t="s">
        <v>361</v>
      </c>
      <c r="G26" t="s">
        <v>643</v>
      </c>
      <c r="H26" s="21">
        <v>698264.20349125541</v>
      </c>
      <c r="I26" s="21">
        <v>698264.20349125541</v>
      </c>
      <c r="J26" s="21">
        <v>698264.20349125541</v>
      </c>
      <c r="K26" s="21">
        <v>698264.20349125541</v>
      </c>
      <c r="L26" s="21">
        <v>698264.20349125541</v>
      </c>
      <c r="M26" s="21">
        <v>698264.20349125541</v>
      </c>
      <c r="N26" s="21">
        <v>698264.20349125541</v>
      </c>
      <c r="O26" s="21">
        <v>698264.20349125541</v>
      </c>
      <c r="P26" s="21">
        <v>698264.20349125541</v>
      </c>
      <c r="Q26" s="21">
        <v>698264.20349125541</v>
      </c>
      <c r="R26" s="21">
        <v>731241.72629656445</v>
      </c>
      <c r="S26" s="21">
        <v>1051602.7161012881</v>
      </c>
      <c r="T26" s="21">
        <v>813247.12515611423</v>
      </c>
      <c r="U26" s="21">
        <v>311846.64197715657</v>
      </c>
      <c r="V26" s="21">
        <v>583382.80792515341</v>
      </c>
      <c r="W26" s="21">
        <v>984987.75084875035</v>
      </c>
      <c r="X26" s="21">
        <v>854549.78805948899</v>
      </c>
      <c r="Y26" s="21">
        <v>491709.35557034455</v>
      </c>
      <c r="Z26" s="21">
        <v>887938.03008249647</v>
      </c>
      <c r="AA26" s="21">
        <v>585090.29231333768</v>
      </c>
      <c r="AB26" s="21">
        <v>824275.8</v>
      </c>
      <c r="AC26" s="21">
        <v>754253.19</v>
      </c>
      <c r="AD26" s="45">
        <f>'[2]Activity data'!AE547</f>
        <v>664355.50457407185</v>
      </c>
      <c r="AE26" s="45">
        <f>'[2]Activity data'!AF547</f>
        <v>665519.12191991892</v>
      </c>
      <c r="AF26" s="45">
        <f>'[2]Activity data'!AG547</f>
        <v>666682.73926576588</v>
      </c>
      <c r="AG26" s="45">
        <f>'[2]Activity data'!AH547</f>
        <v>667846.35661161283</v>
      </c>
      <c r="AH26" s="45">
        <f>'[2]Activity data'!AI547</f>
        <v>669009.97395745991</v>
      </c>
      <c r="AI26" s="45">
        <f>'[2]Activity data'!AJ547</f>
        <v>670173.59130330686</v>
      </c>
      <c r="AJ26" s="45">
        <f>'[2]Activity data'!AK547</f>
        <v>671337.20864915382</v>
      </c>
      <c r="AK26" s="45">
        <f>'[2]Activity data'!AL547</f>
        <v>666658.3555590522</v>
      </c>
      <c r="AL26" s="45">
        <f>'[2]Activity data'!AM547</f>
        <v>661979.50246895046</v>
      </c>
      <c r="AM26" s="45">
        <f>'[2]Activity data'!AN547</f>
        <v>657300.64937884873</v>
      </c>
      <c r="AN26" s="45">
        <f>'[2]Activity data'!AO547</f>
        <v>652621.79628874699</v>
      </c>
      <c r="AO26" s="45">
        <f>'[2]Activity data'!AP547</f>
        <v>647942.94319864525</v>
      </c>
      <c r="AP26" s="45">
        <f>'[2]Activity data'!AQ547</f>
        <v>643264.09010854363</v>
      </c>
      <c r="AQ26" s="45">
        <f>'[2]Activity data'!AR547</f>
        <v>638585.2370184419</v>
      </c>
      <c r="AR26" s="45">
        <f>'[2]Activity data'!AS547</f>
        <v>633906.38392834016</v>
      </c>
      <c r="AS26" s="45">
        <f>'[2]Activity data'!AT547</f>
        <v>629227.53083823842</v>
      </c>
      <c r="AT26" s="45">
        <f>'[2]Activity data'!AU547</f>
        <v>624548.67774813669</v>
      </c>
      <c r="AU26" s="45">
        <f>'[2]Activity data'!AV547</f>
        <v>619869.82465803507</v>
      </c>
      <c r="AV26" s="45">
        <f>'[2]Activity data'!AW547</f>
        <v>615190.97156793333</v>
      </c>
      <c r="AW26" s="45">
        <f>'[2]Activity data'!AX547</f>
        <v>610512.11847783159</v>
      </c>
      <c r="AX26" s="45">
        <f>'[2]Activity data'!AY547</f>
        <v>605833.26538772986</v>
      </c>
      <c r="AY26" s="45">
        <f>'[2]Activity data'!AZ547</f>
        <v>601154.41229762812</v>
      </c>
      <c r="AZ26" s="45">
        <f>'[2]Activity data'!BA547</f>
        <v>596475.55920752638</v>
      </c>
      <c r="BA26" s="45">
        <f>'[2]Activity data'!BB547</f>
        <v>591796.70611742476</v>
      </c>
      <c r="BB26" s="45">
        <f>'[2]Activity data'!BC547</f>
        <v>587117.85302732303</v>
      </c>
      <c r="BC26" s="45">
        <f>'[2]Activity data'!BD547</f>
        <v>582438.99993722129</v>
      </c>
      <c r="BD26" s="45">
        <f>'[2]Activity data'!BE547</f>
        <v>577760.14684711955</v>
      </c>
      <c r="BE26" s="45">
        <f>'[2]Activity data'!BF547</f>
        <v>573081.29375701782</v>
      </c>
      <c r="BF26" s="45">
        <f>'[2]Activity data'!BG547</f>
        <v>568402.44066691608</v>
      </c>
      <c r="BG26" s="45">
        <f>'[2]Activity data'!BH547</f>
        <v>563723.58757681435</v>
      </c>
      <c r="BH26" s="45">
        <f>'[2]Activity data'!BI547</f>
        <v>559044.73448671272</v>
      </c>
      <c r="BI26" s="45">
        <f>'[2]Activity data'!BJ547</f>
        <v>554365.88139661099</v>
      </c>
      <c r="BJ26" s="45">
        <f>'[2]Activity data'!BK547</f>
        <v>549687.02830650925</v>
      </c>
      <c r="BK26" s="45">
        <f>'[2]Activity data'!BL547</f>
        <v>545008.17521640752</v>
      </c>
      <c r="BL26" s="45">
        <f>'[2]Activity data'!BM547</f>
        <v>540329.32212630589</v>
      </c>
      <c r="BM26" s="45">
        <f>'[2]Activity data'!BN547</f>
        <v>535650.46903620427</v>
      </c>
      <c r="BN26" s="45">
        <f>'[2]Activity data'!BO547</f>
        <v>530971.61594610265</v>
      </c>
      <c r="BO26" s="45">
        <f>'[2]Activity data'!BP547</f>
        <v>526292.76285600092</v>
      </c>
      <c r="BP26" s="45">
        <f>'[2]Activity data'!BQ547</f>
        <v>521613.90976589912</v>
      </c>
      <c r="BR26" s="23"/>
    </row>
    <row r="27" spans="1:72" x14ac:dyDescent="0.25">
      <c r="A27" t="str">
        <f t="shared" si="7"/>
        <v>3C Aggregated and non-CO2 emissions on land</v>
      </c>
      <c r="B27" t="str">
        <f t="shared" si="7"/>
        <v>3C1 Biomass burning (CH4)</v>
      </c>
      <c r="C27" t="str">
        <f t="shared" si="7"/>
        <v>3C1a Biomass burning in forest land</v>
      </c>
      <c r="D27" t="s">
        <v>349</v>
      </c>
      <c r="E27" t="str">
        <f t="shared" si="6"/>
        <v>Plantations - Burnt area</v>
      </c>
      <c r="F27" t="s">
        <v>361</v>
      </c>
      <c r="G27" t="s">
        <v>644</v>
      </c>
      <c r="H27" s="21">
        <v>47772.644287791714</v>
      </c>
      <c r="I27" s="21">
        <v>47772.644287791714</v>
      </c>
      <c r="J27" s="21">
        <v>47772.644287791714</v>
      </c>
      <c r="K27" s="21">
        <v>47772.644287791714</v>
      </c>
      <c r="L27" s="21">
        <v>47772.644287791714</v>
      </c>
      <c r="M27" s="21">
        <v>47772.644287791714</v>
      </c>
      <c r="N27" s="21">
        <v>47772.644287791714</v>
      </c>
      <c r="O27" s="21">
        <v>47772.644287791714</v>
      </c>
      <c r="P27" s="21">
        <v>47772.644287791714</v>
      </c>
      <c r="Q27" s="21">
        <v>47772.644287791714</v>
      </c>
      <c r="R27" s="21">
        <v>43563.926012051175</v>
      </c>
      <c r="S27" s="21">
        <v>53624.239434325704</v>
      </c>
      <c r="T27" s="21">
        <v>47878.785209219379</v>
      </c>
      <c r="U27" s="21">
        <v>55585.539069402163</v>
      </c>
      <c r="V27" s="21">
        <v>38210.731713960144</v>
      </c>
      <c r="W27" s="21">
        <v>56000.873109771281</v>
      </c>
      <c r="X27" s="21">
        <v>43771.593032235731</v>
      </c>
      <c r="Y27" s="21">
        <v>81497.768365765223</v>
      </c>
      <c r="Z27" s="21">
        <v>52655.126673464394</v>
      </c>
      <c r="AA27" s="21">
        <v>44856.076359866252</v>
      </c>
      <c r="AB27" s="21">
        <v>37862.19</v>
      </c>
      <c r="AC27" s="21">
        <v>43074.99</v>
      </c>
      <c r="AD27" s="45">
        <f>'[2]Activity data'!AE548</f>
        <v>13285.999123176394</v>
      </c>
      <c r="AE27" s="45">
        <f>'[2]Activity data'!AF548</f>
        <v>24983.999123176392</v>
      </c>
      <c r="AF27" s="45">
        <f>'[2]Activity data'!AG548</f>
        <v>20172.999123176392</v>
      </c>
      <c r="AG27" s="45">
        <f>'[2]Activity data'!AH548</f>
        <v>15648.999123176394</v>
      </c>
      <c r="AH27" s="45">
        <f>'[2]Activity data'!AI548</f>
        <v>17908.999123176392</v>
      </c>
      <c r="AI27" s="45">
        <f>'[2]Activity data'!AJ548</f>
        <v>19831.999123176392</v>
      </c>
      <c r="AJ27" s="45">
        <f>'[2]Activity data'!AK548</f>
        <v>19831.999123176392</v>
      </c>
      <c r="AK27" s="45">
        <f>'[2]Activity data'!AL548</f>
        <v>19918.097396718102</v>
      </c>
      <c r="AL27" s="45">
        <f>'[2]Activity data'!AM548</f>
        <v>20004.195670259811</v>
      </c>
      <c r="AM27" s="45">
        <f>'[2]Activity data'!AN548</f>
        <v>20090.29394380152</v>
      </c>
      <c r="AN27" s="45">
        <f>'[2]Activity data'!AO548</f>
        <v>20176.392217343229</v>
      </c>
      <c r="AO27" s="45">
        <f>'[2]Activity data'!AP548</f>
        <v>20262.490490884938</v>
      </c>
      <c r="AP27" s="45">
        <f>'[2]Activity data'!AQ548</f>
        <v>20348.588764426648</v>
      </c>
      <c r="AQ27" s="45">
        <f>'[2]Activity data'!AR548</f>
        <v>20434.687037968357</v>
      </c>
      <c r="AR27" s="45">
        <f>'[2]Activity data'!AS548</f>
        <v>20520.785311510066</v>
      </c>
      <c r="AS27" s="45">
        <f>'[2]Activity data'!AT548</f>
        <v>20606.883585051775</v>
      </c>
      <c r="AT27" s="45">
        <f>'[2]Activity data'!AU548</f>
        <v>20692.981858593485</v>
      </c>
      <c r="AU27" s="45">
        <f>'[2]Activity data'!AV548</f>
        <v>20779.080132135194</v>
      </c>
      <c r="AV27" s="45">
        <f>'[2]Activity data'!AW548</f>
        <v>20865.178405676903</v>
      </c>
      <c r="AW27" s="45">
        <f>'[2]Activity data'!AX548</f>
        <v>20865.178405676903</v>
      </c>
      <c r="AX27" s="45">
        <f>'[2]Activity data'!AY548</f>
        <v>20865.178405676903</v>
      </c>
      <c r="AY27" s="45">
        <f>'[2]Activity data'!AZ548</f>
        <v>20865.178405676903</v>
      </c>
      <c r="AZ27" s="45">
        <f>'[2]Activity data'!BA548</f>
        <v>20865.178405676903</v>
      </c>
      <c r="BA27" s="45">
        <f>'[2]Activity data'!BB548</f>
        <v>20865.178405676903</v>
      </c>
      <c r="BB27" s="45">
        <f>'[2]Activity data'!BC548</f>
        <v>20865.178405676903</v>
      </c>
      <c r="BC27" s="45">
        <f>'[2]Activity data'!BD548</f>
        <v>20865.178405676903</v>
      </c>
      <c r="BD27" s="45">
        <f>'[2]Activity data'!BE548</f>
        <v>20865.178405676903</v>
      </c>
      <c r="BE27" s="45">
        <f>'[2]Activity data'!BF548</f>
        <v>20779.080132135194</v>
      </c>
      <c r="BF27" s="45">
        <f>'[2]Activity data'!BG548</f>
        <v>20692.981858593485</v>
      </c>
      <c r="BG27" s="45">
        <f>'[2]Activity data'!BH548</f>
        <v>20606.883585051775</v>
      </c>
      <c r="BH27" s="45">
        <f>'[2]Activity data'!BI548</f>
        <v>20520.785311510066</v>
      </c>
      <c r="BI27" s="45">
        <f>'[2]Activity data'!BJ548</f>
        <v>20434.687037968357</v>
      </c>
      <c r="BJ27" s="45">
        <f>'[2]Activity data'!BK548</f>
        <v>20348.588764426648</v>
      </c>
      <c r="BK27" s="45">
        <f>'[2]Activity data'!BL548</f>
        <v>20262.490490884938</v>
      </c>
      <c r="BL27" s="45">
        <f>'[2]Activity data'!BM548</f>
        <v>20176.392217343229</v>
      </c>
      <c r="BM27" s="45">
        <f>'[2]Activity data'!BN548</f>
        <v>20090.29394380152</v>
      </c>
      <c r="BN27" s="45">
        <f>'[2]Activity data'!BO548</f>
        <v>20004.195670259811</v>
      </c>
      <c r="BO27" s="45">
        <f>'[2]Activity data'!BP548</f>
        <v>19918.097396718102</v>
      </c>
      <c r="BP27" s="45">
        <f>'[2]Activity data'!BQ548</f>
        <v>19831.999123176392</v>
      </c>
      <c r="BR27" s="23"/>
    </row>
    <row r="28" spans="1:72" x14ac:dyDescent="0.25">
      <c r="A28" t="str">
        <f t="shared" ref="A28:B34" si="8">A27</f>
        <v>3C Aggregated and non-CO2 emissions on land</v>
      </c>
      <c r="B28" t="str">
        <f t="shared" si="8"/>
        <v>3C1 Biomass burning (CH4)</v>
      </c>
      <c r="C28" t="str">
        <f>'IPCC Categories'!C60</f>
        <v>3C1b Biomass burning in Croplands</v>
      </c>
      <c r="D28" t="s">
        <v>350</v>
      </c>
      <c r="E28" t="str">
        <f t="shared" si="6"/>
        <v>Annual non-pivot - Burnt area</v>
      </c>
      <c r="F28" t="s">
        <v>361</v>
      </c>
      <c r="G28" t="s">
        <v>645</v>
      </c>
      <c r="H28" s="21">
        <v>30047.110409371311</v>
      </c>
      <c r="I28" s="21">
        <v>30047.110409371311</v>
      </c>
      <c r="J28" s="21">
        <v>30047.110409371311</v>
      </c>
      <c r="K28" s="21">
        <v>30047.110409371311</v>
      </c>
      <c r="L28" s="21">
        <v>30047.110409371311</v>
      </c>
      <c r="M28" s="21">
        <v>30047.110409371311</v>
      </c>
      <c r="N28" s="21">
        <v>30047.110409371311</v>
      </c>
      <c r="O28" s="21">
        <v>30047.110409371311</v>
      </c>
      <c r="P28" s="21">
        <v>30047.110409371311</v>
      </c>
      <c r="Q28" s="21">
        <v>30047.110409371311</v>
      </c>
      <c r="R28" s="21">
        <v>30550.126080485039</v>
      </c>
      <c r="S28" s="21">
        <v>23835.559094517404</v>
      </c>
      <c r="T28" s="21">
        <v>30988.534234208011</v>
      </c>
      <c r="U28" s="21">
        <v>28704.197012177781</v>
      </c>
      <c r="V28" s="21">
        <v>36157.13562546832</v>
      </c>
      <c r="W28" s="21">
        <v>39710.549081959784</v>
      </c>
      <c r="X28" s="21">
        <v>29765.606226454456</v>
      </c>
      <c r="Y28" s="21">
        <v>29857.902679869818</v>
      </c>
      <c r="Z28" s="21">
        <v>21089.739605410366</v>
      </c>
      <c r="AA28" s="21">
        <v>21897.333572794789</v>
      </c>
      <c r="AB28" s="21">
        <v>30941.1</v>
      </c>
      <c r="AC28" s="21">
        <v>30919.05</v>
      </c>
      <c r="AD28" s="45">
        <f>'[2]Activity data'!AE549</f>
        <v>329614.7597349711</v>
      </c>
      <c r="AE28" s="45">
        <f>'[2]Activity data'!AF549</f>
        <v>328711.1609496483</v>
      </c>
      <c r="AF28" s="45">
        <f>'[2]Activity data'!AG549</f>
        <v>327807.5621643255</v>
      </c>
      <c r="AG28" s="45">
        <f>'[2]Activity data'!AH549</f>
        <v>326903.96337900264</v>
      </c>
      <c r="AH28" s="45">
        <f>'[2]Activity data'!AI549</f>
        <v>326000.36459367984</v>
      </c>
      <c r="AI28" s="45">
        <f>'[2]Activity data'!AJ549</f>
        <v>325096.76580835704</v>
      </c>
      <c r="AJ28" s="45">
        <f>'[2]Activity data'!AK549</f>
        <v>324193.16702303418</v>
      </c>
      <c r="AK28" s="45">
        <f>'[2]Activity data'!AL549</f>
        <v>323289.56823771138</v>
      </c>
      <c r="AL28" s="45">
        <f>'[2]Activity data'!AM549</f>
        <v>322385.96945238858</v>
      </c>
      <c r="AM28" s="45">
        <f>'[2]Activity data'!AN549</f>
        <v>321482.37066706573</v>
      </c>
      <c r="AN28" s="45">
        <f>'[2]Activity data'!AO549</f>
        <v>320578.77188174293</v>
      </c>
      <c r="AO28" s="45">
        <f>'[2]Activity data'!AP549</f>
        <v>319675.17309642013</v>
      </c>
      <c r="AP28" s="45">
        <f>'[2]Activity data'!AQ549</f>
        <v>318771.57431109727</v>
      </c>
      <c r="AQ28" s="45">
        <f>'[2]Activity data'!AR549</f>
        <v>317867.97552577447</v>
      </c>
      <c r="AR28" s="45">
        <f>'[2]Activity data'!AS549</f>
        <v>316964.37674045167</v>
      </c>
      <c r="AS28" s="45">
        <f>'[2]Activity data'!AT549</f>
        <v>316060.77795512887</v>
      </c>
      <c r="AT28" s="45">
        <f>'[2]Activity data'!AU549</f>
        <v>315157.17916980601</v>
      </c>
      <c r="AU28" s="45">
        <f>'[2]Activity data'!AV549</f>
        <v>314253.58038448321</v>
      </c>
      <c r="AV28" s="45">
        <f>'[2]Activity data'!AW549</f>
        <v>313349.98159916041</v>
      </c>
      <c r="AW28" s="45">
        <f>'[2]Activity data'!AX549</f>
        <v>312446.38281383755</v>
      </c>
      <c r="AX28" s="45">
        <f>'[2]Activity data'!AY549</f>
        <v>311542.78402851475</v>
      </c>
      <c r="AY28" s="45">
        <f>'[2]Activity data'!AZ549</f>
        <v>310639.18524319195</v>
      </c>
      <c r="AZ28" s="45">
        <f>'[2]Activity data'!BA549</f>
        <v>309735.5864578691</v>
      </c>
      <c r="BA28" s="45">
        <f>'[2]Activity data'!BB549</f>
        <v>308831.9876725463</v>
      </c>
      <c r="BB28" s="45">
        <f>'[2]Activity data'!BC549</f>
        <v>307928.3888872235</v>
      </c>
      <c r="BC28" s="45">
        <f>'[2]Activity data'!BD549</f>
        <v>307024.79010190064</v>
      </c>
      <c r="BD28" s="45">
        <f>'[2]Activity data'!BE549</f>
        <v>306121.19131657784</v>
      </c>
      <c r="BE28" s="45">
        <f>'[2]Activity data'!BF549</f>
        <v>305217.59253125504</v>
      </c>
      <c r="BF28" s="45">
        <f>'[2]Activity data'!BG549</f>
        <v>304313.99374593218</v>
      </c>
      <c r="BG28" s="45">
        <f>'[2]Activity data'!BH549</f>
        <v>303410.39496060938</v>
      </c>
      <c r="BH28" s="45">
        <f>'[2]Activity data'!BI549</f>
        <v>302506.79617528658</v>
      </c>
      <c r="BI28" s="45">
        <f>'[2]Activity data'!BJ549</f>
        <v>301603.19738996372</v>
      </c>
      <c r="BJ28" s="45">
        <f>'[2]Activity data'!BK549</f>
        <v>300699.59860464092</v>
      </c>
      <c r="BK28" s="45">
        <f>'[2]Activity data'!BL549</f>
        <v>299795.99981931812</v>
      </c>
      <c r="BL28" s="45">
        <f>'[2]Activity data'!BM549</f>
        <v>298892.40103399527</v>
      </c>
      <c r="BM28" s="45">
        <f>'[2]Activity data'!BN549</f>
        <v>297988.80224867247</v>
      </c>
      <c r="BN28" s="45">
        <f>'[2]Activity data'!BO549</f>
        <v>297085.20346334967</v>
      </c>
      <c r="BO28" s="45">
        <f>'[2]Activity data'!BP549</f>
        <v>296181.60467802687</v>
      </c>
      <c r="BP28" s="45">
        <f>'[2]Activity data'!BQ549</f>
        <v>295278.00589270401</v>
      </c>
      <c r="BR28" s="23"/>
    </row>
    <row r="29" spans="1:72" x14ac:dyDescent="0.25">
      <c r="A29" t="str">
        <f t="shared" si="8"/>
        <v>3C Aggregated and non-CO2 emissions on land</v>
      </c>
      <c r="B29" t="str">
        <f t="shared" si="8"/>
        <v>3C1 Biomass burning (CH4)</v>
      </c>
      <c r="C29" t="str">
        <f>C28</f>
        <v>3C1b Biomass burning in Croplands</v>
      </c>
      <c r="D29" t="s">
        <v>351</v>
      </c>
      <c r="E29" t="str">
        <f t="shared" si="6"/>
        <v>Annual pivot - Burnt area</v>
      </c>
      <c r="F29" t="s">
        <v>361</v>
      </c>
      <c r="G29" t="s">
        <v>646</v>
      </c>
      <c r="H29" s="21">
        <v>380372.14381539257</v>
      </c>
      <c r="I29" s="21">
        <v>380372.14381539257</v>
      </c>
      <c r="J29" s="21">
        <v>380372.14381539257</v>
      </c>
      <c r="K29" s="21">
        <v>380372.14381539257</v>
      </c>
      <c r="L29" s="21">
        <v>380372.14381539257</v>
      </c>
      <c r="M29" s="21">
        <v>380372.14381539257</v>
      </c>
      <c r="N29" s="21">
        <v>380372.14381539257</v>
      </c>
      <c r="O29" s="21">
        <v>380372.14381539257</v>
      </c>
      <c r="P29" s="21">
        <v>380372.14381539257</v>
      </c>
      <c r="Q29" s="21">
        <v>380372.14381539257</v>
      </c>
      <c r="R29" s="21">
        <v>411480.66343904054</v>
      </c>
      <c r="S29" s="21">
        <v>381184.35260544776</v>
      </c>
      <c r="T29" s="21">
        <v>466789.31314819655</v>
      </c>
      <c r="U29" s="21">
        <v>348488.33398305555</v>
      </c>
      <c r="V29" s="21">
        <v>293918.05590122234</v>
      </c>
      <c r="W29" s="21">
        <v>497547.10624886618</v>
      </c>
      <c r="X29" s="21">
        <v>507145.93740406388</v>
      </c>
      <c r="Y29" s="21">
        <v>286718.93253482407</v>
      </c>
      <c r="Z29" s="21">
        <v>331713.45357481338</v>
      </c>
      <c r="AA29" s="21">
        <v>328160.04011832189</v>
      </c>
      <c r="AB29" s="21">
        <v>370038.33</v>
      </c>
      <c r="AC29" s="21">
        <v>386575.74</v>
      </c>
      <c r="AD29" s="45">
        <f>'[2]Activity data'!AE550</f>
        <v>27272.800964105933</v>
      </c>
      <c r="AE29" s="45">
        <f>'[2]Activity data'!AF550</f>
        <v>28102.087515757019</v>
      </c>
      <c r="AF29" s="45">
        <f>'[2]Activity data'!AG550</f>
        <v>28931.374067408098</v>
      </c>
      <c r="AG29" s="45">
        <f>'[2]Activity data'!AH550</f>
        <v>29760.660619059196</v>
      </c>
      <c r="AH29" s="45">
        <f>'[2]Activity data'!AI550</f>
        <v>30589.947170710278</v>
      </c>
      <c r="AI29" s="45">
        <f>'[2]Activity data'!AJ550</f>
        <v>31419.233722361369</v>
      </c>
      <c r="AJ29" s="45">
        <f>'[2]Activity data'!AK550</f>
        <v>32248.520274012448</v>
      </c>
      <c r="AK29" s="45">
        <f>'[2]Activity data'!AL550</f>
        <v>33077.806825663531</v>
      </c>
      <c r="AL29" s="45">
        <f>'[2]Activity data'!AM550</f>
        <v>33907.093377314624</v>
      </c>
      <c r="AM29" s="45">
        <f>'[2]Activity data'!AN550</f>
        <v>34736.379928965718</v>
      </c>
      <c r="AN29" s="45">
        <f>'[2]Activity data'!AO550</f>
        <v>35565.666480616797</v>
      </c>
      <c r="AO29" s="45">
        <f>'[2]Activity data'!AP550</f>
        <v>36394.953032267884</v>
      </c>
      <c r="AP29" s="45">
        <f>'[2]Activity data'!AQ550</f>
        <v>37224.23958391897</v>
      </c>
      <c r="AQ29" s="45">
        <f>'[2]Activity data'!AR550</f>
        <v>38053.526135570057</v>
      </c>
      <c r="AR29" s="45">
        <f>'[2]Activity data'!AS550</f>
        <v>38882.812687221151</v>
      </c>
      <c r="AS29" s="45">
        <f>'[2]Activity data'!AT550</f>
        <v>39712.09923887223</v>
      </c>
      <c r="AT29" s="45">
        <f>'[2]Activity data'!AU550</f>
        <v>40541.385790523324</v>
      </c>
      <c r="AU29" s="45">
        <f>'[2]Activity data'!AV550</f>
        <v>41370.67234217441</v>
      </c>
      <c r="AV29" s="45">
        <f>'[2]Activity data'!AW550</f>
        <v>42199.958893825504</v>
      </c>
      <c r="AW29" s="45">
        <f>'[2]Activity data'!AX550</f>
        <v>43029.245445476583</v>
      </c>
      <c r="AX29" s="45">
        <f>'[2]Activity data'!AY550</f>
        <v>43858.531997127677</v>
      </c>
      <c r="AY29" s="45">
        <f>'[2]Activity data'!AZ550</f>
        <v>44687.818548778749</v>
      </c>
      <c r="AZ29" s="45">
        <f>'[2]Activity data'!BA550</f>
        <v>45517.105100429842</v>
      </c>
      <c r="BA29" s="45">
        <f>'[2]Activity data'!BB550</f>
        <v>46346.391652080929</v>
      </c>
      <c r="BB29" s="45">
        <f>'[2]Activity data'!BC550</f>
        <v>47175.678203732023</v>
      </c>
      <c r="BC29" s="45">
        <f>'[2]Activity data'!BD550</f>
        <v>48004.964755383102</v>
      </c>
      <c r="BD29" s="45">
        <f>'[2]Activity data'!BE550</f>
        <v>48834.251307034181</v>
      </c>
      <c r="BE29" s="45">
        <f>'[2]Activity data'!BF550</f>
        <v>49663.537858685289</v>
      </c>
      <c r="BF29" s="45">
        <f>'[2]Activity data'!BG550</f>
        <v>50492.824410336369</v>
      </c>
      <c r="BG29" s="45">
        <f>'[2]Activity data'!BH550</f>
        <v>51322.110961987448</v>
      </c>
      <c r="BH29" s="45">
        <f>'[2]Activity data'!BI550</f>
        <v>52151.397513638527</v>
      </c>
      <c r="BI29" s="45">
        <f>'[2]Activity data'!BJ550</f>
        <v>52980.684065289621</v>
      </c>
      <c r="BJ29" s="45">
        <f>'[2]Activity data'!BK550</f>
        <v>53809.970616940707</v>
      </c>
      <c r="BK29" s="45">
        <f>'[2]Activity data'!BL550</f>
        <v>54639.257168591786</v>
      </c>
      <c r="BL29" s="45">
        <f>'[2]Activity data'!BM550</f>
        <v>55468.54372024288</v>
      </c>
      <c r="BM29" s="45">
        <f>'[2]Activity data'!BN550</f>
        <v>56297.830271893945</v>
      </c>
      <c r="BN29" s="45">
        <f>'[2]Activity data'!BO550</f>
        <v>57127.116823545024</v>
      </c>
      <c r="BO29" s="45">
        <f>'[2]Activity data'!BP550</f>
        <v>57956.403375196111</v>
      </c>
      <c r="BP29" s="45">
        <f>'[2]Activity data'!BQ550</f>
        <v>58785.68992684719</v>
      </c>
      <c r="BR29" s="23"/>
    </row>
    <row r="30" spans="1:72" x14ac:dyDescent="0.25">
      <c r="A30" t="str">
        <f t="shared" si="8"/>
        <v>3C Aggregated and non-CO2 emissions on land</v>
      </c>
      <c r="B30" t="str">
        <f t="shared" si="8"/>
        <v>3C1 Biomass burning (CH4)</v>
      </c>
      <c r="C30" t="str">
        <f>C29</f>
        <v>3C1b Biomass burning in Croplands</v>
      </c>
      <c r="D30" t="s">
        <v>352</v>
      </c>
      <c r="E30" t="str">
        <f t="shared" si="6"/>
        <v>Perennial orchards - Burnt area</v>
      </c>
      <c r="F30" t="s">
        <v>361</v>
      </c>
      <c r="G30" t="s">
        <v>647</v>
      </c>
      <c r="H30" s="21">
        <v>2718.1305530824302</v>
      </c>
      <c r="I30" s="21">
        <v>2718.1305530824302</v>
      </c>
      <c r="J30" s="21">
        <v>2718.1305530824302</v>
      </c>
      <c r="K30" s="21">
        <v>2718.1305530824302</v>
      </c>
      <c r="L30" s="21">
        <v>2718.1305530824302</v>
      </c>
      <c r="M30" s="21">
        <v>2718.1305530824302</v>
      </c>
      <c r="N30" s="21">
        <v>2718.1305530824302</v>
      </c>
      <c r="O30" s="21">
        <v>2718.1305530824302</v>
      </c>
      <c r="P30" s="21">
        <v>2718.1305530824302</v>
      </c>
      <c r="Q30" s="21">
        <v>2718.1305530824302</v>
      </c>
      <c r="R30" s="21">
        <v>2076.6702018456599</v>
      </c>
      <c r="S30" s="21">
        <v>3991.8216102144347</v>
      </c>
      <c r="T30" s="21">
        <v>2907.3382825839235</v>
      </c>
      <c r="U30" s="21">
        <v>2976.5606226454456</v>
      </c>
      <c r="V30" s="21">
        <v>1638.262048122687</v>
      </c>
      <c r="W30" s="21">
        <v>3691.8581366145063</v>
      </c>
      <c r="X30" s="21">
        <v>2561.2265822763138</v>
      </c>
      <c r="Y30" s="21">
        <v>4453.3038772912478</v>
      </c>
      <c r="Z30" s="21">
        <v>5676.2318850448037</v>
      </c>
      <c r="AA30" s="21">
        <v>2422.7819021532696</v>
      </c>
      <c r="AB30" s="21">
        <v>4072.41</v>
      </c>
      <c r="AC30" s="21">
        <v>3114.81</v>
      </c>
      <c r="AD30" s="45">
        <f>'[2]Activity data'!AE551</f>
        <v>3227.9349368076064</v>
      </c>
      <c r="AE30" s="45">
        <f>'[2]Activity data'!AF551</f>
        <v>3255.5028892035903</v>
      </c>
      <c r="AF30" s="45">
        <f>'[2]Activity data'!AG551</f>
        <v>3283.0708415995737</v>
      </c>
      <c r="AG30" s="45">
        <f>'[2]Activity data'!AH551</f>
        <v>3310.6387939955575</v>
      </c>
      <c r="AH30" s="45">
        <f>'[2]Activity data'!AI551</f>
        <v>3338.2067463915409</v>
      </c>
      <c r="AI30" s="45">
        <f>'[2]Activity data'!AJ551</f>
        <v>3365.7746987875248</v>
      </c>
      <c r="AJ30" s="45">
        <f>'[2]Activity data'!AK551</f>
        <v>3393.3426511835082</v>
      </c>
      <c r="AK30" s="45">
        <f>'[2]Activity data'!AL551</f>
        <v>3420.9106035794921</v>
      </c>
      <c r="AL30" s="45">
        <f>'[2]Activity data'!AM551</f>
        <v>3448.4785559754755</v>
      </c>
      <c r="AM30" s="45">
        <f>'[2]Activity data'!AN551</f>
        <v>3476.0465083714594</v>
      </c>
      <c r="AN30" s="45">
        <f>'[2]Activity data'!AO551</f>
        <v>3503.6144607674428</v>
      </c>
      <c r="AO30" s="45">
        <f>'[2]Activity data'!AP551</f>
        <v>3531.1824131634266</v>
      </c>
      <c r="AP30" s="45">
        <f>'[2]Activity data'!AQ551</f>
        <v>3558.7503655594105</v>
      </c>
      <c r="AQ30" s="45">
        <f>'[2]Activity data'!AR551</f>
        <v>3586.3183179553939</v>
      </c>
      <c r="AR30" s="45">
        <f>'[2]Activity data'!AS551</f>
        <v>3613.8862703513778</v>
      </c>
      <c r="AS30" s="45">
        <f>'[2]Activity data'!AT551</f>
        <v>3641.4542227473612</v>
      </c>
      <c r="AT30" s="45">
        <f>'[2]Activity data'!AU551</f>
        <v>3669.0221751433451</v>
      </c>
      <c r="AU30" s="45">
        <f>'[2]Activity data'!AV551</f>
        <v>3696.5901275393285</v>
      </c>
      <c r="AV30" s="45">
        <f>'[2]Activity data'!AW551</f>
        <v>3724.1580799353123</v>
      </c>
      <c r="AW30" s="45">
        <f>'[2]Activity data'!AX551</f>
        <v>3751.7260323312958</v>
      </c>
      <c r="AX30" s="45">
        <f>'[2]Activity data'!AY551</f>
        <v>3779.2939847272796</v>
      </c>
      <c r="AY30" s="45">
        <f>'[2]Activity data'!AZ551</f>
        <v>3806.861937123263</v>
      </c>
      <c r="AZ30" s="45">
        <f>'[2]Activity data'!BA551</f>
        <v>3834.4298895192469</v>
      </c>
      <c r="BA30" s="45">
        <f>'[2]Activity data'!BB551</f>
        <v>3861.9978419152303</v>
      </c>
      <c r="BB30" s="45">
        <f>'[2]Activity data'!BC551</f>
        <v>3889.5657943112142</v>
      </c>
      <c r="BC30" s="45">
        <f>'[2]Activity data'!BD551</f>
        <v>3917.1337467071976</v>
      </c>
      <c r="BD30" s="45">
        <f>'[2]Activity data'!BE551</f>
        <v>3944.7016991031815</v>
      </c>
      <c r="BE30" s="45">
        <f>'[2]Activity data'!BF551</f>
        <v>3972.2696514991649</v>
      </c>
      <c r="BF30" s="45">
        <f>'[2]Activity data'!BG551</f>
        <v>3999.8376038951487</v>
      </c>
      <c r="BG30" s="45">
        <f>'[2]Activity data'!BH551</f>
        <v>4027.4055562911321</v>
      </c>
      <c r="BH30" s="45">
        <f>'[2]Activity data'!BI551</f>
        <v>4054.973508687116</v>
      </c>
      <c r="BI30" s="45">
        <f>'[2]Activity data'!BJ551</f>
        <v>4082.5414610830994</v>
      </c>
      <c r="BJ30" s="45">
        <f>'[2]Activity data'!BK551</f>
        <v>4110.1094134790837</v>
      </c>
      <c r="BK30" s="45">
        <f>'[2]Activity data'!BL551</f>
        <v>4137.6773658750672</v>
      </c>
      <c r="BL30" s="45">
        <f>'[2]Activity data'!BM551</f>
        <v>4165.2453182710506</v>
      </c>
      <c r="BM30" s="45">
        <f>'[2]Activity data'!BN551</f>
        <v>4192.813270667034</v>
      </c>
      <c r="BN30" s="45">
        <f>'[2]Activity data'!BO551</f>
        <v>4220.3812230630174</v>
      </c>
      <c r="BO30" s="45">
        <f>'[2]Activity data'!BP551</f>
        <v>4247.9491754590017</v>
      </c>
      <c r="BP30" s="45">
        <f>'[2]Activity data'!BQ551</f>
        <v>4275.5171278549851</v>
      </c>
      <c r="BR30" s="23"/>
    </row>
    <row r="31" spans="1:72" x14ac:dyDescent="0.25">
      <c r="A31" t="str">
        <f t="shared" si="8"/>
        <v>3C Aggregated and non-CO2 emissions on land</v>
      </c>
      <c r="B31" t="str">
        <f t="shared" si="8"/>
        <v>3C1 Biomass burning (CH4)</v>
      </c>
      <c r="C31" t="str">
        <f>C30</f>
        <v>3C1b Biomass burning in Croplands</v>
      </c>
      <c r="D31" t="s">
        <v>353</v>
      </c>
      <c r="E31" t="str">
        <f t="shared" si="6"/>
        <v>Perennial vineyards - Burnt area</v>
      </c>
      <c r="F31" t="s">
        <v>361</v>
      </c>
      <c r="G31" t="s">
        <v>648</v>
      </c>
      <c r="H31" s="21">
        <v>650.6899965783067</v>
      </c>
      <c r="I31" s="21">
        <v>650.6899965783067</v>
      </c>
      <c r="J31" s="21">
        <v>650.6899965783067</v>
      </c>
      <c r="K31" s="21">
        <v>650.6899965783067</v>
      </c>
      <c r="L31" s="21">
        <v>650.6899965783067</v>
      </c>
      <c r="M31" s="21">
        <v>650.6899965783067</v>
      </c>
      <c r="N31" s="21">
        <v>650.6899965783067</v>
      </c>
      <c r="O31" s="21">
        <v>650.6899965783067</v>
      </c>
      <c r="P31" s="21">
        <v>650.6899965783067</v>
      </c>
      <c r="Q31" s="21">
        <v>650.6899965783067</v>
      </c>
      <c r="R31" s="21">
        <v>1015.2609875689892</v>
      </c>
      <c r="S31" s="21">
        <v>669.14928726137919</v>
      </c>
      <c r="T31" s="21">
        <v>530.70460713833518</v>
      </c>
      <c r="U31" s="21">
        <v>830.66808073826394</v>
      </c>
      <c r="V31" s="21">
        <v>207.66702018456598</v>
      </c>
      <c r="W31" s="21">
        <v>576.85283384601667</v>
      </c>
      <c r="X31" s="21">
        <v>1153.7056676920333</v>
      </c>
      <c r="Y31" s="21">
        <v>553.77872049217592</v>
      </c>
      <c r="Z31" s="21">
        <v>415.33404036913197</v>
      </c>
      <c r="AA31" s="21">
        <v>623.00106055369793</v>
      </c>
      <c r="AB31" s="21">
        <v>1034.0999999999999</v>
      </c>
      <c r="AC31" s="21">
        <v>2728.53</v>
      </c>
      <c r="AD31" s="45">
        <f>'[2]Activity data'!AE552</f>
        <v>892.04273910080849</v>
      </c>
      <c r="AE31" s="45">
        <f>'[2]Activity data'!AF552</f>
        <v>897.91643360164323</v>
      </c>
      <c r="AF31" s="45">
        <f>'[2]Activity data'!AG552</f>
        <v>903.79012810247798</v>
      </c>
      <c r="AG31" s="45">
        <f>'[2]Activity data'!AH552</f>
        <v>909.66382260331272</v>
      </c>
      <c r="AH31" s="45">
        <f>'[2]Activity data'!AI552</f>
        <v>915.53751710414724</v>
      </c>
      <c r="AI31" s="45">
        <f>'[2]Activity data'!AJ552</f>
        <v>921.41121160498199</v>
      </c>
      <c r="AJ31" s="45">
        <f>'[2]Activity data'!AK552</f>
        <v>927.28490610581673</v>
      </c>
      <c r="AK31" s="45">
        <f>'[2]Activity data'!AL552</f>
        <v>933.15860060665148</v>
      </c>
      <c r="AL31" s="45">
        <f>'[2]Activity data'!AM552</f>
        <v>939.03229510748622</v>
      </c>
      <c r="AM31" s="45">
        <f>'[2]Activity data'!AN552</f>
        <v>944.90598960832097</v>
      </c>
      <c r="AN31" s="45">
        <f>'[2]Activity data'!AO552</f>
        <v>950.77968410915571</v>
      </c>
      <c r="AO31" s="45">
        <f>'[2]Activity data'!AP552</f>
        <v>956.65337860999045</v>
      </c>
      <c r="AP31" s="45">
        <f>'[2]Activity data'!AQ552</f>
        <v>962.5270731108252</v>
      </c>
      <c r="AQ31" s="45">
        <f>'[2]Activity data'!AR552</f>
        <v>968.40076761165994</v>
      </c>
      <c r="AR31" s="45">
        <f>'[2]Activity data'!AS552</f>
        <v>974.27446211249469</v>
      </c>
      <c r="AS31" s="45">
        <f>'[2]Activity data'!AT552</f>
        <v>980.14815661332921</v>
      </c>
      <c r="AT31" s="45">
        <f>'[2]Activity data'!AU552</f>
        <v>986.02185111416395</v>
      </c>
      <c r="AU31" s="45">
        <f>'[2]Activity data'!AV552</f>
        <v>991.8955456149987</v>
      </c>
      <c r="AV31" s="45">
        <f>'[2]Activity data'!AW552</f>
        <v>997.76924011583344</v>
      </c>
      <c r="AW31" s="45">
        <f>'[2]Activity data'!AX552</f>
        <v>1003.6429346166682</v>
      </c>
      <c r="AX31" s="45">
        <f>'[2]Activity data'!AY552</f>
        <v>1009.5166291175029</v>
      </c>
      <c r="AY31" s="45">
        <f>'[2]Activity data'!AZ552</f>
        <v>1015.3903236183377</v>
      </c>
      <c r="AZ31" s="45">
        <f>'[2]Activity data'!BA552</f>
        <v>1021.2640181191724</v>
      </c>
      <c r="BA31" s="45">
        <f>'[2]Activity data'!BB552</f>
        <v>1027.1377126200073</v>
      </c>
      <c r="BB31" s="45">
        <f>'[2]Activity data'!BC552</f>
        <v>1033.011407120842</v>
      </c>
      <c r="BC31" s="45">
        <f>'[2]Activity data'!BD552</f>
        <v>1038.885101621677</v>
      </c>
      <c r="BD31" s="45">
        <f>'[2]Activity data'!BE552</f>
        <v>1044.7587961225115</v>
      </c>
      <c r="BE31" s="45">
        <f>'[2]Activity data'!BF552</f>
        <v>1050.6324906233463</v>
      </c>
      <c r="BF31" s="45">
        <f>'[2]Activity data'!BG552</f>
        <v>1056.506185124181</v>
      </c>
      <c r="BG31" s="45">
        <f>'[2]Activity data'!BH552</f>
        <v>1062.3798796250157</v>
      </c>
      <c r="BH31" s="45">
        <f>'[2]Activity data'!BI552</f>
        <v>1068.2535741258505</v>
      </c>
      <c r="BI31" s="45">
        <f>'[2]Activity data'!BJ552</f>
        <v>1074.1272686266852</v>
      </c>
      <c r="BJ31" s="45">
        <f>'[2]Activity data'!BK552</f>
        <v>1080.00096312752</v>
      </c>
      <c r="BK31" s="45">
        <f>'[2]Activity data'!BL552</f>
        <v>1085.8746576283547</v>
      </c>
      <c r="BL31" s="45">
        <f>'[2]Activity data'!BM552</f>
        <v>1091.7483521291895</v>
      </c>
      <c r="BM31" s="45">
        <f>'[2]Activity data'!BN552</f>
        <v>1097.6220466300242</v>
      </c>
      <c r="BN31" s="45">
        <f>'[2]Activity data'!BO552</f>
        <v>1103.495741130859</v>
      </c>
      <c r="BO31" s="45">
        <f>'[2]Activity data'!BP552</f>
        <v>1109.3694356316935</v>
      </c>
      <c r="BP31" s="45">
        <f>'[2]Activity data'!BQ552</f>
        <v>1115.2431301325282</v>
      </c>
      <c r="BR31" s="23"/>
    </row>
    <row r="32" spans="1:72" x14ac:dyDescent="0.25">
      <c r="A32" t="str">
        <f t="shared" si="8"/>
        <v>3C Aggregated and non-CO2 emissions on land</v>
      </c>
      <c r="B32" t="str">
        <f t="shared" si="8"/>
        <v>3C1 Biomass burning (CH4)</v>
      </c>
      <c r="C32" t="str">
        <f>C31</f>
        <v>3C1b Biomass burning in Croplands</v>
      </c>
      <c r="D32" t="s">
        <v>354</v>
      </c>
      <c r="E32" t="str">
        <f t="shared" si="6"/>
        <v>Cropland subsistence - Burnt area</v>
      </c>
      <c r="F32" t="s">
        <v>361</v>
      </c>
      <c r="G32" t="s">
        <v>649</v>
      </c>
      <c r="H32" s="21">
        <v>121475.97716262956</v>
      </c>
      <c r="I32" s="21">
        <v>121475.97716262956</v>
      </c>
      <c r="J32" s="21">
        <v>121475.97716262956</v>
      </c>
      <c r="K32" s="21">
        <v>121475.97716262956</v>
      </c>
      <c r="L32" s="21">
        <v>121475.97716262956</v>
      </c>
      <c r="M32" s="21">
        <v>121475.97716262956</v>
      </c>
      <c r="N32" s="21">
        <v>121475.97716262956</v>
      </c>
      <c r="O32" s="21">
        <v>121475.97716262956</v>
      </c>
      <c r="P32" s="21">
        <v>121475.97716262956</v>
      </c>
      <c r="Q32" s="21">
        <v>121475.97716262956</v>
      </c>
      <c r="R32" s="21">
        <v>110986.48523197359</v>
      </c>
      <c r="S32" s="21">
        <v>166133.61614765276</v>
      </c>
      <c r="T32" s="21">
        <v>130807.14860292274</v>
      </c>
      <c r="U32" s="21">
        <v>110963.41111861976</v>
      </c>
      <c r="V32" s="21">
        <v>88489.224711978939</v>
      </c>
      <c r="W32" s="21">
        <v>191815.10431047744</v>
      </c>
      <c r="X32" s="21">
        <v>150304.77438691808</v>
      </c>
      <c r="Y32" s="21">
        <v>232748.58140019077</v>
      </c>
      <c r="Z32" s="21">
        <v>140036.793944459</v>
      </c>
      <c r="AA32" s="21">
        <v>165649.05976722212</v>
      </c>
      <c r="AB32" s="21">
        <v>111287.7</v>
      </c>
      <c r="AC32" s="21">
        <v>75544.47</v>
      </c>
      <c r="AD32" s="45">
        <f>'[2]Activity data'!AE553</f>
        <v>111446.90580100549</v>
      </c>
      <c r="AE32" s="45">
        <f>'[2]Activity data'!AF553</f>
        <v>111463.54344556993</v>
      </c>
      <c r="AF32" s="45">
        <f>'[2]Activity data'!AG553</f>
        <v>111480.18109013437</v>
      </c>
      <c r="AG32" s="45">
        <f>'[2]Activity data'!AH553</f>
        <v>111496.81873469881</v>
      </c>
      <c r="AH32" s="45">
        <f>'[2]Activity data'!AI553</f>
        <v>111513.45637926325</v>
      </c>
      <c r="AI32" s="45">
        <f>'[2]Activity data'!AJ553</f>
        <v>111530.0940238277</v>
      </c>
      <c r="AJ32" s="45">
        <f>'[2]Activity data'!AK553</f>
        <v>111546.73166839214</v>
      </c>
      <c r="AK32" s="45">
        <f>'[2]Activity data'!AL553</f>
        <v>111563.36931295661</v>
      </c>
      <c r="AL32" s="45">
        <f>'[2]Activity data'!AM553</f>
        <v>111580.00695752105</v>
      </c>
      <c r="AM32" s="45">
        <f>'[2]Activity data'!AN553</f>
        <v>111596.64460208549</v>
      </c>
      <c r="AN32" s="45">
        <f>'[2]Activity data'!AO553</f>
        <v>111613.28224664993</v>
      </c>
      <c r="AO32" s="45">
        <f>'[2]Activity data'!AP553</f>
        <v>111629.91989121438</v>
      </c>
      <c r="AP32" s="45">
        <f>'[2]Activity data'!AQ553</f>
        <v>111646.55753577882</v>
      </c>
      <c r="AQ32" s="45">
        <f>'[2]Activity data'!AR553</f>
        <v>111663.19518034326</v>
      </c>
      <c r="AR32" s="45">
        <f>'[2]Activity data'!AS553</f>
        <v>111679.83282490773</v>
      </c>
      <c r="AS32" s="45">
        <f>'[2]Activity data'!AT553</f>
        <v>111696.47046947217</v>
      </c>
      <c r="AT32" s="45">
        <f>'[2]Activity data'!AU553</f>
        <v>111713.10811403662</v>
      </c>
      <c r="AU32" s="45">
        <f>'[2]Activity data'!AV553</f>
        <v>111729.74575860106</v>
      </c>
      <c r="AV32" s="45">
        <f>'[2]Activity data'!AW553</f>
        <v>111746.3834031655</v>
      </c>
      <c r="AW32" s="45">
        <f>'[2]Activity data'!AX553</f>
        <v>111763.02104772994</v>
      </c>
      <c r="AX32" s="45">
        <f>'[2]Activity data'!AY553</f>
        <v>111779.65869229441</v>
      </c>
      <c r="AY32" s="45">
        <f>'[2]Activity data'!AZ553</f>
        <v>111796.29633685885</v>
      </c>
      <c r="AZ32" s="45">
        <f>'[2]Activity data'!BA553</f>
        <v>111812.9339814233</v>
      </c>
      <c r="BA32" s="45">
        <f>'[2]Activity data'!BB553</f>
        <v>111829.57162598774</v>
      </c>
      <c r="BB32" s="45">
        <f>'[2]Activity data'!BC553</f>
        <v>111846.20927055218</v>
      </c>
      <c r="BC32" s="45">
        <f>'[2]Activity data'!BD553</f>
        <v>111862.84691511662</v>
      </c>
      <c r="BD32" s="45">
        <f>'[2]Activity data'!BE553</f>
        <v>111879.48455968106</v>
      </c>
      <c r="BE32" s="45">
        <f>'[2]Activity data'!BF553</f>
        <v>111896.12220424553</v>
      </c>
      <c r="BF32" s="45">
        <f>'[2]Activity data'!BG553</f>
        <v>111912.75984880998</v>
      </c>
      <c r="BG32" s="45">
        <f>'[2]Activity data'!BH553</f>
        <v>111929.39749337442</v>
      </c>
      <c r="BH32" s="45">
        <f>'[2]Activity data'!BI553</f>
        <v>111946.03513793886</v>
      </c>
      <c r="BI32" s="45">
        <f>'[2]Activity data'!BJ553</f>
        <v>111962.6727825033</v>
      </c>
      <c r="BJ32" s="45">
        <f>'[2]Activity data'!BK553</f>
        <v>111979.31042706774</v>
      </c>
      <c r="BK32" s="45">
        <f>'[2]Activity data'!BL553</f>
        <v>111995.94807163219</v>
      </c>
      <c r="BL32" s="45">
        <f>'[2]Activity data'!BM553</f>
        <v>112012.58571619666</v>
      </c>
      <c r="BM32" s="45">
        <f>'[2]Activity data'!BN553</f>
        <v>112029.2233607611</v>
      </c>
      <c r="BN32" s="45">
        <f>'[2]Activity data'!BO553</f>
        <v>112045.86100532554</v>
      </c>
      <c r="BO32" s="45">
        <f>'[2]Activity data'!BP553</f>
        <v>112062.49864988998</v>
      </c>
      <c r="BP32" s="45">
        <f>'[2]Activity data'!BQ553</f>
        <v>112079.13629445442</v>
      </c>
      <c r="BR32" s="23"/>
    </row>
    <row r="33" spans="1:72" x14ac:dyDescent="0.25">
      <c r="A33" t="str">
        <f t="shared" si="8"/>
        <v>3C Aggregated and non-CO2 emissions on land</v>
      </c>
      <c r="B33" t="str">
        <f t="shared" si="8"/>
        <v>3C1 Biomass burning (CH4)</v>
      </c>
      <c r="C33" t="str">
        <f>'IPCC Categories'!C61</f>
        <v>3C1c Biomass burning in Grasslands</v>
      </c>
      <c r="D33" t="s">
        <v>355</v>
      </c>
      <c r="E33" t="str">
        <f t="shared" si="6"/>
        <v>Grasslands - Burnt area</v>
      </c>
      <c r="F33" t="s">
        <v>361</v>
      </c>
      <c r="G33" t="s">
        <v>650</v>
      </c>
      <c r="H33" s="21">
        <v>2387838.4648902137</v>
      </c>
      <c r="I33" s="21">
        <v>2387838.4648902137</v>
      </c>
      <c r="J33" s="21">
        <v>2387838.4648902137</v>
      </c>
      <c r="K33" s="21">
        <v>2387838.4648902137</v>
      </c>
      <c r="L33" s="21">
        <v>2387838.4648902137</v>
      </c>
      <c r="M33" s="21">
        <v>2387838.4648902137</v>
      </c>
      <c r="N33" s="21">
        <v>2387838.4648902137</v>
      </c>
      <c r="O33" s="21">
        <v>2387838.4648902137</v>
      </c>
      <c r="P33" s="21">
        <v>2387838.4648902137</v>
      </c>
      <c r="Q33" s="21">
        <v>2387838.4648902137</v>
      </c>
      <c r="R33" s="21">
        <v>2371995.7786614662</v>
      </c>
      <c r="S33" s="21">
        <v>2712685.0623309235</v>
      </c>
      <c r="T33" s="21">
        <v>2759663.9571193433</v>
      </c>
      <c r="U33" s="21">
        <v>2215091.8078553495</v>
      </c>
      <c r="V33" s="21">
        <v>1879755.7184839835</v>
      </c>
      <c r="W33" s="21">
        <v>2920305.9342887821</v>
      </c>
      <c r="X33" s="21">
        <v>2572463.6754796347</v>
      </c>
      <c r="Y33" s="21">
        <v>2423589.496120654</v>
      </c>
      <c r="Z33" s="21">
        <v>2252194.9821283258</v>
      </c>
      <c r="AA33" s="21">
        <v>2329700.9288838757</v>
      </c>
      <c r="AB33" s="21">
        <v>2008702.26</v>
      </c>
      <c r="AC33" s="21">
        <v>2040577.5599999998</v>
      </c>
      <c r="AD33" s="45">
        <f>'[2]Activity data'!AE554</f>
        <v>2029778.8780198463</v>
      </c>
      <c r="AE33" s="45">
        <f>'[2]Activity data'!AF554</f>
        <v>2042800.9812413759</v>
      </c>
      <c r="AF33" s="45">
        <f>'[2]Activity data'!AG554</f>
        <v>2055823.0844629053</v>
      </c>
      <c r="AG33" s="45">
        <f>'[2]Activity data'!AH554</f>
        <v>2068845.1876844347</v>
      </c>
      <c r="AH33" s="45">
        <f>'[2]Activity data'!AI554</f>
        <v>2081867.2909059643</v>
      </c>
      <c r="AI33" s="45">
        <f>'[2]Activity data'!AJ554</f>
        <v>2094889.3941274937</v>
      </c>
      <c r="AJ33" s="45">
        <f>'[2]Activity data'!AK554</f>
        <v>2107911.4973490234</v>
      </c>
      <c r="AK33" s="45">
        <f>'[2]Activity data'!AL554</f>
        <v>2129780.2741153426</v>
      </c>
      <c r="AL33" s="45">
        <f>'[2]Activity data'!AM554</f>
        <v>2151649.0508816615</v>
      </c>
      <c r="AM33" s="45">
        <f>'[2]Activity data'!AN554</f>
        <v>2173517.8276479808</v>
      </c>
      <c r="AN33" s="45">
        <f>'[2]Activity data'!AO554</f>
        <v>2195386.6044142996</v>
      </c>
      <c r="AO33" s="45">
        <f>'[2]Activity data'!AP554</f>
        <v>2217255.3811806189</v>
      </c>
      <c r="AP33" s="45">
        <f>'[2]Activity data'!AQ554</f>
        <v>2239124.1579469377</v>
      </c>
      <c r="AQ33" s="45">
        <f>'[2]Activity data'!AR554</f>
        <v>2260992.934713257</v>
      </c>
      <c r="AR33" s="45">
        <f>'[2]Activity data'!AS554</f>
        <v>2282861.7114795758</v>
      </c>
      <c r="AS33" s="45">
        <f>'[2]Activity data'!AT554</f>
        <v>2304730.4882458951</v>
      </c>
      <c r="AT33" s="45">
        <f>'[2]Activity data'!AU554</f>
        <v>2326599.2650122144</v>
      </c>
      <c r="AU33" s="45">
        <f>'[2]Activity data'!AV554</f>
        <v>2348468.0417785333</v>
      </c>
      <c r="AV33" s="45">
        <f>'[2]Activity data'!AW554</f>
        <v>2370336.8185448521</v>
      </c>
      <c r="AW33" s="45">
        <f>'[2]Activity data'!AX554</f>
        <v>2392578.6068636663</v>
      </c>
      <c r="AX33" s="45">
        <f>'[2]Activity data'!AY554</f>
        <v>2414820.3951824801</v>
      </c>
      <c r="AY33" s="45">
        <f>'[2]Activity data'!AZ554</f>
        <v>2437062.1835012939</v>
      </c>
      <c r="AZ33" s="45">
        <f>'[2]Activity data'!BA554</f>
        <v>2459303.9718201077</v>
      </c>
      <c r="BA33" s="45">
        <f>'[2]Activity data'!BB554</f>
        <v>2481545.7601389214</v>
      </c>
      <c r="BB33" s="45">
        <f>'[2]Activity data'!BC554</f>
        <v>2503787.5484577357</v>
      </c>
      <c r="BC33" s="45">
        <f>'[2]Activity data'!BD554</f>
        <v>2526029.336776549</v>
      </c>
      <c r="BD33" s="45">
        <f>'[2]Activity data'!BE554</f>
        <v>2548271.1250953628</v>
      </c>
      <c r="BE33" s="45">
        <f>'[2]Activity data'!BF554</f>
        <v>2570512.9134141766</v>
      </c>
      <c r="BF33" s="45">
        <f>'[2]Activity data'!BG554</f>
        <v>2592754.7017329903</v>
      </c>
      <c r="BG33" s="45">
        <f>'[2]Activity data'!BH554</f>
        <v>2614996.4900518041</v>
      </c>
      <c r="BH33" s="45">
        <f>'[2]Activity data'!BI554</f>
        <v>2637238.2783706179</v>
      </c>
      <c r="BI33" s="45">
        <f>'[2]Activity data'!BJ554</f>
        <v>2659480.0666894317</v>
      </c>
      <c r="BJ33" s="45">
        <f>'[2]Activity data'!BK554</f>
        <v>2681721.8550082454</v>
      </c>
      <c r="BK33" s="45">
        <f>'[2]Activity data'!BL554</f>
        <v>2703963.6433270597</v>
      </c>
      <c r="BL33" s="45">
        <f>'[2]Activity data'!BM554</f>
        <v>2726205.4316458735</v>
      </c>
      <c r="BM33" s="45">
        <f>'[2]Activity data'!BN554</f>
        <v>2748447.2199646872</v>
      </c>
      <c r="BN33" s="45">
        <f>'[2]Activity data'!BO554</f>
        <v>2770689.008283501</v>
      </c>
      <c r="BO33" s="45">
        <f>'[2]Activity data'!BP554</f>
        <v>2792930.7966023148</v>
      </c>
      <c r="BP33" s="45">
        <f>'[2]Activity data'!BQ554</f>
        <v>2815172.5849211286</v>
      </c>
      <c r="BR33" s="23"/>
    </row>
    <row r="34" spans="1:72" x14ac:dyDescent="0.25">
      <c r="A34" t="str">
        <f t="shared" si="8"/>
        <v>3C Aggregated and non-CO2 emissions on land</v>
      </c>
      <c r="B34" t="str">
        <f t="shared" si="8"/>
        <v>3C1 Biomass burning (CH4)</v>
      </c>
      <c r="C34" t="str">
        <f>C33</f>
        <v>3C1c Biomass burning in Grasslands</v>
      </c>
      <c r="D34" t="s">
        <v>356</v>
      </c>
      <c r="E34" t="str">
        <f t="shared" si="6"/>
        <v>Low shrublands - Burnt area</v>
      </c>
      <c r="F34" t="s">
        <v>361</v>
      </c>
      <c r="G34" t="s">
        <v>651</v>
      </c>
      <c r="H34" s="21">
        <v>178542.87430934826</v>
      </c>
      <c r="I34" s="21">
        <v>178542.87430934826</v>
      </c>
      <c r="J34" s="21">
        <v>178542.87430934826</v>
      </c>
      <c r="K34" s="21">
        <v>178542.87430934826</v>
      </c>
      <c r="L34" s="21">
        <v>178542.87430934826</v>
      </c>
      <c r="M34" s="21">
        <v>178542.87430934826</v>
      </c>
      <c r="N34" s="21">
        <v>178542.87430934826</v>
      </c>
      <c r="O34" s="21">
        <v>178542.87430934826</v>
      </c>
      <c r="P34" s="21">
        <v>178542.87430934826</v>
      </c>
      <c r="Q34" s="21">
        <v>178542.87430934826</v>
      </c>
      <c r="R34" s="21">
        <v>150097.10736673351</v>
      </c>
      <c r="S34" s="21">
        <v>126284.62238556995</v>
      </c>
      <c r="T34" s="21">
        <v>307393.3380998653</v>
      </c>
      <c r="U34" s="21">
        <v>191745.88197041591</v>
      </c>
      <c r="V34" s="21">
        <v>117193.42172415672</v>
      </c>
      <c r="W34" s="21">
        <v>198875.78299675265</v>
      </c>
      <c r="X34" s="21">
        <v>154365.81833719404</v>
      </c>
      <c r="Y34" s="21">
        <v>132837.67057806067</v>
      </c>
      <c r="Z34" s="21">
        <v>160872.7183029771</v>
      </c>
      <c r="AA34" s="21">
        <v>215212.25525127185</v>
      </c>
      <c r="AB34" s="21">
        <v>515229.30000000005</v>
      </c>
      <c r="AC34" s="21">
        <v>517662.54000000004</v>
      </c>
      <c r="AD34" s="45">
        <f>'[2]Activity data'!AE555</f>
        <v>273139.2561664434</v>
      </c>
      <c r="AE34" s="45">
        <f>'[2]Activity data'!AF555</f>
        <v>272318.52883358276</v>
      </c>
      <c r="AF34" s="45">
        <f>'[2]Activity data'!AG555</f>
        <v>271497.80150072213</v>
      </c>
      <c r="AG34" s="45">
        <f>'[2]Activity data'!AH555</f>
        <v>270677.07416786149</v>
      </c>
      <c r="AH34" s="45">
        <f>'[2]Activity data'!AI555</f>
        <v>269856.34683500085</v>
      </c>
      <c r="AI34" s="45">
        <f>'[2]Activity data'!AJ555</f>
        <v>269035.61950214021</v>
      </c>
      <c r="AJ34" s="45">
        <f>'[2]Activity data'!AK555</f>
        <v>268214.89216927957</v>
      </c>
      <c r="AK34" s="45">
        <f>'[2]Activity data'!AL555</f>
        <v>267394.16483641899</v>
      </c>
      <c r="AL34" s="45">
        <f>'[2]Activity data'!AM555</f>
        <v>266573.43750355835</v>
      </c>
      <c r="AM34" s="45">
        <f>'[2]Activity data'!AN555</f>
        <v>265752.71017069771</v>
      </c>
      <c r="AN34" s="45">
        <f>'[2]Activity data'!AO555</f>
        <v>264931.98283783707</v>
      </c>
      <c r="AO34" s="45">
        <f>'[2]Activity data'!AP555</f>
        <v>264111.25550497643</v>
      </c>
      <c r="AP34" s="45">
        <f>'[2]Activity data'!AQ555</f>
        <v>263290.5281721158</v>
      </c>
      <c r="AQ34" s="45">
        <f>'[2]Activity data'!AR555</f>
        <v>262469.80083925516</v>
      </c>
      <c r="AR34" s="45">
        <f>'[2]Activity data'!AS555</f>
        <v>261649.07350639458</v>
      </c>
      <c r="AS34" s="45">
        <f>'[2]Activity data'!AT555</f>
        <v>260828.34617353394</v>
      </c>
      <c r="AT34" s="45">
        <f>'[2]Activity data'!AU555</f>
        <v>260007.6188406733</v>
      </c>
      <c r="AU34" s="45">
        <f>'[2]Activity data'!AV555</f>
        <v>259186.89150781266</v>
      </c>
      <c r="AV34" s="45">
        <f>'[2]Activity data'!AW555</f>
        <v>258366.16417495205</v>
      </c>
      <c r="AW34" s="45">
        <f>'[2]Activity data'!AX555</f>
        <v>257545.43684209141</v>
      </c>
      <c r="AX34" s="45">
        <f>'[2]Activity data'!AY555</f>
        <v>256724.70950923077</v>
      </c>
      <c r="AY34" s="45">
        <f>'[2]Activity data'!AZ555</f>
        <v>255903.98217637016</v>
      </c>
      <c r="AZ34" s="45">
        <f>'[2]Activity data'!BA555</f>
        <v>255083.25484350952</v>
      </c>
      <c r="BA34" s="45">
        <f>'[2]Activity data'!BB555</f>
        <v>254262.52751064888</v>
      </c>
      <c r="BB34" s="45">
        <f>'[2]Activity data'!BC555</f>
        <v>253441.80017778825</v>
      </c>
      <c r="BC34" s="45">
        <f>'[2]Activity data'!BD555</f>
        <v>252621.07284492764</v>
      </c>
      <c r="BD34" s="45">
        <f>'[2]Activity data'!BE555</f>
        <v>251800.345512067</v>
      </c>
      <c r="BE34" s="45">
        <f>'[2]Activity data'!BF555</f>
        <v>250979.61817920636</v>
      </c>
      <c r="BF34" s="45">
        <f>'[2]Activity data'!BG555</f>
        <v>250158.89084634575</v>
      </c>
      <c r="BG34" s="45">
        <f>'[2]Activity data'!BH555</f>
        <v>249338.16351348511</v>
      </c>
      <c r="BH34" s="45">
        <f>'[2]Activity data'!BI555</f>
        <v>248517.43618062447</v>
      </c>
      <c r="BI34" s="45">
        <f>'[2]Activity data'!BJ555</f>
        <v>247696.70884776386</v>
      </c>
      <c r="BJ34" s="45">
        <f>'[2]Activity data'!BK555</f>
        <v>246875.98151490322</v>
      </c>
      <c r="BK34" s="45">
        <f>'[2]Activity data'!BL555</f>
        <v>246055.25418204258</v>
      </c>
      <c r="BL34" s="45">
        <f>'[2]Activity data'!BM555</f>
        <v>245234.52684918194</v>
      </c>
      <c r="BM34" s="45">
        <f>'[2]Activity data'!BN555</f>
        <v>244413.79951632133</v>
      </c>
      <c r="BN34" s="45">
        <f>'[2]Activity data'!BO555</f>
        <v>243593.0721834607</v>
      </c>
      <c r="BO34" s="45">
        <f>'[2]Activity data'!BP555</f>
        <v>242772.34485060006</v>
      </c>
      <c r="BP34" s="45">
        <f>'[2]Activity data'!BQ555</f>
        <v>241951.61751773945</v>
      </c>
      <c r="BR34" s="23"/>
    </row>
    <row r="35" spans="1:72" x14ac:dyDescent="0.25">
      <c r="A35" t="str">
        <f>A39</f>
        <v>3C Aggregated and non-CO2 emissions on land</v>
      </c>
      <c r="B35" t="str">
        <f>B39</f>
        <v>3C1 Biomass burning (CH4)</v>
      </c>
      <c r="C35" t="str">
        <f>C39</f>
        <v>3C1f Biomass burning in Other lands</v>
      </c>
      <c r="D35" t="s">
        <v>360</v>
      </c>
      <c r="E35" t="str">
        <f t="shared" si="6"/>
        <v>Degraded land - Burnt area</v>
      </c>
      <c r="F35" t="s">
        <v>361</v>
      </c>
      <c r="G35" t="s">
        <v>641</v>
      </c>
      <c r="H35" s="21">
        <v>61714.023576182241</v>
      </c>
      <c r="I35" s="21">
        <v>61714.023576182241</v>
      </c>
      <c r="J35" s="21">
        <v>61714.023576182241</v>
      </c>
      <c r="K35" s="21">
        <v>61714.023576182241</v>
      </c>
      <c r="L35" s="21">
        <v>61714.023576182241</v>
      </c>
      <c r="M35" s="21">
        <v>61714.023576182241</v>
      </c>
      <c r="N35" s="21">
        <v>61714.023576182241</v>
      </c>
      <c r="O35" s="21">
        <v>61714.023576182241</v>
      </c>
      <c r="P35" s="21">
        <v>61714.023576182241</v>
      </c>
      <c r="Q35" s="21">
        <v>61714.023576182241</v>
      </c>
      <c r="R35" s="21">
        <v>67907.115600353078</v>
      </c>
      <c r="S35" s="21">
        <v>61469.437974631524</v>
      </c>
      <c r="T35" s="21">
        <v>82282.28821979581</v>
      </c>
      <c r="U35" s="21">
        <v>24204.744908178855</v>
      </c>
      <c r="V35" s="21">
        <v>72706.53117795194</v>
      </c>
      <c r="W35" s="21">
        <v>89066.077545824955</v>
      </c>
      <c r="X35" s="21">
        <v>131960.85427061474</v>
      </c>
      <c r="Y35" s="21">
        <v>20074.478617841378</v>
      </c>
      <c r="Z35" s="21">
        <v>93911.641350131511</v>
      </c>
      <c r="AA35" s="21">
        <v>60961.807480847041</v>
      </c>
      <c r="AB35" s="21">
        <v>82046.16</v>
      </c>
      <c r="AC35" s="21">
        <v>96577.74</v>
      </c>
      <c r="AD35" s="45">
        <f>'[2]Activity data'!AE556</f>
        <v>57963.822619231716</v>
      </c>
      <c r="AE35" s="45">
        <f>'[2]Activity data'!AF556</f>
        <v>57963.822619231716</v>
      </c>
      <c r="AF35" s="45">
        <f>'[2]Activity data'!AG556</f>
        <v>57963.822619231716</v>
      </c>
      <c r="AG35" s="45">
        <f>'[2]Activity data'!AH556</f>
        <v>57963.822619231716</v>
      </c>
      <c r="AH35" s="45">
        <f>'[2]Activity data'!AI556</f>
        <v>57963.822619231716</v>
      </c>
      <c r="AI35" s="45">
        <f>'[2]Activity data'!AJ556</f>
        <v>57963.822619231716</v>
      </c>
      <c r="AJ35" s="45">
        <f>'[2]Activity data'!AK556</f>
        <v>57963.822619231716</v>
      </c>
      <c r="AK35" s="45">
        <f>'[2]Activity data'!AL556</f>
        <v>57963.822619231716</v>
      </c>
      <c r="AL35" s="45">
        <f>'[2]Activity data'!AM556</f>
        <v>57963.822619231716</v>
      </c>
      <c r="AM35" s="45">
        <f>'[2]Activity data'!AN556</f>
        <v>57963.822619231716</v>
      </c>
      <c r="AN35" s="45">
        <f>'[2]Activity data'!AO556</f>
        <v>57963.822619231716</v>
      </c>
      <c r="AO35" s="45">
        <f>'[2]Activity data'!AP556</f>
        <v>57963.822619231716</v>
      </c>
      <c r="AP35" s="45">
        <f>'[2]Activity data'!AQ556</f>
        <v>57963.822619231716</v>
      </c>
      <c r="AQ35" s="45">
        <f>'[2]Activity data'!AR556</f>
        <v>57963.822619231716</v>
      </c>
      <c r="AR35" s="45">
        <f>'[2]Activity data'!AS556</f>
        <v>57963.822619231716</v>
      </c>
      <c r="AS35" s="45">
        <f>'[2]Activity data'!AT556</f>
        <v>57963.822619231716</v>
      </c>
      <c r="AT35" s="45">
        <f>'[2]Activity data'!AU556</f>
        <v>57963.822619231716</v>
      </c>
      <c r="AU35" s="45">
        <f>'[2]Activity data'!AV556</f>
        <v>57963.822619231716</v>
      </c>
      <c r="AV35" s="45">
        <f>'[2]Activity data'!AW556</f>
        <v>57963.822619231716</v>
      </c>
      <c r="AW35" s="45">
        <f>'[2]Activity data'!AX556</f>
        <v>57963.822619231716</v>
      </c>
      <c r="AX35" s="45">
        <f>'[2]Activity data'!AY556</f>
        <v>57963.822619231716</v>
      </c>
      <c r="AY35" s="45">
        <f>'[2]Activity data'!AZ556</f>
        <v>57963.822619231716</v>
      </c>
      <c r="AZ35" s="45">
        <f>'[2]Activity data'!BA556</f>
        <v>57963.822619231716</v>
      </c>
      <c r="BA35" s="45">
        <f>'[2]Activity data'!BB556</f>
        <v>57963.822619231716</v>
      </c>
      <c r="BB35" s="45">
        <f>'[2]Activity data'!BC556</f>
        <v>57963.822619231716</v>
      </c>
      <c r="BC35" s="45">
        <f>'[2]Activity data'!BD556</f>
        <v>57963.822619231716</v>
      </c>
      <c r="BD35" s="45">
        <f>'[2]Activity data'!BE556</f>
        <v>57963.822619231716</v>
      </c>
      <c r="BE35" s="45">
        <f>'[2]Activity data'!BF556</f>
        <v>57963.822619231716</v>
      </c>
      <c r="BF35" s="45">
        <f>'[2]Activity data'!BG556</f>
        <v>57963.822619231716</v>
      </c>
      <c r="BG35" s="45">
        <f>'[2]Activity data'!BH556</f>
        <v>57963.822619231716</v>
      </c>
      <c r="BH35" s="45">
        <f>'[2]Activity data'!BI556</f>
        <v>57963.822619231716</v>
      </c>
      <c r="BI35" s="45">
        <f>'[2]Activity data'!BJ556</f>
        <v>57963.822619231716</v>
      </c>
      <c r="BJ35" s="45">
        <f>'[2]Activity data'!BK556</f>
        <v>57963.822619231716</v>
      </c>
      <c r="BK35" s="45">
        <f>'[2]Activity data'!BL556</f>
        <v>57963.822619231716</v>
      </c>
      <c r="BL35" s="45">
        <f>'[2]Activity data'!BM556</f>
        <v>57963.822619231716</v>
      </c>
      <c r="BM35" s="45">
        <f>'[2]Activity data'!BN556</f>
        <v>57963.822619231716</v>
      </c>
      <c r="BN35" s="45">
        <f>'[2]Activity data'!BO556</f>
        <v>57963.822619231716</v>
      </c>
      <c r="BO35" s="45">
        <f>'[2]Activity data'!BP556</f>
        <v>57963.822619231716</v>
      </c>
      <c r="BP35" s="45">
        <f>'[2]Activity data'!BQ556</f>
        <v>57963.822619231716</v>
      </c>
      <c r="BR35" s="23"/>
    </row>
    <row r="36" spans="1:72" x14ac:dyDescent="0.25">
      <c r="A36" t="str">
        <f>A34</f>
        <v>3C Aggregated and non-CO2 emissions on land</v>
      </c>
      <c r="B36" t="str">
        <f>B34</f>
        <v>3C1 Biomass burning (CH4)</v>
      </c>
      <c r="C36" t="str">
        <f>'IPCC Categories'!C62</f>
        <v>3C1d Biomass burning in Wetlands</v>
      </c>
      <c r="D36" t="s">
        <v>106</v>
      </c>
      <c r="E36" t="str">
        <f t="shared" si="6"/>
        <v>Wetlands - Burnt area</v>
      </c>
      <c r="F36" t="s">
        <v>361</v>
      </c>
      <c r="G36" t="s">
        <v>652</v>
      </c>
      <c r="H36" s="21">
        <v>85448.056571942725</v>
      </c>
      <c r="I36" s="21">
        <v>85448.056571942725</v>
      </c>
      <c r="J36" s="21">
        <v>85448.056571942725</v>
      </c>
      <c r="K36" s="21">
        <v>85448.056571942725</v>
      </c>
      <c r="L36" s="21">
        <v>85448.056571942725</v>
      </c>
      <c r="M36" s="21">
        <v>85448.056571942725</v>
      </c>
      <c r="N36" s="21">
        <v>85448.056571942725</v>
      </c>
      <c r="O36" s="21">
        <v>85448.056571942725</v>
      </c>
      <c r="P36" s="21">
        <v>85448.056571942725</v>
      </c>
      <c r="Q36" s="21">
        <v>85448.056571942725</v>
      </c>
      <c r="R36" s="21">
        <v>75590.795347182022</v>
      </c>
      <c r="S36" s="21">
        <v>91304.266541147488</v>
      </c>
      <c r="T36" s="21">
        <v>103348.95371185233</v>
      </c>
      <c r="U36" s="21">
        <v>84543.551328472182</v>
      </c>
      <c r="V36" s="21">
        <v>72452.715931059676</v>
      </c>
      <c r="W36" s="21">
        <v>107202.33064194373</v>
      </c>
      <c r="X36" s="21">
        <v>95157.643471238887</v>
      </c>
      <c r="Y36" s="21">
        <v>83828.253814503129</v>
      </c>
      <c r="Z36" s="21">
        <v>76444.537541274112</v>
      </c>
      <c r="AA36" s="21">
        <v>85858.775789641106</v>
      </c>
      <c r="AB36" s="21">
        <v>114912.98999999999</v>
      </c>
      <c r="AC36" s="21">
        <v>124110.54</v>
      </c>
      <c r="AD36" s="45">
        <f>'[2]Activity data'!AE557</f>
        <v>91537.108006573035</v>
      </c>
      <c r="AE36" s="45">
        <f>'[2]Activity data'!AF557</f>
        <v>91537.108006573035</v>
      </c>
      <c r="AF36" s="45">
        <f>'[2]Activity data'!AG557</f>
        <v>91537.108006573035</v>
      </c>
      <c r="AG36" s="45">
        <f>'[2]Activity data'!AH557</f>
        <v>91537.108006573035</v>
      </c>
      <c r="AH36" s="45">
        <f>'[2]Activity data'!AI557</f>
        <v>91537.108006573035</v>
      </c>
      <c r="AI36" s="45">
        <f>'[2]Activity data'!AJ557</f>
        <v>91537.108006573035</v>
      </c>
      <c r="AJ36" s="45">
        <f>'[2]Activity data'!AK557</f>
        <v>91537.108006573035</v>
      </c>
      <c r="AK36" s="45">
        <f>'[2]Activity data'!AL557</f>
        <v>91537.108006573035</v>
      </c>
      <c r="AL36" s="45">
        <f>'[2]Activity data'!AM557</f>
        <v>91537.108006573035</v>
      </c>
      <c r="AM36" s="45">
        <f>'[2]Activity data'!AN557</f>
        <v>91537.108006573035</v>
      </c>
      <c r="AN36" s="45">
        <f>'[2]Activity data'!AO557</f>
        <v>91537.108006573035</v>
      </c>
      <c r="AO36" s="45">
        <f>'[2]Activity data'!AP557</f>
        <v>91537.108006573035</v>
      </c>
      <c r="AP36" s="45">
        <f>'[2]Activity data'!AQ557</f>
        <v>91537.108006573035</v>
      </c>
      <c r="AQ36" s="45">
        <f>'[2]Activity data'!AR557</f>
        <v>91537.108006573035</v>
      </c>
      <c r="AR36" s="45">
        <f>'[2]Activity data'!AS557</f>
        <v>91537.108006573035</v>
      </c>
      <c r="AS36" s="45">
        <f>'[2]Activity data'!AT557</f>
        <v>91537.108006573035</v>
      </c>
      <c r="AT36" s="45">
        <f>'[2]Activity data'!AU557</f>
        <v>91537.108006573035</v>
      </c>
      <c r="AU36" s="45">
        <f>'[2]Activity data'!AV557</f>
        <v>91537.108006573035</v>
      </c>
      <c r="AV36" s="45">
        <f>'[2]Activity data'!AW557</f>
        <v>91537.108006573035</v>
      </c>
      <c r="AW36" s="45">
        <f>'[2]Activity data'!AX557</f>
        <v>91537.108006573035</v>
      </c>
      <c r="AX36" s="45">
        <f>'[2]Activity data'!AY557</f>
        <v>91537.108006573035</v>
      </c>
      <c r="AY36" s="45">
        <f>'[2]Activity data'!AZ557</f>
        <v>91537.108006573035</v>
      </c>
      <c r="AZ36" s="45">
        <f>'[2]Activity data'!BA557</f>
        <v>91537.108006573035</v>
      </c>
      <c r="BA36" s="45">
        <f>'[2]Activity data'!BB557</f>
        <v>91537.108006573035</v>
      </c>
      <c r="BB36" s="45">
        <f>'[2]Activity data'!BC557</f>
        <v>91537.108006573035</v>
      </c>
      <c r="BC36" s="45">
        <f>'[2]Activity data'!BD557</f>
        <v>91537.108006573035</v>
      </c>
      <c r="BD36" s="45">
        <f>'[2]Activity data'!BE557</f>
        <v>91537.108006573035</v>
      </c>
      <c r="BE36" s="45">
        <f>'[2]Activity data'!BF557</f>
        <v>91537.108006573035</v>
      </c>
      <c r="BF36" s="45">
        <f>'[2]Activity data'!BG557</f>
        <v>91537.108006573035</v>
      </c>
      <c r="BG36" s="45">
        <f>'[2]Activity data'!BH557</f>
        <v>91537.108006573035</v>
      </c>
      <c r="BH36" s="45">
        <f>'[2]Activity data'!BI557</f>
        <v>91537.108006573035</v>
      </c>
      <c r="BI36" s="45">
        <f>'[2]Activity data'!BJ557</f>
        <v>91537.108006573035</v>
      </c>
      <c r="BJ36" s="45">
        <f>'[2]Activity data'!BK557</f>
        <v>91537.108006573035</v>
      </c>
      <c r="BK36" s="45">
        <f>'[2]Activity data'!BL557</f>
        <v>91537.108006573035</v>
      </c>
      <c r="BL36" s="45">
        <f>'[2]Activity data'!BM557</f>
        <v>91537.108006573035</v>
      </c>
      <c r="BM36" s="45">
        <f>'[2]Activity data'!BN557</f>
        <v>91537.108006573035</v>
      </c>
      <c r="BN36" s="45">
        <f>'[2]Activity data'!BO557</f>
        <v>91537.108006573035</v>
      </c>
      <c r="BO36" s="45">
        <f>'[2]Activity data'!BP557</f>
        <v>91537.108006573035</v>
      </c>
      <c r="BP36" s="45">
        <f>'[2]Activity data'!BQ557</f>
        <v>91537.108006573035</v>
      </c>
      <c r="BR36" s="23"/>
    </row>
    <row r="37" spans="1:72" x14ac:dyDescent="0.25">
      <c r="A37" t="str">
        <f t="shared" ref="A37:B39" si="9">A36</f>
        <v>3C Aggregated and non-CO2 emissions on land</v>
      </c>
      <c r="B37" t="str">
        <f t="shared" si="9"/>
        <v>3C1 Biomass burning (CH4)</v>
      </c>
      <c r="C37" t="str">
        <f>'IPCC Categories'!C63</f>
        <v>3C1e Biomass burning in Settlements</v>
      </c>
      <c r="D37" t="s">
        <v>357</v>
      </c>
      <c r="E37" t="str">
        <f t="shared" si="6"/>
        <v>Settlements - Burnt area</v>
      </c>
      <c r="F37" t="s">
        <v>361</v>
      </c>
      <c r="G37" t="s">
        <v>653</v>
      </c>
      <c r="H37" s="21">
        <v>51833.688238067662</v>
      </c>
      <c r="I37" s="21">
        <v>51833.688238067662</v>
      </c>
      <c r="J37" s="21">
        <v>51833.688238067662</v>
      </c>
      <c r="K37" s="21">
        <v>51833.688238067662</v>
      </c>
      <c r="L37" s="21">
        <v>51833.688238067662</v>
      </c>
      <c r="M37" s="21">
        <v>51833.688238067662</v>
      </c>
      <c r="N37" s="21">
        <v>51833.688238067662</v>
      </c>
      <c r="O37" s="21">
        <v>51833.688238067662</v>
      </c>
      <c r="P37" s="21">
        <v>51833.688238067662</v>
      </c>
      <c r="Q37" s="21">
        <v>51833.688238067662</v>
      </c>
      <c r="R37" s="21">
        <v>56462.3553768481</v>
      </c>
      <c r="S37" s="21">
        <v>62530.847188908192</v>
      </c>
      <c r="T37" s="21">
        <v>55285.57559580222</v>
      </c>
      <c r="U37" s="21">
        <v>47694.192302388648</v>
      </c>
      <c r="V37" s="21">
        <v>37195.470726391148</v>
      </c>
      <c r="W37" s="21">
        <v>84220.513741518429</v>
      </c>
      <c r="X37" s="21">
        <v>73767.9403922286</v>
      </c>
      <c r="Y37" s="21">
        <v>81590.064819180581</v>
      </c>
      <c r="Z37" s="21">
        <v>50370.789451434168</v>
      </c>
      <c r="AA37" s="21">
        <v>60615.69578053942</v>
      </c>
      <c r="AB37" s="21">
        <v>45329.58</v>
      </c>
      <c r="AC37" s="21">
        <v>31595.4</v>
      </c>
      <c r="AD37" s="45">
        <f>'[2]Activity data'!AE558</f>
        <v>45569.714076613083</v>
      </c>
      <c r="AE37" s="45">
        <f>'[2]Activity data'!AF558</f>
        <v>45666.022187618808</v>
      </c>
      <c r="AF37" s="45">
        <f>'[2]Activity data'!AG558</f>
        <v>45762.330298624533</v>
      </c>
      <c r="AG37" s="45">
        <f>'[2]Activity data'!AH558</f>
        <v>45858.638409630257</v>
      </c>
      <c r="AH37" s="45">
        <f>'[2]Activity data'!AI558</f>
        <v>45954.946520635982</v>
      </c>
      <c r="AI37" s="45">
        <f>'[2]Activity data'!AJ558</f>
        <v>46051.254631641707</v>
      </c>
      <c r="AJ37" s="45">
        <f>'[2]Activity data'!AK558</f>
        <v>46147.562742647431</v>
      </c>
      <c r="AK37" s="45">
        <f>'[2]Activity data'!AL558</f>
        <v>46243.870853653156</v>
      </c>
      <c r="AL37" s="45">
        <f>'[2]Activity data'!AM558</f>
        <v>46340.17896465888</v>
      </c>
      <c r="AM37" s="45">
        <f>'[2]Activity data'!AN558</f>
        <v>46436.487075664612</v>
      </c>
      <c r="AN37" s="45">
        <f>'[2]Activity data'!AO558</f>
        <v>46532.795186670337</v>
      </c>
      <c r="AO37" s="45">
        <f>'[2]Activity data'!AP558</f>
        <v>46629.103297676062</v>
      </c>
      <c r="AP37" s="45">
        <f>'[2]Activity data'!AQ558</f>
        <v>46725.411408681786</v>
      </c>
      <c r="AQ37" s="45">
        <f>'[2]Activity data'!AR558</f>
        <v>46821.719519687511</v>
      </c>
      <c r="AR37" s="45">
        <f>'[2]Activity data'!AS558</f>
        <v>46918.027630693236</v>
      </c>
      <c r="AS37" s="45">
        <f>'[2]Activity data'!AT558</f>
        <v>47014.33574169896</v>
      </c>
      <c r="AT37" s="45">
        <f>'[2]Activity data'!AU558</f>
        <v>47110.643852704685</v>
      </c>
      <c r="AU37" s="45">
        <f>'[2]Activity data'!AV558</f>
        <v>47206.951963710409</v>
      </c>
      <c r="AV37" s="45">
        <f>'[2]Activity data'!AW558</f>
        <v>47303.260074716134</v>
      </c>
      <c r="AW37" s="45">
        <f>'[2]Activity data'!AX558</f>
        <v>47399.568185721859</v>
      </c>
      <c r="AX37" s="45">
        <f>'[2]Activity data'!AY558</f>
        <v>47495.876296727583</v>
      </c>
      <c r="AY37" s="45">
        <f>'[2]Activity data'!AZ558</f>
        <v>47592.184407733308</v>
      </c>
      <c r="AZ37" s="45">
        <f>'[2]Activity data'!BA558</f>
        <v>47688.492518739033</v>
      </c>
      <c r="BA37" s="45">
        <f>'[2]Activity data'!BB558</f>
        <v>47784.800629744757</v>
      </c>
      <c r="BB37" s="45">
        <f>'[2]Activity data'!BC558</f>
        <v>47881.108740750482</v>
      </c>
      <c r="BC37" s="45">
        <f>'[2]Activity data'!BD558</f>
        <v>47977.416851756207</v>
      </c>
      <c r="BD37" s="45">
        <f>'[2]Activity data'!BE558</f>
        <v>48073.724962761939</v>
      </c>
      <c r="BE37" s="45">
        <f>'[2]Activity data'!BF558</f>
        <v>48170.033073767663</v>
      </c>
      <c r="BF37" s="45">
        <f>'[2]Activity data'!BG558</f>
        <v>48266.341184773388</v>
      </c>
      <c r="BG37" s="45">
        <f>'[2]Activity data'!BH558</f>
        <v>48362.649295779112</v>
      </c>
      <c r="BH37" s="45">
        <f>'[2]Activity data'!BI558</f>
        <v>48458.957406784837</v>
      </c>
      <c r="BI37" s="45">
        <f>'[2]Activity data'!BJ558</f>
        <v>48555.265517790562</v>
      </c>
      <c r="BJ37" s="45">
        <f>'[2]Activity data'!BK558</f>
        <v>48651.573628796286</v>
      </c>
      <c r="BK37" s="45">
        <f>'[2]Activity data'!BL558</f>
        <v>48747.881739802011</v>
      </c>
      <c r="BL37" s="45">
        <f>'[2]Activity data'!BM558</f>
        <v>48844.189850807736</v>
      </c>
      <c r="BM37" s="45">
        <f>'[2]Activity data'!BN558</f>
        <v>48940.49796181346</v>
      </c>
      <c r="BN37" s="45">
        <f>'[2]Activity data'!BO558</f>
        <v>49036.806072819185</v>
      </c>
      <c r="BO37" s="45">
        <f>'[2]Activity data'!BP558</f>
        <v>49133.11418382491</v>
      </c>
      <c r="BP37" s="45">
        <f>'[2]Activity data'!BQ558</f>
        <v>49229.422294830634</v>
      </c>
      <c r="BR37" s="23"/>
    </row>
    <row r="38" spans="1:72" x14ac:dyDescent="0.25">
      <c r="A38" t="str">
        <f t="shared" si="9"/>
        <v>3C Aggregated and non-CO2 emissions on land</v>
      </c>
      <c r="B38" t="str">
        <f t="shared" si="9"/>
        <v>3C1 Biomass burning (CH4)</v>
      </c>
      <c r="C38" t="str">
        <f>C37</f>
        <v>3C1e Biomass burning in Settlements</v>
      </c>
      <c r="D38" t="s">
        <v>358</v>
      </c>
      <c r="E38" t="str">
        <f t="shared" si="6"/>
        <v>Mines - Burnt area</v>
      </c>
      <c r="F38" t="s">
        <v>361</v>
      </c>
      <c r="G38" t="s">
        <v>654</v>
      </c>
      <c r="H38" s="21">
        <v>0</v>
      </c>
      <c r="I38" s="21">
        <v>0</v>
      </c>
      <c r="J38" s="21">
        <v>0</v>
      </c>
      <c r="K38" s="21">
        <v>0</v>
      </c>
      <c r="L38" s="21">
        <v>0</v>
      </c>
      <c r="M38" s="21">
        <v>0</v>
      </c>
      <c r="N38" s="21">
        <v>0</v>
      </c>
      <c r="O38" s="21">
        <v>0</v>
      </c>
      <c r="P38" s="21">
        <v>0</v>
      </c>
      <c r="Q38" s="21">
        <v>0</v>
      </c>
      <c r="R38" s="21">
        <v>0</v>
      </c>
      <c r="S38" s="21">
        <v>0</v>
      </c>
      <c r="T38" s="21">
        <v>0</v>
      </c>
      <c r="U38" s="21">
        <v>0</v>
      </c>
      <c r="V38" s="21">
        <v>0</v>
      </c>
      <c r="W38" s="21">
        <v>0</v>
      </c>
      <c r="X38" s="21">
        <v>0</v>
      </c>
      <c r="Y38" s="21">
        <v>0</v>
      </c>
      <c r="Z38" s="21">
        <v>0</v>
      </c>
      <c r="AA38" s="21">
        <v>0</v>
      </c>
      <c r="AB38" s="21">
        <v>0</v>
      </c>
      <c r="AC38" s="21">
        <v>0</v>
      </c>
      <c r="AD38" s="45">
        <f>'[2]Activity data'!AE559</f>
        <v>0</v>
      </c>
      <c r="AE38" s="45">
        <f>'[2]Activity data'!AF559</f>
        <v>0</v>
      </c>
      <c r="AF38" s="45">
        <f>'[2]Activity data'!AG559</f>
        <v>0</v>
      </c>
      <c r="AG38" s="45">
        <f>'[2]Activity data'!AH559</f>
        <v>0</v>
      </c>
      <c r="AH38" s="45">
        <f>'[2]Activity data'!AI559</f>
        <v>0</v>
      </c>
      <c r="AI38" s="45">
        <f>'[2]Activity data'!AJ559</f>
        <v>0</v>
      </c>
      <c r="AJ38" s="45">
        <f>'[2]Activity data'!AK559</f>
        <v>0</v>
      </c>
      <c r="AK38" s="45">
        <f>'[2]Activity data'!AL559</f>
        <v>0</v>
      </c>
      <c r="AL38" s="45">
        <f>'[2]Activity data'!AM559</f>
        <v>0</v>
      </c>
      <c r="AM38" s="45">
        <f>'[2]Activity data'!AN559</f>
        <v>0</v>
      </c>
      <c r="AN38" s="45">
        <f>'[2]Activity data'!AO559</f>
        <v>0</v>
      </c>
      <c r="AO38" s="45">
        <f>'[2]Activity data'!AP559</f>
        <v>0</v>
      </c>
      <c r="AP38" s="45">
        <f>'[2]Activity data'!AQ559</f>
        <v>0</v>
      </c>
      <c r="AQ38" s="45">
        <f>'[2]Activity data'!AR559</f>
        <v>0</v>
      </c>
      <c r="AR38" s="45">
        <f>'[2]Activity data'!AS559</f>
        <v>0</v>
      </c>
      <c r="AS38" s="45">
        <f>'[2]Activity data'!AT559</f>
        <v>0</v>
      </c>
      <c r="AT38" s="45">
        <f>'[2]Activity data'!AU559</f>
        <v>0</v>
      </c>
      <c r="AU38" s="45">
        <f>'[2]Activity data'!AV559</f>
        <v>0</v>
      </c>
      <c r="AV38" s="45">
        <f>'[2]Activity data'!AW559</f>
        <v>0</v>
      </c>
      <c r="AW38" s="45">
        <f>'[2]Activity data'!AX559</f>
        <v>0</v>
      </c>
      <c r="AX38" s="45">
        <f>'[2]Activity data'!AY559</f>
        <v>0</v>
      </c>
      <c r="AY38" s="45">
        <f>'[2]Activity data'!AZ559</f>
        <v>0</v>
      </c>
      <c r="AZ38" s="45">
        <f>'[2]Activity data'!BA559</f>
        <v>0</v>
      </c>
      <c r="BA38" s="45">
        <f>'[2]Activity data'!BB559</f>
        <v>0</v>
      </c>
      <c r="BB38" s="45">
        <f>'[2]Activity data'!BC559</f>
        <v>0</v>
      </c>
      <c r="BC38" s="45">
        <f>'[2]Activity data'!BD559</f>
        <v>0</v>
      </c>
      <c r="BD38" s="45">
        <f>'[2]Activity data'!BE559</f>
        <v>0</v>
      </c>
      <c r="BE38" s="45">
        <f>'[2]Activity data'!BF559</f>
        <v>0</v>
      </c>
      <c r="BF38" s="45">
        <f>'[2]Activity data'!BG559</f>
        <v>0</v>
      </c>
      <c r="BG38" s="45">
        <f>'[2]Activity data'!BH559</f>
        <v>0</v>
      </c>
      <c r="BH38" s="45">
        <f>'[2]Activity data'!BI559</f>
        <v>0</v>
      </c>
      <c r="BI38" s="45">
        <f>'[2]Activity data'!BJ559</f>
        <v>0</v>
      </c>
      <c r="BJ38" s="45">
        <f>'[2]Activity data'!BK559</f>
        <v>0</v>
      </c>
      <c r="BK38" s="45">
        <f>'[2]Activity data'!BL559</f>
        <v>0</v>
      </c>
      <c r="BL38" s="45">
        <f>'[2]Activity data'!BM559</f>
        <v>0</v>
      </c>
      <c r="BM38" s="45">
        <f>'[2]Activity data'!BN559</f>
        <v>0</v>
      </c>
      <c r="BN38" s="45">
        <f>'[2]Activity data'!BO559</f>
        <v>0</v>
      </c>
      <c r="BO38" s="45">
        <f>'[2]Activity data'!BP559</f>
        <v>0</v>
      </c>
      <c r="BP38" s="45">
        <f>'[2]Activity data'!BQ559</f>
        <v>0</v>
      </c>
      <c r="BR38" s="23"/>
    </row>
    <row r="39" spans="1:72" x14ac:dyDescent="0.25">
      <c r="A39" t="str">
        <f t="shared" si="9"/>
        <v>3C Aggregated and non-CO2 emissions on land</v>
      </c>
      <c r="B39" t="str">
        <f t="shared" si="9"/>
        <v>3C1 Biomass burning (CH4)</v>
      </c>
      <c r="C39" t="str">
        <f>'IPCC Categories'!C64</f>
        <v>3C1f Biomass burning in Other lands</v>
      </c>
      <c r="D39" t="s">
        <v>359</v>
      </c>
      <c r="E39" t="str">
        <f t="shared" si="6"/>
        <v>Bare ground - Burnt area</v>
      </c>
      <c r="F39" t="s">
        <v>361</v>
      </c>
      <c r="G39" t="s">
        <v>655</v>
      </c>
      <c r="H39" s="21">
        <v>0</v>
      </c>
      <c r="I39" s="21">
        <v>0</v>
      </c>
      <c r="J39" s="21">
        <v>0</v>
      </c>
      <c r="K39" s="21">
        <v>0</v>
      </c>
      <c r="L39" s="21">
        <v>0</v>
      </c>
      <c r="M39" s="21">
        <v>0</v>
      </c>
      <c r="N39" s="21">
        <v>0</v>
      </c>
      <c r="O39" s="21">
        <v>0</v>
      </c>
      <c r="P39" s="21">
        <v>0</v>
      </c>
      <c r="Q39" s="21">
        <v>0</v>
      </c>
      <c r="R39" s="21">
        <v>0</v>
      </c>
      <c r="S39" s="21">
        <v>0</v>
      </c>
      <c r="T39" s="21">
        <v>0</v>
      </c>
      <c r="U39" s="21">
        <v>0</v>
      </c>
      <c r="V39" s="21">
        <v>0</v>
      </c>
      <c r="W39" s="21">
        <v>0</v>
      </c>
      <c r="X39" s="21">
        <v>0</v>
      </c>
      <c r="Y39" s="21">
        <v>0</v>
      </c>
      <c r="Z39" s="21">
        <v>0</v>
      </c>
      <c r="AA39" s="21">
        <v>0</v>
      </c>
      <c r="AB39" s="21">
        <v>0</v>
      </c>
      <c r="AC39" s="21">
        <v>0</v>
      </c>
      <c r="AD39" s="45">
        <f>'[2]Activity data'!AE560</f>
        <v>0</v>
      </c>
      <c r="AE39" s="45">
        <f>'[2]Activity data'!AF560</f>
        <v>0</v>
      </c>
      <c r="AF39" s="45">
        <f>'[2]Activity data'!AG560</f>
        <v>0</v>
      </c>
      <c r="AG39" s="45">
        <f>'[2]Activity data'!AH560</f>
        <v>0</v>
      </c>
      <c r="AH39" s="45">
        <f>'[2]Activity data'!AI560</f>
        <v>0</v>
      </c>
      <c r="AI39" s="45">
        <f>'[2]Activity data'!AJ560</f>
        <v>0</v>
      </c>
      <c r="AJ39" s="45">
        <f>'[2]Activity data'!AK560</f>
        <v>0</v>
      </c>
      <c r="AK39" s="45">
        <f>'[2]Activity data'!AL560</f>
        <v>0</v>
      </c>
      <c r="AL39" s="45">
        <f>'[2]Activity data'!AM560</f>
        <v>0</v>
      </c>
      <c r="AM39" s="45">
        <f>'[2]Activity data'!AN560</f>
        <v>0</v>
      </c>
      <c r="AN39" s="45">
        <f>'[2]Activity data'!AO560</f>
        <v>0</v>
      </c>
      <c r="AO39" s="45">
        <f>'[2]Activity data'!AP560</f>
        <v>0</v>
      </c>
      <c r="AP39" s="45">
        <f>'[2]Activity data'!AQ560</f>
        <v>0</v>
      </c>
      <c r="AQ39" s="45">
        <f>'[2]Activity data'!AR560</f>
        <v>0</v>
      </c>
      <c r="AR39" s="45">
        <f>'[2]Activity data'!AS560</f>
        <v>0</v>
      </c>
      <c r="AS39" s="45">
        <f>'[2]Activity data'!AT560</f>
        <v>0</v>
      </c>
      <c r="AT39" s="45">
        <f>'[2]Activity data'!AU560</f>
        <v>0</v>
      </c>
      <c r="AU39" s="45">
        <f>'[2]Activity data'!AV560</f>
        <v>0</v>
      </c>
      <c r="AV39" s="45">
        <f>'[2]Activity data'!AW560</f>
        <v>0</v>
      </c>
      <c r="AW39" s="45">
        <f>'[2]Activity data'!AX560</f>
        <v>0</v>
      </c>
      <c r="AX39" s="45">
        <f>'[2]Activity data'!AY560</f>
        <v>0</v>
      </c>
      <c r="AY39" s="45">
        <f>'[2]Activity data'!AZ560</f>
        <v>0</v>
      </c>
      <c r="AZ39" s="45">
        <f>'[2]Activity data'!BA560</f>
        <v>0</v>
      </c>
      <c r="BA39" s="45">
        <f>'[2]Activity data'!BB560</f>
        <v>0</v>
      </c>
      <c r="BB39" s="45">
        <f>'[2]Activity data'!BC560</f>
        <v>0</v>
      </c>
      <c r="BC39" s="45">
        <f>'[2]Activity data'!BD560</f>
        <v>0</v>
      </c>
      <c r="BD39" s="45">
        <f>'[2]Activity data'!BE560</f>
        <v>0</v>
      </c>
      <c r="BE39" s="45">
        <f>'[2]Activity data'!BF560</f>
        <v>0</v>
      </c>
      <c r="BF39" s="45">
        <f>'[2]Activity data'!BG560</f>
        <v>0</v>
      </c>
      <c r="BG39" s="45">
        <f>'[2]Activity data'!BH560</f>
        <v>0</v>
      </c>
      <c r="BH39" s="45">
        <f>'[2]Activity data'!BI560</f>
        <v>0</v>
      </c>
      <c r="BI39" s="45">
        <f>'[2]Activity data'!BJ560</f>
        <v>0</v>
      </c>
      <c r="BJ39" s="45">
        <f>'[2]Activity data'!BK560</f>
        <v>0</v>
      </c>
      <c r="BK39" s="45">
        <f>'[2]Activity data'!BL560</f>
        <v>0</v>
      </c>
      <c r="BL39" s="45">
        <f>'[2]Activity data'!BM560</f>
        <v>0</v>
      </c>
      <c r="BM39" s="45">
        <f>'[2]Activity data'!BN560</f>
        <v>0</v>
      </c>
      <c r="BN39" s="45">
        <f>'[2]Activity data'!BO560</f>
        <v>0</v>
      </c>
      <c r="BO39" s="45">
        <f>'[2]Activity data'!BP560</f>
        <v>0</v>
      </c>
      <c r="BP39" s="45">
        <f>'[2]Activity data'!BQ560</f>
        <v>0</v>
      </c>
      <c r="BR39" s="23"/>
    </row>
    <row r="40" spans="1:72" ht="18.75" customHeight="1" x14ac:dyDescent="0.25">
      <c r="A40" s="20" t="s">
        <v>368</v>
      </c>
      <c r="B40" s="20"/>
      <c r="C40" s="20"/>
      <c r="D40" s="15"/>
      <c r="E40" s="15"/>
      <c r="F40" s="15"/>
      <c r="G40" s="15"/>
      <c r="H40" s="15"/>
      <c r="I40" s="15"/>
      <c r="J40" s="15"/>
      <c r="K40" s="15"/>
      <c r="L40" s="15"/>
      <c r="M40" s="15"/>
      <c r="N40" s="15"/>
      <c r="O40" s="15"/>
      <c r="P40" s="15"/>
      <c r="Q40" s="15"/>
      <c r="R40" s="15"/>
      <c r="S40" s="15"/>
      <c r="T40" s="15"/>
      <c r="U40" s="15"/>
      <c r="V40" s="15"/>
      <c r="W40" s="15"/>
      <c r="X40" s="15"/>
      <c r="Y40" s="15"/>
      <c r="Z40" s="15"/>
      <c r="AA40" s="15"/>
      <c r="AB40" s="15"/>
      <c r="AC40" s="15"/>
      <c r="AD40" s="15"/>
      <c r="AE40" s="15"/>
      <c r="AF40" s="15"/>
      <c r="AG40" s="15"/>
      <c r="AH40" s="15"/>
      <c r="AI40" s="15"/>
      <c r="AJ40" s="15"/>
      <c r="AK40" s="15"/>
      <c r="AL40" s="15"/>
      <c r="AM40" s="15"/>
      <c r="AN40" s="15"/>
      <c r="AO40" s="15"/>
      <c r="AP40" s="15"/>
      <c r="AQ40" s="15"/>
      <c r="AR40" s="15"/>
      <c r="AS40" s="15"/>
      <c r="AT40" s="15"/>
      <c r="AU40" s="15"/>
      <c r="AV40" s="15"/>
      <c r="AW40" s="15"/>
      <c r="AX40" s="15"/>
      <c r="AY40" s="15"/>
      <c r="AZ40" s="15"/>
      <c r="BA40" s="15"/>
      <c r="BB40" s="15"/>
      <c r="BC40" s="15"/>
      <c r="BD40" s="15"/>
      <c r="BE40" s="15"/>
      <c r="BF40" s="15"/>
      <c r="BG40" s="15"/>
      <c r="BH40" s="15"/>
      <c r="BI40" s="15"/>
      <c r="BJ40" s="15"/>
      <c r="BK40" s="15"/>
      <c r="BL40" s="15"/>
      <c r="BM40" s="15"/>
      <c r="BN40" s="15"/>
      <c r="BO40" s="15"/>
      <c r="BP40" s="15"/>
      <c r="BS40" s="16"/>
      <c r="BT40" s="15"/>
    </row>
    <row r="41" spans="1:72" x14ac:dyDescent="0.25">
      <c r="A41" t="str">
        <f>'IPCC Categories'!A59</f>
        <v>3C Aggregated and non-CO2 emissions on land</v>
      </c>
      <c r="D41" t="s">
        <v>367</v>
      </c>
      <c r="F41" t="s">
        <v>361</v>
      </c>
      <c r="H41" s="21">
        <v>4163000</v>
      </c>
      <c r="I41" s="21">
        <v>3816000</v>
      </c>
      <c r="J41" s="21">
        <v>4173000</v>
      </c>
      <c r="K41" s="21">
        <v>4377000</v>
      </c>
      <c r="L41" s="21">
        <v>4661000</v>
      </c>
      <c r="M41" s="21">
        <v>3526000</v>
      </c>
      <c r="N41" s="21">
        <v>3761000</v>
      </c>
      <c r="O41" s="21">
        <v>4023000</v>
      </c>
      <c r="P41" s="21">
        <v>3560000</v>
      </c>
      <c r="Q41" s="21">
        <v>3567000</v>
      </c>
      <c r="R41" s="21">
        <v>4013000</v>
      </c>
      <c r="S41" s="21">
        <v>3189000</v>
      </c>
      <c r="T41" s="21">
        <v>3533000</v>
      </c>
      <c r="U41" s="21">
        <v>3651000</v>
      </c>
      <c r="V41" s="21">
        <v>3204000</v>
      </c>
      <c r="W41" s="21">
        <v>3223000</v>
      </c>
      <c r="X41" s="21">
        <v>2032000</v>
      </c>
      <c r="Y41" s="21">
        <v>2897000</v>
      </c>
      <c r="Z41" s="21">
        <v>3297000</v>
      </c>
      <c r="AA41" s="21">
        <v>2896000</v>
      </c>
      <c r="AB41" s="21">
        <v>3263000</v>
      </c>
      <c r="AC41" s="21">
        <v>2859000</v>
      </c>
      <c r="AD41" s="22">
        <f>((Data!$AJ$42*LN('Intermediate calculations'!X60))+Data!$AK$42)</f>
        <v>3507287.7345839478</v>
      </c>
      <c r="AE41" s="22">
        <f>((Data!$AJ$42*LN('Intermediate calculations'!Y60))+Data!$AK$42)</f>
        <v>3513867.9719493613</v>
      </c>
      <c r="AF41" s="22">
        <f>((Data!$AJ$42*LN('Intermediate calculations'!Z60))+Data!$AK$42)</f>
        <v>3528268.9349512886</v>
      </c>
      <c r="AG41" s="22">
        <f>((Data!$AJ$42*LN('Intermediate calculations'!AA60))+Data!$AK$42)</f>
        <v>3539284.7812236249</v>
      </c>
      <c r="AH41" s="22">
        <f>((Data!$AJ$42*LN('Intermediate calculations'!AB60))+Data!$AK$42)</f>
        <v>3547768.2800186686</v>
      </c>
      <c r="AI41" s="22">
        <f>((Data!$AJ$42*LN('Intermediate calculations'!AC60))+Data!$AK$42)</f>
        <v>3553604.9469426479</v>
      </c>
      <c r="AJ41" s="22">
        <f>((Data!$AJ$42*LN('Intermediate calculations'!AD60))+Data!$AK$42)</f>
        <v>3562690.2264572568</v>
      </c>
      <c r="AK41" s="22">
        <f>((Data!$AJ$42*LN('Intermediate calculations'!AE60))+Data!$AK$42)</f>
        <v>3571011.7468618248</v>
      </c>
      <c r="AL41" s="22">
        <f>((Data!$AJ$42*LN('Intermediate calculations'!AF60))+Data!$AK$42)</f>
        <v>3579022.5907201339</v>
      </c>
      <c r="AM41" s="22">
        <f>((Data!$AJ$42*LN('Intermediate calculations'!AG60))+Data!$AK$42)</f>
        <v>3533693.4635176659</v>
      </c>
      <c r="AN41" s="22">
        <f>((Data!$AJ$42*LN('Intermediate calculations'!AH60))+Data!$AK$42)</f>
        <v>3548914.6746469885</v>
      </c>
      <c r="AO41" s="22">
        <f>((Data!$AJ$42*LN('Intermediate calculations'!AI60))+Data!$AK$42)</f>
        <v>3563280.8729503583</v>
      </c>
      <c r="AP41" s="22">
        <f>((Data!$AJ$42*LN('Intermediate calculations'!AJ60))+Data!$AK$42)</f>
        <v>3577756.9202960413</v>
      </c>
      <c r="AQ41" s="22">
        <f>((Data!$AJ$42*LN('Intermediate calculations'!AK60))+Data!$AK$42)</f>
        <v>3593008.2629493512</v>
      </c>
      <c r="AR41" s="22">
        <f>((Data!$AJ$42*LN('Intermediate calculations'!AL60))+Data!$AK$42)</f>
        <v>3609473.4131203648</v>
      </c>
      <c r="AS41" s="22">
        <f>((Data!$AJ$42*LN('Intermediate calculations'!AM60))+Data!$AK$42)</f>
        <v>3626199.2049999293</v>
      </c>
      <c r="AT41" s="22">
        <f>((Data!$AJ$42*LN('Intermediate calculations'!AN60))+Data!$AK$42)</f>
        <v>3643613.0919897798</v>
      </c>
      <c r="AU41" s="22">
        <f>((Data!$AJ$42*LN('Intermediate calculations'!AO60))+Data!$AK$42)</f>
        <v>3661780.2110454477</v>
      </c>
      <c r="AV41" s="22">
        <f>((Data!$AJ$42*LN('Intermediate calculations'!AP60))+Data!$AK$42)</f>
        <v>3681587.8488482442</v>
      </c>
      <c r="AW41" s="22">
        <f>((Data!$AJ$42*LN('Intermediate calculations'!AQ60))+Data!$AK$42)</f>
        <v>3700920.0377710853</v>
      </c>
      <c r="AX41" s="22">
        <f>((Data!$AJ$42*LN('Intermediate calculations'!AR60))+Data!$AK$42)</f>
        <v>3722658.455254253</v>
      </c>
      <c r="AY41" s="22">
        <f>((Data!$AJ$42*LN('Intermediate calculations'!AS60))+Data!$AK$42)</f>
        <v>3744615.368161073</v>
      </c>
      <c r="AZ41" s="22">
        <f>((Data!$AJ$42*LN('Intermediate calculations'!AT60))+Data!$AK$42)</f>
        <v>3766681.5354240742</v>
      </c>
      <c r="BA41" s="22">
        <f>((Data!$AJ$42*LN('Intermediate calculations'!AU60))+Data!$AK$42)</f>
        <v>3788751.0827675015</v>
      </c>
      <c r="BB41" s="22">
        <f>((Data!$AJ$42*LN('Intermediate calculations'!AV60))+Data!$AK$42)</f>
        <v>3808974.4008505009</v>
      </c>
      <c r="BC41" s="22">
        <f>((Data!$AJ$42*LN('Intermediate calculations'!AW60))+Data!$AK$42)</f>
        <v>3829535.0690253414</v>
      </c>
      <c r="BD41" s="22">
        <f>((Data!$AJ$42*LN('Intermediate calculations'!AX60))+Data!$AK$42)</f>
        <v>3850929.6527274009</v>
      </c>
      <c r="BE41" s="22">
        <f>((Data!$AJ$42*LN('Intermediate calculations'!AY60))+Data!$AK$42)</f>
        <v>3872748.2525441684</v>
      </c>
      <c r="BF41" s="22">
        <f>((Data!$AJ$42*LN('Intermediate calculations'!AZ60))+Data!$AK$42)</f>
        <v>3893711.8817623798</v>
      </c>
      <c r="BG41" s="22">
        <f>((Data!$AJ$42*LN('Intermediate calculations'!BA60))+Data!$AK$42)</f>
        <v>3914530.871132113</v>
      </c>
      <c r="BH41" s="22">
        <f>((Data!$AJ$42*LN('Intermediate calculations'!BB60))+Data!$AK$42)</f>
        <v>3935575.3073844798</v>
      </c>
      <c r="BI41" s="22">
        <f>((Data!$AJ$42*LN('Intermediate calculations'!BC60))+Data!$AK$42)</f>
        <v>3957071.815643752</v>
      </c>
      <c r="BJ41" s="22">
        <f>((Data!$AJ$42*LN('Intermediate calculations'!BD60))+Data!$AK$42)</f>
        <v>3979189.6754788365</v>
      </c>
      <c r="BK41" s="22">
        <f>((Data!$AJ$42*LN('Intermediate calculations'!BE60))+Data!$AK$42)</f>
        <v>4001794.438054543</v>
      </c>
      <c r="BL41" s="22">
        <f>((Data!$AJ$42*LN('Intermediate calculations'!BF60))+Data!$AK$42)</f>
        <v>4025260.5594815463</v>
      </c>
      <c r="BM41" s="22">
        <f>((Data!$AJ$42*LN('Intermediate calculations'!BG60))+Data!$AK$42)</f>
        <v>4049263.7586767729</v>
      </c>
      <c r="BN41" s="22">
        <f>((Data!$AJ$42*LN('Intermediate calculations'!BH60))+Data!$AK$42)</f>
        <v>4073593.0925697926</v>
      </c>
      <c r="BO41" s="22">
        <f>((Data!$AJ$42*LN('Intermediate calculations'!BI60))+Data!$AK$42)</f>
        <v>4097227.2064878009</v>
      </c>
      <c r="BP41" s="22">
        <f>((Data!$AJ$42*LN('Intermediate calculations'!BJ60))+Data!$AK$42)</f>
        <v>4121240.5272861309</v>
      </c>
      <c r="BR41" s="23"/>
    </row>
    <row r="42" spans="1:72" x14ac:dyDescent="0.25">
      <c r="A42" t="str">
        <f>A41</f>
        <v>3C Aggregated and non-CO2 emissions on land</v>
      </c>
      <c r="D42" t="s">
        <v>370</v>
      </c>
      <c r="F42" t="s">
        <v>361</v>
      </c>
      <c r="H42" s="21">
        <v>1563000</v>
      </c>
      <c r="I42" s="21">
        <v>1436000</v>
      </c>
      <c r="J42" s="21">
        <v>750000</v>
      </c>
      <c r="K42" s="21">
        <v>1075000</v>
      </c>
      <c r="L42" s="21">
        <v>1048000</v>
      </c>
      <c r="M42" s="21">
        <v>1363000</v>
      </c>
      <c r="N42" s="21">
        <v>1294000</v>
      </c>
      <c r="O42" s="21">
        <v>1382000</v>
      </c>
      <c r="P42" s="21">
        <v>745000</v>
      </c>
      <c r="Q42" s="21">
        <v>718000</v>
      </c>
      <c r="R42" s="21">
        <v>934000</v>
      </c>
      <c r="S42" s="21">
        <v>974000</v>
      </c>
      <c r="T42" s="21">
        <v>941000</v>
      </c>
      <c r="U42" s="21">
        <v>748000</v>
      </c>
      <c r="V42" s="21">
        <v>830000</v>
      </c>
      <c r="W42" s="21">
        <v>805000</v>
      </c>
      <c r="X42" s="21">
        <v>765000</v>
      </c>
      <c r="Y42" s="21">
        <v>632000</v>
      </c>
      <c r="Z42" s="21">
        <v>748000</v>
      </c>
      <c r="AA42" s="21">
        <v>642000</v>
      </c>
      <c r="AB42" s="21">
        <v>558000</v>
      </c>
      <c r="AC42" s="21">
        <v>605000</v>
      </c>
      <c r="AD42" s="22">
        <f>Data!$AD$46</f>
        <v>492000</v>
      </c>
      <c r="AE42" s="22">
        <f t="shared" ref="AE42" si="10">AD42</f>
        <v>492000</v>
      </c>
      <c r="AF42" s="22">
        <f t="shared" ref="AF42" si="11">AE42</f>
        <v>492000</v>
      </c>
      <c r="AG42" s="22">
        <f t="shared" ref="AG42" si="12">AF42</f>
        <v>492000</v>
      </c>
      <c r="AH42" s="22">
        <f t="shared" ref="AH42" si="13">AG42</f>
        <v>492000</v>
      </c>
      <c r="AI42" s="22">
        <f t="shared" ref="AI42" si="14">AH42</f>
        <v>492000</v>
      </c>
      <c r="AJ42" s="22">
        <f t="shared" ref="AJ42:BP42" si="15">AI42</f>
        <v>492000</v>
      </c>
      <c r="AK42" s="22">
        <f t="shared" si="15"/>
        <v>492000</v>
      </c>
      <c r="AL42" s="22">
        <f t="shared" si="15"/>
        <v>492000</v>
      </c>
      <c r="AM42" s="22">
        <f t="shared" si="15"/>
        <v>492000</v>
      </c>
      <c r="AN42" s="22">
        <f t="shared" si="15"/>
        <v>492000</v>
      </c>
      <c r="AO42" s="22">
        <f t="shared" si="15"/>
        <v>492000</v>
      </c>
      <c r="AP42" s="22">
        <f t="shared" si="15"/>
        <v>492000</v>
      </c>
      <c r="AQ42" s="22">
        <f t="shared" si="15"/>
        <v>492000</v>
      </c>
      <c r="AR42" s="22">
        <f t="shared" si="15"/>
        <v>492000</v>
      </c>
      <c r="AS42" s="22">
        <f t="shared" si="15"/>
        <v>492000</v>
      </c>
      <c r="AT42" s="22">
        <f t="shared" si="15"/>
        <v>492000</v>
      </c>
      <c r="AU42" s="22">
        <f t="shared" si="15"/>
        <v>492000</v>
      </c>
      <c r="AV42" s="22">
        <f t="shared" si="15"/>
        <v>492000</v>
      </c>
      <c r="AW42" s="22">
        <f t="shared" si="15"/>
        <v>492000</v>
      </c>
      <c r="AX42" s="22">
        <f t="shared" si="15"/>
        <v>492000</v>
      </c>
      <c r="AY42" s="22">
        <f t="shared" si="15"/>
        <v>492000</v>
      </c>
      <c r="AZ42" s="22">
        <f t="shared" si="15"/>
        <v>492000</v>
      </c>
      <c r="BA42" s="22">
        <f t="shared" si="15"/>
        <v>492000</v>
      </c>
      <c r="BB42" s="22">
        <f t="shared" si="15"/>
        <v>492000</v>
      </c>
      <c r="BC42" s="22">
        <f t="shared" si="15"/>
        <v>492000</v>
      </c>
      <c r="BD42" s="22">
        <f t="shared" si="15"/>
        <v>492000</v>
      </c>
      <c r="BE42" s="22">
        <f t="shared" si="15"/>
        <v>492000</v>
      </c>
      <c r="BF42" s="22">
        <f t="shared" si="15"/>
        <v>492000</v>
      </c>
      <c r="BG42" s="22">
        <f t="shared" si="15"/>
        <v>492000</v>
      </c>
      <c r="BH42" s="22">
        <f t="shared" si="15"/>
        <v>492000</v>
      </c>
      <c r="BI42" s="22">
        <f t="shared" si="15"/>
        <v>492000</v>
      </c>
      <c r="BJ42" s="22">
        <f t="shared" si="15"/>
        <v>492000</v>
      </c>
      <c r="BK42" s="22">
        <f t="shared" si="15"/>
        <v>492000</v>
      </c>
      <c r="BL42" s="22">
        <f t="shared" si="15"/>
        <v>492000</v>
      </c>
      <c r="BM42" s="22">
        <f t="shared" si="15"/>
        <v>492000</v>
      </c>
      <c r="BN42" s="22">
        <f t="shared" si="15"/>
        <v>492000</v>
      </c>
      <c r="BO42" s="22">
        <f t="shared" si="15"/>
        <v>492000</v>
      </c>
      <c r="BP42" s="22">
        <f t="shared" si="15"/>
        <v>492000</v>
      </c>
      <c r="BR42" s="23"/>
    </row>
    <row r="43" spans="1:72" x14ac:dyDescent="0.25">
      <c r="A43" t="str">
        <f>A42</f>
        <v>3C Aggregated and non-CO2 emissions on land</v>
      </c>
      <c r="D43" t="s">
        <v>372</v>
      </c>
      <c r="F43" t="s">
        <v>361</v>
      </c>
      <c r="H43" s="21">
        <v>341000</v>
      </c>
      <c r="I43" s="21">
        <v>302000</v>
      </c>
      <c r="J43" s="21">
        <v>118000</v>
      </c>
      <c r="K43" s="21">
        <v>515368</v>
      </c>
      <c r="L43" s="21">
        <v>520185</v>
      </c>
      <c r="M43" s="21">
        <v>290557</v>
      </c>
      <c r="N43" s="21">
        <v>535839</v>
      </c>
      <c r="O43" s="21">
        <v>433371</v>
      </c>
      <c r="P43" s="21">
        <v>358469</v>
      </c>
      <c r="Q43" s="21">
        <v>223530</v>
      </c>
      <c r="R43" s="21">
        <v>142000</v>
      </c>
      <c r="S43" s="21">
        <v>88000</v>
      </c>
      <c r="T43" s="21">
        <v>75000</v>
      </c>
      <c r="U43" s="21">
        <v>95000</v>
      </c>
      <c r="V43" s="21">
        <v>130000</v>
      </c>
      <c r="W43" s="21">
        <v>86000</v>
      </c>
      <c r="X43" s="21">
        <v>37000</v>
      </c>
      <c r="Y43" s="21">
        <v>69000</v>
      </c>
      <c r="Z43" s="21">
        <v>87000</v>
      </c>
      <c r="AA43" s="21">
        <v>86000</v>
      </c>
      <c r="AB43" s="21">
        <v>87000</v>
      </c>
      <c r="AC43" s="21">
        <v>69000</v>
      </c>
      <c r="AD43" s="22">
        <f>Data!$AD$45</f>
        <v>42000</v>
      </c>
      <c r="AE43" s="22">
        <f>Data!$AD$45</f>
        <v>42000</v>
      </c>
      <c r="AF43" s="22">
        <f>Data!$AD$45</f>
        <v>42000</v>
      </c>
      <c r="AG43" s="22">
        <f>Data!$AD$45</f>
        <v>42000</v>
      </c>
      <c r="AH43" s="22">
        <f>Data!$AD$45</f>
        <v>42000</v>
      </c>
      <c r="AI43" s="22">
        <f>Data!$AD$45</f>
        <v>42000</v>
      </c>
      <c r="AJ43" s="22">
        <f>Data!$AD$45</f>
        <v>42000</v>
      </c>
      <c r="AK43" s="22">
        <f>Data!$AD$45</f>
        <v>42000</v>
      </c>
      <c r="AL43" s="22">
        <f>Data!$AD$45</f>
        <v>42000</v>
      </c>
      <c r="AM43" s="22">
        <f>Data!$AD$45</f>
        <v>42000</v>
      </c>
      <c r="AN43" s="22">
        <f>Data!$AD$45</f>
        <v>42000</v>
      </c>
      <c r="AO43" s="22">
        <f>Data!$AD$45</f>
        <v>42000</v>
      </c>
      <c r="AP43" s="22">
        <f>Data!$AD$45</f>
        <v>42000</v>
      </c>
      <c r="AQ43" s="22">
        <f>Data!$AD$45</f>
        <v>42000</v>
      </c>
      <c r="AR43" s="22">
        <f>Data!$AD$45</f>
        <v>42000</v>
      </c>
      <c r="AS43" s="22">
        <f>Data!$AD$45</f>
        <v>42000</v>
      </c>
      <c r="AT43" s="22">
        <f>Data!$AD$45</f>
        <v>42000</v>
      </c>
      <c r="AU43" s="22">
        <f>Data!$AD$45</f>
        <v>42000</v>
      </c>
      <c r="AV43" s="22">
        <f>Data!$AD$45</f>
        <v>42000</v>
      </c>
      <c r="AW43" s="22">
        <f>Data!$AD$45</f>
        <v>42000</v>
      </c>
      <c r="AX43" s="22">
        <f>Data!$AD$45</f>
        <v>42000</v>
      </c>
      <c r="AY43" s="22">
        <f>Data!$AD$45</f>
        <v>42000</v>
      </c>
      <c r="AZ43" s="22">
        <f>Data!$AD$45</f>
        <v>42000</v>
      </c>
      <c r="BA43" s="22">
        <f>Data!$AD$45</f>
        <v>42000</v>
      </c>
      <c r="BB43" s="22">
        <f>Data!$AD$45</f>
        <v>42000</v>
      </c>
      <c r="BC43" s="22">
        <f>Data!$AD$45</f>
        <v>42000</v>
      </c>
      <c r="BD43" s="22">
        <f>Data!$AD$45</f>
        <v>42000</v>
      </c>
      <c r="BE43" s="22">
        <f>Data!$AD$45</f>
        <v>42000</v>
      </c>
      <c r="BF43" s="22">
        <f>Data!$AD$45</f>
        <v>42000</v>
      </c>
      <c r="BG43" s="22">
        <f>Data!$AD$45</f>
        <v>42000</v>
      </c>
      <c r="BH43" s="22">
        <f>Data!$AD$45</f>
        <v>42000</v>
      </c>
      <c r="BI43" s="22">
        <f>Data!$AD$45</f>
        <v>42000</v>
      </c>
      <c r="BJ43" s="22">
        <f>Data!$AD$45</f>
        <v>42000</v>
      </c>
      <c r="BK43" s="22">
        <f>Data!$AD$45</f>
        <v>42000</v>
      </c>
      <c r="BL43" s="22">
        <f>Data!$AD$45</f>
        <v>42000</v>
      </c>
      <c r="BM43" s="22">
        <f>Data!$AD$45</f>
        <v>42000</v>
      </c>
      <c r="BN43" s="22">
        <f>Data!$AD$45</f>
        <v>42000</v>
      </c>
      <c r="BO43" s="22">
        <f>Data!$AD$45</f>
        <v>42000</v>
      </c>
      <c r="BP43" s="22">
        <f>Data!$AD$45</f>
        <v>42000</v>
      </c>
      <c r="BR43" s="23"/>
    </row>
    <row r="44" spans="1:72" ht="18.75" customHeight="1" x14ac:dyDescent="0.25">
      <c r="A44" s="20" t="s">
        <v>373</v>
      </c>
      <c r="B44" s="20"/>
      <c r="C44" s="20"/>
      <c r="D44" s="15"/>
      <c r="E44" s="15"/>
      <c r="F44" s="15"/>
      <c r="G44" s="15"/>
      <c r="H44" s="15"/>
      <c r="I44" s="15"/>
      <c r="J44" s="15"/>
      <c r="K44" s="15"/>
      <c r="L44" s="15"/>
      <c r="M44" s="15"/>
      <c r="N44" s="15"/>
      <c r="O44" s="15"/>
      <c r="P44" s="15"/>
      <c r="Q44" s="15"/>
      <c r="R44" s="15"/>
      <c r="S44" s="15"/>
      <c r="T44" s="15"/>
      <c r="U44" s="15"/>
      <c r="V44" s="15"/>
      <c r="W44" s="15"/>
      <c r="X44" s="15"/>
      <c r="Y44" s="15"/>
      <c r="Z44" s="15"/>
      <c r="AA44" s="15"/>
      <c r="AB44" s="15"/>
      <c r="AC44" s="15"/>
      <c r="AD44" s="15"/>
      <c r="AE44" s="15"/>
      <c r="AF44" s="15"/>
      <c r="AG44" s="15"/>
      <c r="AH44" s="15"/>
      <c r="AI44" s="15"/>
      <c r="AJ44" s="15"/>
      <c r="AK44" s="15"/>
      <c r="AL44" s="15"/>
      <c r="AM44" s="15"/>
      <c r="AN44" s="15"/>
      <c r="AO44" s="15"/>
      <c r="AP44" s="15"/>
      <c r="AQ44" s="15"/>
      <c r="AR44" s="15"/>
      <c r="AS44" s="15"/>
      <c r="AT44" s="15"/>
      <c r="AU44" s="15"/>
      <c r="AV44" s="15"/>
      <c r="AW44" s="15"/>
      <c r="AX44" s="15"/>
      <c r="AY44" s="15"/>
      <c r="AZ44" s="15"/>
      <c r="BA44" s="15"/>
      <c r="BB44" s="15"/>
      <c r="BC44" s="15"/>
      <c r="BD44" s="15"/>
      <c r="BE44" s="15"/>
      <c r="BF44" s="15"/>
      <c r="BG44" s="15"/>
      <c r="BH44" s="15"/>
      <c r="BI44" s="15"/>
      <c r="BJ44" s="15"/>
      <c r="BK44" s="15"/>
      <c r="BL44" s="15"/>
      <c r="BM44" s="15"/>
      <c r="BN44" s="15"/>
      <c r="BO44" s="15"/>
      <c r="BP44" s="15"/>
      <c r="BS44" s="16"/>
      <c r="BT44" s="15"/>
    </row>
    <row r="45" spans="1:72" x14ac:dyDescent="0.25">
      <c r="A45" t="str">
        <f>'IPCC Categories'!A59</f>
        <v>3C Aggregated and non-CO2 emissions on land</v>
      </c>
      <c r="B45" t="str">
        <f>'IPCC Categories'!B71</f>
        <v>3C2 Liming (CO2)</v>
      </c>
      <c r="C45" t="s">
        <v>383</v>
      </c>
      <c r="D45" t="s">
        <v>376</v>
      </c>
      <c r="E45" t="str">
        <f>C45&amp;D45</f>
        <v>Lime consumption - total</v>
      </c>
      <c r="F45" t="s">
        <v>321</v>
      </c>
      <c r="H45" s="21">
        <v>780000</v>
      </c>
      <c r="I45" s="21">
        <v>825000</v>
      </c>
      <c r="J45" s="21">
        <v>570000</v>
      </c>
      <c r="K45" s="21">
        <v>900000</v>
      </c>
      <c r="L45" s="21">
        <v>1299451</v>
      </c>
      <c r="M45" s="21">
        <v>1032745</v>
      </c>
      <c r="N45" s="21">
        <v>1263570</v>
      </c>
      <c r="O45" s="21">
        <v>1193985</v>
      </c>
      <c r="P45" s="21">
        <v>1244321</v>
      </c>
      <c r="Q45" s="21">
        <v>1237174</v>
      </c>
      <c r="R45" s="21">
        <v>825252</v>
      </c>
      <c r="S45" s="21">
        <v>1068357</v>
      </c>
      <c r="T45" s="21">
        <v>1467915</v>
      </c>
      <c r="U45" s="21">
        <v>1265742</v>
      </c>
      <c r="V45" s="21">
        <v>1264888</v>
      </c>
      <c r="W45" s="21">
        <v>580444</v>
      </c>
      <c r="X45" s="21">
        <v>963118</v>
      </c>
      <c r="Y45" s="21">
        <v>1137646</v>
      </c>
      <c r="Z45" s="21">
        <v>1429803</v>
      </c>
      <c r="AA45" s="21">
        <v>1517602.3688259386</v>
      </c>
      <c r="AB45" s="21">
        <v>1425245.0325037544</v>
      </c>
      <c r="AC45" s="21">
        <v>1576608.4448095565</v>
      </c>
      <c r="AD45" s="22">
        <f>AC45*(AD41/AC41)</f>
        <v>1934109.6399867192</v>
      </c>
      <c r="AE45" s="22">
        <f t="shared" ref="AE45:BP45" si="16">AD45*(AE41/AD41)</f>
        <v>1937738.3415604034</v>
      </c>
      <c r="AF45" s="22">
        <f t="shared" si="16"/>
        <v>1945679.817559784</v>
      </c>
      <c r="AG45" s="22">
        <f t="shared" si="16"/>
        <v>1951754.5556709033</v>
      </c>
      <c r="AH45" s="22">
        <f t="shared" si="16"/>
        <v>1956432.819344145</v>
      </c>
      <c r="AI45" s="22">
        <f t="shared" si="16"/>
        <v>1959651.4756442104</v>
      </c>
      <c r="AJ45" s="22">
        <f t="shared" si="16"/>
        <v>1964661.5940094385</v>
      </c>
      <c r="AK45" s="22">
        <f t="shared" si="16"/>
        <v>1969250.5339686887</v>
      </c>
      <c r="AL45" s="22">
        <f t="shared" si="16"/>
        <v>1973668.1499452749</v>
      </c>
      <c r="AM45" s="22">
        <f t="shared" si="16"/>
        <v>1948671.1983037018</v>
      </c>
      <c r="AN45" s="22">
        <f t="shared" si="16"/>
        <v>1957065.0038324599</v>
      </c>
      <c r="AO45" s="22">
        <f t="shared" si="16"/>
        <v>1964987.3086820231</v>
      </c>
      <c r="AP45" s="22">
        <f t="shared" si="16"/>
        <v>1972970.1902814168</v>
      </c>
      <c r="AQ45" s="22">
        <f t="shared" si="16"/>
        <v>1981380.6119749784</v>
      </c>
      <c r="AR45" s="22">
        <f t="shared" si="16"/>
        <v>1990460.3932987549</v>
      </c>
      <c r="AS45" s="22">
        <f t="shared" si="16"/>
        <v>1999683.9066682719</v>
      </c>
      <c r="AT45" s="22">
        <f t="shared" si="16"/>
        <v>2009286.8731898379</v>
      </c>
      <c r="AU45" s="22">
        <f t="shared" si="16"/>
        <v>2019305.2129313652</v>
      </c>
      <c r="AV45" s="22">
        <f t="shared" si="16"/>
        <v>2030228.224135149</v>
      </c>
      <c r="AW45" s="22">
        <f t="shared" si="16"/>
        <v>2040889.0469096873</v>
      </c>
      <c r="AX45" s="22">
        <f t="shared" si="16"/>
        <v>2052876.7952765143</v>
      </c>
      <c r="AY45" s="22">
        <f t="shared" si="16"/>
        <v>2064985.0339301834</v>
      </c>
      <c r="AZ45" s="22">
        <f t="shared" si="16"/>
        <v>2077153.5213913331</v>
      </c>
      <c r="BA45" s="22">
        <f t="shared" si="16"/>
        <v>2089323.872813079</v>
      </c>
      <c r="BB45" s="22">
        <f t="shared" si="16"/>
        <v>2100476.1127822036</v>
      </c>
      <c r="BC45" s="22">
        <f t="shared" si="16"/>
        <v>2111814.3859810075</v>
      </c>
      <c r="BD45" s="22">
        <f t="shared" si="16"/>
        <v>2123612.5256584655</v>
      </c>
      <c r="BE45" s="22">
        <f t="shared" si="16"/>
        <v>2135644.4909347985</v>
      </c>
      <c r="BF45" s="22">
        <f t="shared" si="16"/>
        <v>2147204.978818425</v>
      </c>
      <c r="BG45" s="22">
        <f t="shared" si="16"/>
        <v>2158685.7044052463</v>
      </c>
      <c r="BH45" s="22">
        <f t="shared" si="16"/>
        <v>2170290.7536923178</v>
      </c>
      <c r="BI45" s="22">
        <f t="shared" si="16"/>
        <v>2182145.1001265561</v>
      </c>
      <c r="BJ45" s="22">
        <f t="shared" si="16"/>
        <v>2194342.0936897276</v>
      </c>
      <c r="BK45" s="22">
        <f t="shared" si="16"/>
        <v>2206807.5919652693</v>
      </c>
      <c r="BL45" s="22">
        <f t="shared" si="16"/>
        <v>2219748.0904643042</v>
      </c>
      <c r="BM45" s="22">
        <f t="shared" si="16"/>
        <v>2232984.7629209813</v>
      </c>
      <c r="BN45" s="22">
        <f t="shared" si="16"/>
        <v>2246401.2838277062</v>
      </c>
      <c r="BO45" s="22">
        <f t="shared" si="16"/>
        <v>2259434.4225435941</v>
      </c>
      <c r="BP45" s="22">
        <f t="shared" si="16"/>
        <v>2272676.6766039538</v>
      </c>
      <c r="BR45" s="23"/>
    </row>
    <row r="46" spans="1:72" x14ac:dyDescent="0.25">
      <c r="A46" t="str">
        <f>A45</f>
        <v>3C Aggregated and non-CO2 emissions on land</v>
      </c>
      <c r="B46" t="str">
        <f>'IPCC Categories'!B72</f>
        <v>3C3 Urea application (CO2)</v>
      </c>
      <c r="C46" t="s">
        <v>114</v>
      </c>
      <c r="D46" t="s">
        <v>376</v>
      </c>
      <c r="E46" t="str">
        <f>C46&amp;D46</f>
        <v>Urea application - total</v>
      </c>
      <c r="F46" t="s">
        <v>321</v>
      </c>
      <c r="H46" s="21">
        <v>124083.5011138469</v>
      </c>
      <c r="I46" s="21">
        <v>152218.50271143019</v>
      </c>
      <c r="J46" s="21">
        <v>180353.50430901349</v>
      </c>
      <c r="K46" s="21">
        <v>208488.50590658933</v>
      </c>
      <c r="L46" s="21">
        <v>236623.50750417262</v>
      </c>
      <c r="M46" s="21">
        <v>264758.50910175592</v>
      </c>
      <c r="N46" s="21">
        <v>292893.51069933921</v>
      </c>
      <c r="O46" s="21">
        <v>321028.5122969225</v>
      </c>
      <c r="P46" s="21">
        <v>349163.5138945058</v>
      </c>
      <c r="Q46" s="21">
        <v>377298.51549208909</v>
      </c>
      <c r="R46" s="21">
        <v>405433.51708967239</v>
      </c>
      <c r="S46" s="21">
        <v>433568.51868725568</v>
      </c>
      <c r="T46" s="21">
        <v>461703.52028483152</v>
      </c>
      <c r="U46" s="21">
        <v>489838.52188241482</v>
      </c>
      <c r="V46" s="21">
        <v>594407</v>
      </c>
      <c r="W46" s="21">
        <v>484209</v>
      </c>
      <c r="X46" s="21">
        <v>536026</v>
      </c>
      <c r="Y46" s="21">
        <v>660755</v>
      </c>
      <c r="Z46" s="21">
        <v>654808</v>
      </c>
      <c r="AA46" s="21">
        <v>518924</v>
      </c>
      <c r="AB46" s="21">
        <v>683837</v>
      </c>
      <c r="AC46" s="21">
        <v>778897</v>
      </c>
      <c r="AD46" s="22">
        <f>((Data!$AJ$48*'Activity data'!AD47)+Data!$AK$48)</f>
        <v>641039.33073872479</v>
      </c>
      <c r="AE46" s="22">
        <f>((Data!$AJ$48*'Activity data'!AE47)+Data!$AK$48)</f>
        <v>640982.18813816586</v>
      </c>
      <c r="AF46" s="22">
        <f>((Data!$AJ$48*'Activity data'!AF47)+Data!$AK$48)</f>
        <v>640857.13057097117</v>
      </c>
      <c r="AG46" s="22">
        <f>((Data!$AJ$48*'Activity data'!AG47)+Data!$AK$48)</f>
        <v>640761.46926448587</v>
      </c>
      <c r="AH46" s="22">
        <f>((Data!$AJ$48*'Activity data'!AH47)+Data!$AK$48)</f>
        <v>640687.79879394395</v>
      </c>
      <c r="AI46" s="22">
        <f>((Data!$AJ$48*'Activity data'!AI47)+Data!$AK$48)</f>
        <v>640637.11333867675</v>
      </c>
      <c r="AJ46" s="22">
        <f>((Data!$AJ$48*'Activity data'!AJ47)+Data!$AK$48)</f>
        <v>640558.2170208937</v>
      </c>
      <c r="AK46" s="22">
        <f>((Data!$AJ$48*'Activity data'!AK47)+Data!$AK$48)</f>
        <v>640485.95316624618</v>
      </c>
      <c r="AL46" s="22">
        <f>((Data!$AJ$48*'Activity data'!AL47)+Data!$AK$48)</f>
        <v>640416.38721819373</v>
      </c>
      <c r="AM46" s="22">
        <f>((Data!$AJ$48*'Activity data'!AM47)+Data!$AK$48)</f>
        <v>640810.02411388222</v>
      </c>
      <c r="AN46" s="22">
        <f>((Data!$AJ$48*'Activity data'!AN47)+Data!$AK$48)</f>
        <v>640677.84353447671</v>
      </c>
      <c r="AO46" s="22">
        <f>((Data!$AJ$48*'Activity data'!AO47)+Data!$AK$48)</f>
        <v>640553.08786296938</v>
      </c>
      <c r="AP46" s="22">
        <f>((Data!$AJ$48*'Activity data'!AP47)+Data!$AK$48)</f>
        <v>640427.37826539564</v>
      </c>
      <c r="AQ46" s="22">
        <f>((Data!$AJ$48*'Activity data'!AQ47)+Data!$AK$48)</f>
        <v>640294.93602466339</v>
      </c>
      <c r="AR46" s="22">
        <f>((Data!$AJ$48*'Activity data'!AR47)+Data!$AK$48)</f>
        <v>640151.95311278396</v>
      </c>
      <c r="AS46" s="22">
        <f>((Data!$AJ$48*'Activity data'!AS47)+Data!$AK$48)</f>
        <v>640006.70679546578</v>
      </c>
      <c r="AT46" s="22">
        <f>((Data!$AJ$48*'Activity data'!AT47)+Data!$AK$48)</f>
        <v>639855.48507910816</v>
      </c>
      <c r="AU46" s="22">
        <f>((Data!$AJ$48*'Activity data'!AU47)+Data!$AK$48)</f>
        <v>639697.72231617791</v>
      </c>
      <c r="AV46" s="22">
        <f>((Data!$AJ$48*'Activity data'!AV47)+Data!$AK$48)</f>
        <v>639525.71333350358</v>
      </c>
      <c r="AW46" s="22">
        <f>((Data!$AJ$48*'Activity data'!AW47)+Data!$AK$48)</f>
        <v>639357.83313584479</v>
      </c>
      <c r="AX46" s="22">
        <f>((Data!$AJ$48*'Activity data'!AX47)+Data!$AK$48)</f>
        <v>639169.05731545377</v>
      </c>
      <c r="AY46" s="22">
        <f>((Data!$AJ$48*'Activity data'!AY47)+Data!$AK$48)</f>
        <v>638978.38408680458</v>
      </c>
      <c r="AZ46" s="22">
        <f>((Data!$AJ$48*'Activity data'!AZ47)+Data!$AK$48)</f>
        <v>638786.76209632703</v>
      </c>
      <c r="BA46" s="22">
        <f>((Data!$AJ$48*'Activity data'!BA47)+Data!$AK$48)</f>
        <v>638595.11075332377</v>
      </c>
      <c r="BB46" s="22">
        <f>((Data!$AJ$48*'Activity data'!BB47)+Data!$AK$48)</f>
        <v>638419.49201451254</v>
      </c>
      <c r="BC46" s="22">
        <f>((Data!$AJ$48*'Activity data'!BC47)+Data!$AK$48)</f>
        <v>638240.94373676879</v>
      </c>
      <c r="BD46" s="22">
        <f>((Data!$AJ$48*'Activity data'!BD47)+Data!$AK$48)</f>
        <v>638055.15375948977</v>
      </c>
      <c r="BE46" s="22">
        <f>((Data!$AJ$48*'Activity data'!BE47)+Data!$AK$48)</f>
        <v>637865.6816379159</v>
      </c>
      <c r="BF46" s="22">
        <f>((Data!$AJ$48*'Activity data'!BF47)+Data!$AK$48)</f>
        <v>637683.6340575387</v>
      </c>
      <c r="BG46" s="22">
        <f>((Data!$AJ$48*'Activity data'!BG47)+Data!$AK$48)</f>
        <v>637502.84252563317</v>
      </c>
      <c r="BH46" s="22">
        <f>((Data!$AJ$48*'Activity data'!BH47)+Data!$AK$48)</f>
        <v>637320.09321919072</v>
      </c>
      <c r="BI46" s="22">
        <f>((Data!$AJ$48*'Activity data'!BI47)+Data!$AK$48)</f>
        <v>637133.41813185613</v>
      </c>
      <c r="BJ46" s="22">
        <f>((Data!$AJ$48*'Activity data'!BJ47)+Data!$AK$48)</f>
        <v>636941.34724450216</v>
      </c>
      <c r="BK46" s="22">
        <f>((Data!$AJ$48*'Activity data'!BK47)+Data!$AK$48)</f>
        <v>636745.04810712126</v>
      </c>
      <c r="BL46" s="22">
        <f>((Data!$AJ$48*'Activity data'!BL47)+Data!$AK$48)</f>
        <v>636541.26895313233</v>
      </c>
      <c r="BM46" s="22">
        <f>((Data!$AJ$48*'Activity data'!BM47)+Data!$AK$48)</f>
        <v>636332.82583055471</v>
      </c>
      <c r="BN46" s="22">
        <f>((Data!$AJ$48*'Activity data'!BN47)+Data!$AK$48)</f>
        <v>636121.55056321854</v>
      </c>
      <c r="BO46" s="22">
        <f>((Data!$AJ$48*'Activity data'!BO47)+Data!$AK$48)</f>
        <v>635916.31256705162</v>
      </c>
      <c r="BP46" s="22">
        <f>((Data!$AJ$48*'Activity data'!BP47)+Data!$AK$48)</f>
        <v>635707.78154875059</v>
      </c>
      <c r="BR46" s="23"/>
    </row>
    <row r="47" spans="1:72" x14ac:dyDescent="0.25">
      <c r="A47" t="str">
        <f>A45</f>
        <v>3C Aggregated and non-CO2 emissions on land</v>
      </c>
      <c r="B47" t="str">
        <f>'IPCC Categories'!B73</f>
        <v>3C4 Direct N2O from managed soils (N2O)</v>
      </c>
      <c r="C47" t="s">
        <v>384</v>
      </c>
      <c r="D47" t="s">
        <v>376</v>
      </c>
      <c r="E47" t="str">
        <f>C47&amp;D47</f>
        <v>Inorganic N application - total</v>
      </c>
      <c r="F47" t="s">
        <v>321</v>
      </c>
      <c r="H47" s="21">
        <v>343689</v>
      </c>
      <c r="I47" s="21">
        <v>365035</v>
      </c>
      <c r="J47" s="21">
        <v>347525</v>
      </c>
      <c r="K47" s="21">
        <v>408459</v>
      </c>
      <c r="L47" s="21">
        <v>375066</v>
      </c>
      <c r="M47" s="21">
        <v>371491</v>
      </c>
      <c r="N47" s="21">
        <v>415084</v>
      </c>
      <c r="O47" s="21">
        <v>406914</v>
      </c>
      <c r="P47" s="21">
        <v>415521</v>
      </c>
      <c r="Q47" s="21">
        <v>413045</v>
      </c>
      <c r="R47" s="21">
        <v>415933</v>
      </c>
      <c r="S47" s="21">
        <v>395813</v>
      </c>
      <c r="T47" s="21">
        <v>477072</v>
      </c>
      <c r="U47" s="21">
        <v>420827</v>
      </c>
      <c r="V47" s="21">
        <v>427571</v>
      </c>
      <c r="W47" s="21">
        <v>347260</v>
      </c>
      <c r="X47" s="21">
        <v>428719</v>
      </c>
      <c r="Y47" s="21">
        <v>439480</v>
      </c>
      <c r="Z47" s="21">
        <v>424123</v>
      </c>
      <c r="AA47" s="21">
        <v>453777</v>
      </c>
      <c r="AB47" s="21">
        <v>395000</v>
      </c>
      <c r="AC47" s="21">
        <v>419000</v>
      </c>
      <c r="AD47" s="22">
        <f>((Data!$AJ$49*'Activity data'!AD41)+Data!$AK$49)</f>
        <v>420412.44040319067</v>
      </c>
      <c r="AE47" s="22">
        <f>((Data!$AJ$49*'Activity data'!AE41)+Data!$AK$49)</f>
        <v>420370.41066935973</v>
      </c>
      <c r="AF47" s="22">
        <f>((Data!$AJ$49*'Activity data'!AF41)+Data!$AK$49)</f>
        <v>420278.42787173879</v>
      </c>
      <c r="AG47" s="22">
        <f>((Data!$AJ$49*'Activity data'!AG41)+Data!$AK$49)</f>
        <v>420208.06671893556</v>
      </c>
      <c r="AH47" s="22">
        <f>((Data!$AJ$49*'Activity data'!AH41)+Data!$AK$49)</f>
        <v>420153.88034593553</v>
      </c>
      <c r="AI47" s="22">
        <f>((Data!$AJ$49*'Activity data'!AI41)+Data!$AK$49)</f>
        <v>420116.59999514389</v>
      </c>
      <c r="AJ47" s="22">
        <f>((Data!$AJ$49*'Activity data'!AJ41)+Data!$AK$49)</f>
        <v>420058.56988793437</v>
      </c>
      <c r="AK47" s="22">
        <f>((Data!$AJ$49*'Activity data'!AK41)+Data!$AK$49)</f>
        <v>420005.41811418359</v>
      </c>
      <c r="AL47" s="22">
        <f>((Data!$AJ$49*'Activity data'!AL41)+Data!$AK$49)</f>
        <v>419954.25071452477</v>
      </c>
      <c r="AM47" s="22">
        <f>((Data!$AJ$49*'Activity data'!AM41)+Data!$AK$49)</f>
        <v>420243.77995873161</v>
      </c>
      <c r="AN47" s="22">
        <f>((Data!$AJ$49*'Activity data'!AN41)+Data!$AK$49)</f>
        <v>420146.55801720818</v>
      </c>
      <c r="AO47" s="22">
        <f>((Data!$AJ$49*'Activity data'!AO41)+Data!$AK$49)</f>
        <v>420054.7972710036</v>
      </c>
      <c r="AP47" s="22">
        <f>((Data!$AJ$49*'Activity data'!AP41)+Data!$AK$49)</f>
        <v>419962.33488962182</v>
      </c>
      <c r="AQ47" s="22">
        <f>((Data!$AJ$49*'Activity data'!AQ41)+Data!$AK$49)</f>
        <v>419864.92049000564</v>
      </c>
      <c r="AR47" s="22">
        <f>((Data!$AJ$49*'Activity data'!AR41)+Data!$AK$49)</f>
        <v>419759.75317752967</v>
      </c>
      <c r="AS47" s="22">
        <f>((Data!$AJ$49*'Activity data'!AS41)+Data!$AK$49)</f>
        <v>419652.92107683595</v>
      </c>
      <c r="AT47" s="22">
        <f>((Data!$AJ$49*'Activity data'!AT41)+Data!$AK$49)</f>
        <v>419541.69392886211</v>
      </c>
      <c r="AU47" s="22">
        <f>((Data!$AJ$49*'Activity data'!AU41)+Data!$AK$49)</f>
        <v>419425.65568647307</v>
      </c>
      <c r="AV47" s="22">
        <f>((Data!$AJ$49*'Activity data'!AV41)+Data!$AK$49)</f>
        <v>419299.1390126145</v>
      </c>
      <c r="AW47" s="22">
        <f>((Data!$AJ$49*'Activity data'!AW41)+Data!$AK$49)</f>
        <v>419175.65915775887</v>
      </c>
      <c r="AX47" s="22">
        <f>((Data!$AJ$49*'Activity data'!AX41)+Data!$AK$49)</f>
        <v>419036.81007831282</v>
      </c>
      <c r="AY47" s="22">
        <f>((Data!$AJ$49*'Activity data'!AY41)+Data!$AK$49)</f>
        <v>418896.56541022926</v>
      </c>
      <c r="AZ47" s="22">
        <f>((Data!$AJ$49*'Activity data'!AZ41)+Data!$AK$49)</f>
        <v>418755.62290538766</v>
      </c>
      <c r="BA47" s="22">
        <f>((Data!$AJ$49*'Activity data'!BA41)+Data!$AK$49)</f>
        <v>418614.65881106944</v>
      </c>
      <c r="BB47" s="22">
        <f>((Data!$AJ$49*'Activity data'!BB41)+Data!$AK$49)</f>
        <v>418485.48707622063</v>
      </c>
      <c r="BC47" s="22">
        <f>((Data!$AJ$49*'Activity data'!BC41)+Data!$AK$49)</f>
        <v>418354.16059621889</v>
      </c>
      <c r="BD47" s="22">
        <f>((Data!$AJ$49*'Activity data'!BD41)+Data!$AK$49)</f>
        <v>418217.50767498108</v>
      </c>
      <c r="BE47" s="22">
        <f>((Data!$AJ$49*'Activity data'!BE41)+Data!$AK$49)</f>
        <v>418078.14644955128</v>
      </c>
      <c r="BF47" s="22">
        <f>((Data!$AJ$49*'Activity data'!BF41)+Data!$AK$49)</f>
        <v>417944.2461497226</v>
      </c>
      <c r="BG47" s="22">
        <f>((Data!$AJ$49*'Activity data'!BG41)+Data!$AK$49)</f>
        <v>417811.2697032438</v>
      </c>
      <c r="BH47" s="22">
        <f>((Data!$AJ$49*'Activity data'!BH41)+Data!$AK$49)</f>
        <v>417676.85326730204</v>
      </c>
      <c r="BI47" s="22">
        <f>((Data!$AJ$49*'Activity data'!BI41)+Data!$AK$49)</f>
        <v>417539.5493266902</v>
      </c>
      <c r="BJ47" s="22">
        <f>((Data!$AJ$49*'Activity data'!BJ41)+Data!$AK$49)</f>
        <v>417398.27664758207</v>
      </c>
      <c r="BK47" s="22">
        <f>((Data!$AJ$49*'Activity data'!BK41)+Data!$AK$49)</f>
        <v>417253.89399060333</v>
      </c>
      <c r="BL47" s="22">
        <f>((Data!$AJ$49*'Activity data'!BL41)+Data!$AK$49)</f>
        <v>417104.00960454665</v>
      </c>
      <c r="BM47" s="22">
        <f>((Data!$AJ$49*'Activity data'!BM41)+Data!$AK$49)</f>
        <v>416950.69475931482</v>
      </c>
      <c r="BN47" s="22">
        <f>((Data!$AJ$49*'Activity data'!BN41)+Data!$AK$49)</f>
        <v>416795.29680464783</v>
      </c>
      <c r="BO47" s="22">
        <f>((Data!$AJ$49*'Activity data'!BO41)+Data!$AK$49)</f>
        <v>416644.3394056753</v>
      </c>
      <c r="BP47" s="22">
        <f>((Data!$AJ$49*'Activity data'!BP41)+Data!$AK$49)</f>
        <v>416490.95991106064</v>
      </c>
      <c r="BR47" s="23"/>
    </row>
    <row r="48" spans="1:72" x14ac:dyDescent="0.25">
      <c r="A48" t="str">
        <f>A47</f>
        <v>3C Aggregated and non-CO2 emissions on land</v>
      </c>
      <c r="B48" t="str">
        <f>B47</f>
        <v>3C4 Direct N2O from managed soils (N2O)</v>
      </c>
      <c r="C48" t="s">
        <v>390</v>
      </c>
      <c r="D48" t="s">
        <v>376</v>
      </c>
      <c r="E48" t="str">
        <f>C48&amp;D48</f>
        <v>Compost N - total</v>
      </c>
      <c r="F48" t="s">
        <v>321</v>
      </c>
      <c r="H48" s="22">
        <f t="shared" ref="H48:AM48" si="17">H47*0.05*0.33*0.8*0.5</f>
        <v>2268.3474000000001</v>
      </c>
      <c r="I48" s="22">
        <f t="shared" si="17"/>
        <v>2409.2310000000002</v>
      </c>
      <c r="J48" s="22">
        <f t="shared" si="17"/>
        <v>2293.6650000000004</v>
      </c>
      <c r="K48" s="22">
        <f t="shared" si="17"/>
        <v>2695.8294000000005</v>
      </c>
      <c r="L48" s="22">
        <f t="shared" si="17"/>
        <v>2475.4356000000002</v>
      </c>
      <c r="M48" s="22">
        <f t="shared" si="17"/>
        <v>2451.8406</v>
      </c>
      <c r="N48" s="22">
        <f t="shared" si="17"/>
        <v>2739.5544000000004</v>
      </c>
      <c r="O48" s="22">
        <f t="shared" si="17"/>
        <v>2685.6324000000004</v>
      </c>
      <c r="P48" s="22">
        <f t="shared" si="17"/>
        <v>2742.4386000000009</v>
      </c>
      <c r="Q48" s="22">
        <f t="shared" si="17"/>
        <v>2726.0970000000002</v>
      </c>
      <c r="R48" s="22">
        <f t="shared" si="17"/>
        <v>2745.1578000000009</v>
      </c>
      <c r="S48" s="22">
        <f t="shared" si="17"/>
        <v>2612.3658000000005</v>
      </c>
      <c r="T48" s="22">
        <f t="shared" si="17"/>
        <v>3148.6752000000006</v>
      </c>
      <c r="U48" s="22">
        <f t="shared" si="17"/>
        <v>2777.4582000000009</v>
      </c>
      <c r="V48" s="22">
        <f t="shared" si="17"/>
        <v>2821.9686000000006</v>
      </c>
      <c r="W48" s="22">
        <f t="shared" si="17"/>
        <v>2291.9160000000002</v>
      </c>
      <c r="X48" s="22">
        <f t="shared" si="17"/>
        <v>2829.5454000000004</v>
      </c>
      <c r="Y48" s="22">
        <f t="shared" si="17"/>
        <v>2900.5680000000002</v>
      </c>
      <c r="Z48" s="22">
        <f t="shared" si="17"/>
        <v>2799.2118000000005</v>
      </c>
      <c r="AA48" s="22">
        <f t="shared" si="17"/>
        <v>2994.9282000000003</v>
      </c>
      <c r="AB48" s="22">
        <f t="shared" si="17"/>
        <v>2607</v>
      </c>
      <c r="AC48" s="22">
        <f t="shared" si="17"/>
        <v>2765.4</v>
      </c>
      <c r="AD48" s="22">
        <f t="shared" ref="AD48:AI48" si="18">AD47*0.05*0.33*0.8*0.5</f>
        <v>2774.7221066610591</v>
      </c>
      <c r="AE48" s="22">
        <f t="shared" si="18"/>
        <v>2774.4447104177748</v>
      </c>
      <c r="AF48" s="22">
        <f t="shared" si="18"/>
        <v>2773.8376239534764</v>
      </c>
      <c r="AG48" s="22">
        <f t="shared" si="18"/>
        <v>2773.3732403449753</v>
      </c>
      <c r="AH48" s="22">
        <f t="shared" si="18"/>
        <v>2773.0156102831752</v>
      </c>
      <c r="AI48" s="22">
        <f t="shared" si="18"/>
        <v>2772.76955996795</v>
      </c>
      <c r="AJ48" s="22">
        <f t="shared" si="17"/>
        <v>2772.3865612603677</v>
      </c>
      <c r="AK48" s="22">
        <f t="shared" si="17"/>
        <v>2772.035759553612</v>
      </c>
      <c r="AL48" s="22">
        <f t="shared" si="17"/>
        <v>2771.6980547158641</v>
      </c>
      <c r="AM48" s="22">
        <f t="shared" si="17"/>
        <v>2773.6089477276291</v>
      </c>
      <c r="AN48" s="22">
        <f t="shared" ref="AN48:BP48" si="19">AN47*0.05*0.33*0.8*0.5</f>
        <v>2772.9672829135743</v>
      </c>
      <c r="AO48" s="22">
        <f t="shared" si="19"/>
        <v>2772.3616619886243</v>
      </c>
      <c r="AP48" s="22">
        <f t="shared" si="19"/>
        <v>2771.7514102715045</v>
      </c>
      <c r="AQ48" s="22">
        <f t="shared" si="19"/>
        <v>2771.1084752340375</v>
      </c>
      <c r="AR48" s="22">
        <f t="shared" si="19"/>
        <v>2770.4143709716964</v>
      </c>
      <c r="AS48" s="22">
        <f t="shared" si="19"/>
        <v>2769.7092791071177</v>
      </c>
      <c r="AT48" s="22">
        <f t="shared" si="19"/>
        <v>2768.9751799304904</v>
      </c>
      <c r="AU48" s="22">
        <f t="shared" si="19"/>
        <v>2768.2093275307229</v>
      </c>
      <c r="AV48" s="22">
        <f t="shared" si="19"/>
        <v>2767.3743174832562</v>
      </c>
      <c r="AW48" s="22">
        <f t="shared" si="19"/>
        <v>2766.5593504412091</v>
      </c>
      <c r="AX48" s="22">
        <f t="shared" si="19"/>
        <v>2765.6429465168653</v>
      </c>
      <c r="AY48" s="22">
        <f t="shared" si="19"/>
        <v>2764.7173317075139</v>
      </c>
      <c r="AZ48" s="22">
        <f t="shared" si="19"/>
        <v>2763.7871111755594</v>
      </c>
      <c r="BA48" s="22">
        <f t="shared" si="19"/>
        <v>2762.856748153059</v>
      </c>
      <c r="BB48" s="22">
        <f t="shared" si="19"/>
        <v>2762.0042147030567</v>
      </c>
      <c r="BC48" s="22">
        <f t="shared" si="19"/>
        <v>2761.1374599350456</v>
      </c>
      <c r="BD48" s="22">
        <f t="shared" si="19"/>
        <v>2760.2355506548756</v>
      </c>
      <c r="BE48" s="22">
        <f t="shared" si="19"/>
        <v>2759.3157665670387</v>
      </c>
      <c r="BF48" s="22">
        <f t="shared" si="19"/>
        <v>2758.4320245881695</v>
      </c>
      <c r="BG48" s="22">
        <f t="shared" si="19"/>
        <v>2757.5543800414093</v>
      </c>
      <c r="BH48" s="22">
        <f t="shared" si="19"/>
        <v>2756.667231564194</v>
      </c>
      <c r="BI48" s="22">
        <f t="shared" si="19"/>
        <v>2755.7610255561558</v>
      </c>
      <c r="BJ48" s="22">
        <f t="shared" si="19"/>
        <v>2754.8286258740422</v>
      </c>
      <c r="BK48" s="22">
        <f t="shared" si="19"/>
        <v>2753.8757003379828</v>
      </c>
      <c r="BL48" s="22">
        <f t="shared" si="19"/>
        <v>2752.8864633900084</v>
      </c>
      <c r="BM48" s="22">
        <f t="shared" si="19"/>
        <v>2751.8745854114786</v>
      </c>
      <c r="BN48" s="22">
        <f t="shared" si="19"/>
        <v>2750.8489589106762</v>
      </c>
      <c r="BO48" s="22">
        <f t="shared" si="19"/>
        <v>2749.8526400774576</v>
      </c>
      <c r="BP48" s="22">
        <f t="shared" si="19"/>
        <v>2748.8403354130005</v>
      </c>
      <c r="BR48" s="23"/>
    </row>
    <row r="49" spans="1:72" ht="18.75" customHeight="1" x14ac:dyDescent="0.25">
      <c r="A49" s="20" t="s">
        <v>629</v>
      </c>
      <c r="B49" s="20"/>
      <c r="C49" s="20"/>
      <c r="D49" s="15"/>
      <c r="E49" s="15"/>
      <c r="F49" s="15"/>
      <c r="G49" s="15"/>
      <c r="H49" s="15"/>
      <c r="I49" s="15"/>
      <c r="J49" s="15"/>
      <c r="K49" s="15"/>
      <c r="L49" s="15"/>
      <c r="M49" s="15"/>
      <c r="N49" s="15"/>
      <c r="O49" s="15"/>
      <c r="P49" s="15"/>
      <c r="Q49" s="15"/>
      <c r="R49" s="15"/>
      <c r="S49" s="15"/>
      <c r="T49" s="15"/>
      <c r="U49" s="15"/>
      <c r="V49" s="15"/>
      <c r="W49" s="15"/>
      <c r="X49" s="15"/>
      <c r="Y49" s="15"/>
      <c r="Z49" s="15"/>
      <c r="AA49" s="15"/>
      <c r="AB49" s="15"/>
      <c r="AC49" s="15"/>
      <c r="AD49" s="15"/>
      <c r="AE49" s="15"/>
      <c r="AF49" s="15"/>
      <c r="AG49" s="15"/>
      <c r="AH49" s="15"/>
      <c r="AI49" s="15"/>
      <c r="AJ49" s="15"/>
      <c r="AK49" s="15"/>
      <c r="AL49" s="15"/>
      <c r="AM49" s="15"/>
      <c r="AN49" s="15"/>
      <c r="AO49" s="15"/>
      <c r="AP49" s="15"/>
      <c r="AQ49" s="15"/>
      <c r="AR49" s="15"/>
      <c r="AS49" s="15"/>
      <c r="AT49" s="15"/>
      <c r="AU49" s="15"/>
      <c r="AV49" s="15"/>
      <c r="AW49" s="15"/>
      <c r="AX49" s="15"/>
      <c r="AY49" s="15"/>
      <c r="AZ49" s="15"/>
      <c r="BA49" s="15"/>
      <c r="BB49" s="15"/>
      <c r="BC49" s="15"/>
      <c r="BD49" s="15"/>
      <c r="BE49" s="15"/>
      <c r="BF49" s="15"/>
      <c r="BG49" s="15"/>
      <c r="BH49" s="15"/>
      <c r="BI49" s="15"/>
      <c r="BJ49" s="15"/>
      <c r="BK49" s="15"/>
      <c r="BL49" s="15"/>
      <c r="BM49" s="15"/>
      <c r="BN49" s="15"/>
      <c r="BO49" s="15"/>
      <c r="BP49" s="15"/>
      <c r="BS49" s="16"/>
      <c r="BT49" s="15"/>
    </row>
    <row r="50" spans="1:72" x14ac:dyDescent="0.25">
      <c r="A50" t="str">
        <f>Constants!A130</f>
        <v>3C Aggregated and non-CO2 emissions on land</v>
      </c>
      <c r="B50" t="str">
        <f>Constants!B130</f>
        <v>3C4 Direct N2O from managed soils (N2O)</v>
      </c>
      <c r="C50" t="s">
        <v>409</v>
      </c>
      <c r="D50" t="str">
        <f>Constants!D115</f>
        <v xml:space="preserve"> - TMR</v>
      </c>
      <c r="E50" t="str">
        <f>C50&amp;D50</f>
        <v>MM N available - TMR</v>
      </c>
      <c r="F50" t="s">
        <v>407</v>
      </c>
      <c r="H50" s="22">
        <f>((H5*Constants!$H63*Constants!$H81*(1-Constants!$H99))+(H5*Constants!$H63*Constants!$H115))</f>
        <v>16768553.295054734</v>
      </c>
      <c r="I50" s="22">
        <f>((I5*Constants!$H63*Constants!$H81*(1-Constants!$H99))+(I5*Constants!$H63*Constants!$H115))</f>
        <v>19304960.418965299</v>
      </c>
      <c r="J50" s="22">
        <f>((J5*Constants!$H63*Constants!$H81*(1-Constants!$H99))+(J5*Constants!$H63*Constants!$H115))</f>
        <v>16701288.624605378</v>
      </c>
      <c r="K50" s="22">
        <f>((K5*Constants!$H63*Constants!$H81*(1-Constants!$H99))+(K5*Constants!$H63*Constants!$H115))</f>
        <v>17713281.812601872</v>
      </c>
      <c r="L50" s="22">
        <f>((L5*Constants!$H63*Constants!$H81*(1-Constants!$H99))+(L5*Constants!$H63*Constants!$H115))</f>
        <v>16432229.94280795</v>
      </c>
      <c r="M50" s="22">
        <f>((M5*Constants!$H63*Constants!$H81*(1-Constants!$H99))+(M5*Constants!$H63*Constants!$H115))</f>
        <v>17578752.471703161</v>
      </c>
      <c r="N50" s="22">
        <f>((N5*Constants!$H63*Constants!$H81*(1-Constants!$H99))+(N5*Constants!$H63*Constants!$H115))</f>
        <v>17646017.142152518</v>
      </c>
      <c r="O50" s="22">
        <f>((O5*Constants!$H63*Constants!$H81*(1-Constants!$H99))+(O5*Constants!$H63*Constants!$H115))</f>
        <v>17011915.361174878</v>
      </c>
      <c r="P50" s="22">
        <f>((P5*Constants!$H63*Constants!$H81*(1-Constants!$H99))+(P5*Constants!$H63*Constants!$H115))</f>
        <v>16810121.349826809</v>
      </c>
      <c r="Q50" s="22">
        <f>((Q5*Constants!$H63*Constants!$H81*(1-Constants!$H99))+(Q5*Constants!$H63*Constants!$H115))</f>
        <v>16512342.921095951</v>
      </c>
      <c r="R50" s="22">
        <f>((R5*Constants!$H63*Constants!$H81*(1-Constants!$H99))+(R5*Constants!$H63*Constants!$H115))</f>
        <v>21261682.124508936</v>
      </c>
      <c r="S50" s="22">
        <f>((S5*Constants!$H63*Constants!$H81*(1-Constants!$H99))+(S5*Constants!$H63*Constants!$H115))</f>
        <v>21194417.454059578</v>
      </c>
      <c r="T50" s="22">
        <f>((T5*Constants!$H63*Constants!$H81*(1-Constants!$H99))+(T5*Constants!$H63*Constants!$H115))</f>
        <v>18481912.934478231</v>
      </c>
      <c r="U50" s="22">
        <f>((U5*Constants!$H63*Constants!$H81*(1-Constants!$H99))+(U5*Constants!$H63*Constants!$H115))</f>
        <v>16810121.349826809</v>
      </c>
      <c r="V50" s="22">
        <f>((V5*Constants!$H63*Constants!$H81*(1-Constants!$H99))+(V5*Constants!$H63*Constants!$H115))</f>
        <v>16230435.931459881</v>
      </c>
      <c r="W50" s="22">
        <f>((W5*Constants!$H63*Constants!$H81*(1-Constants!$H99))+(W5*Constants!$H63*Constants!$H115))</f>
        <v>17376958.460355092</v>
      </c>
      <c r="X50" s="22">
        <f>((X5*Constants!$H63*Constants!$H81*(1-Constants!$H99))+(X5*Constants!$H63*Constants!$H115))</f>
        <v>16999067.053336237</v>
      </c>
      <c r="Y50" s="22">
        <f>((Y5*Constants!$H63*Constants!$H81*(1-Constants!$H99))+(Y5*Constants!$H63*Constants!$H115))</f>
        <v>16877386.020276166</v>
      </c>
      <c r="Z50" s="22">
        <f>((Z5*Constants!$H63*Constants!$H81*(1-Constants!$H99))+(Z5*Constants!$H63*Constants!$H115))</f>
        <v>20669148.398303367</v>
      </c>
      <c r="AA50" s="22">
        <f>((AA5*Constants!$H63*Constants!$H81*(1-Constants!$H99))+(AA5*Constants!$H63*Constants!$H115))</f>
        <v>21181569.146220937</v>
      </c>
      <c r="AB50" s="22">
        <f>((AB5*Constants!$H63*Constants!$H81*(1-Constants!$H99))+(AB5*Constants!$H63*Constants!$H115))</f>
        <v>21181569.146220937</v>
      </c>
      <c r="AC50" s="22">
        <f>((AC5*Constants!$H63*Constants!$H81*(1-Constants!$H99))+(AC5*Constants!$H63*Constants!$H115))</f>
        <v>20412938.024344582</v>
      </c>
      <c r="AD50" s="22">
        <f>((AD5*Constants!$H63*Constants!$H81*(1-Constants!$H99))+(AD5*Constants!$H63*Constants!$H115))</f>
        <v>20287241.689205084</v>
      </c>
      <c r="AE50" s="22">
        <f>((AE5*Constants!$H63*Constants!$H81*(1-Constants!$H99))+(AE5*Constants!$H63*Constants!$H115))</f>
        <v>20436258.351449322</v>
      </c>
      <c r="AF50" s="22">
        <f>((AF5*Constants!$H63*Constants!$H81*(1-Constants!$H99))+(AF5*Constants!$H63*Constants!$H115))</f>
        <v>20547889.056945194</v>
      </c>
      <c r="AG50" s="22">
        <f>((AG5*Constants!$H63*Constants!$H81*(1-Constants!$H99))+(AG5*Constants!$H63*Constants!$H115))</f>
        <v>20633174.670561023</v>
      </c>
      <c r="AH50" s="22">
        <f>((AH5*Constants!$H63*Constants!$H81*(1-Constants!$H99))+(AH5*Constants!$H63*Constants!$H115))</f>
        <v>20689354.445829492</v>
      </c>
      <c r="AI50" s="22">
        <f>((AI5*Constants!$H63*Constants!$H81*(1-Constants!$H99))+(AI5*Constants!$H63*Constants!$H115))</f>
        <v>20804203.919129305</v>
      </c>
      <c r="AJ50" s="22">
        <f>((AJ5*Constants!$H63*Constants!$H81*(1-Constants!$H99))+(AJ5*Constants!$H63*Constants!$H115))</f>
        <v>20914292.543831587</v>
      </c>
      <c r="AK50" s="22">
        <f>((AK5*Constants!$H63*Constants!$H81*(1-Constants!$H99))+(AK5*Constants!$H63*Constants!$H115))</f>
        <v>21026250.802800793</v>
      </c>
      <c r="AL50" s="22">
        <f>((AL5*Constants!$H63*Constants!$H81*(1-Constants!$H99))+(AL5*Constants!$H63*Constants!$H115))</f>
        <v>20359103.448018678</v>
      </c>
      <c r="AM50" s="22">
        <f>((AM5*Constants!$H63*Constants!$H81*(1-Constants!$H99))+(AM5*Constants!$H63*Constants!$H115))</f>
        <v>20546549.058715288</v>
      </c>
      <c r="AN50" s="22">
        <f>((AN5*Constants!$H63*Constants!$H81*(1-Constants!$H99))+(AN5*Constants!$H63*Constants!$H115))</f>
        <v>20728245.400866341</v>
      </c>
      <c r="AO50" s="22">
        <f>((AO5*Constants!$H63*Constants!$H81*(1-Constants!$H99))+(AO5*Constants!$H63*Constants!$H115))</f>
        <v>20917798.135981489</v>
      </c>
      <c r="AP50" s="22">
        <f>((AP5*Constants!$H63*Constants!$H81*(1-Constants!$H99))+(AP5*Constants!$H63*Constants!$H115))</f>
        <v>21125106.704654813</v>
      </c>
      <c r="AQ50" s="22">
        <f>((AQ5*Constants!$H63*Constants!$H81*(1-Constants!$H99))+(AQ5*Constants!$H63*Constants!$H115))</f>
        <v>21357248.403159756</v>
      </c>
      <c r="AR50" s="22">
        <f>((AR5*Constants!$H63*Constants!$H81*(1-Constants!$H99))+(AR5*Constants!$H63*Constants!$H115))</f>
        <v>21586788.076243713</v>
      </c>
      <c r="AS50" s="22">
        <f>((AS5*Constants!$H63*Constants!$H81*(1-Constants!$H99))+(AS5*Constants!$H63*Constants!$H115))</f>
        <v>21833932.732110359</v>
      </c>
      <c r="AT50" s="22">
        <f>((AT5*Constants!$H63*Constants!$H81*(1-Constants!$H99))+(AT5*Constants!$H63*Constants!$H115))</f>
        <v>22100281.58293115</v>
      </c>
      <c r="AU50" s="22">
        <f>((AU5*Constants!$H63*Constants!$H81*(1-Constants!$H99))+(AU5*Constants!$H63*Constants!$H115))</f>
        <v>22401101.760893308</v>
      </c>
      <c r="AV50" s="22">
        <f>((AV5*Constants!$H63*Constants!$H81*(1-Constants!$H99))+(AV5*Constants!$H63*Constants!$H115))</f>
        <v>22702592.896256048</v>
      </c>
      <c r="AW50" s="22">
        <f>((AW5*Constants!$H63*Constants!$H81*(1-Constants!$H99))+(AW5*Constants!$H63*Constants!$H115))</f>
        <v>23042899.13086151</v>
      </c>
      <c r="AX50" s="22">
        <f>((AX5*Constants!$H63*Constants!$H81*(1-Constants!$H99))+(AX5*Constants!$H63*Constants!$H115))</f>
        <v>23397286.778468028</v>
      </c>
      <c r="AY50" s="22">
        <f>((AY5*Constants!$H63*Constants!$H81*(1-Constants!$H99))+(AY5*Constants!$H63*Constants!$H115))</f>
        <v>23764231.317969669</v>
      </c>
      <c r="AZ50" s="22">
        <f>((AZ5*Constants!$H63*Constants!$H81*(1-Constants!$H99))+(AZ5*Constants!$H63*Constants!$H115))</f>
        <v>24142105.272427101</v>
      </c>
      <c r="BA50" s="22">
        <f>((BA5*Constants!$H63*Constants!$H81*(1-Constants!$H99))+(BA5*Constants!$H63*Constants!$H115))</f>
        <v>24496093.615705881</v>
      </c>
      <c r="BB50" s="22">
        <f>((BB5*Constants!$H63*Constants!$H81*(1-Constants!$H99))+(BB5*Constants!$H63*Constants!$H115))</f>
        <v>24855950.212521717</v>
      </c>
      <c r="BC50" s="22">
        <f>((BC5*Constants!$H63*Constants!$H81*(1-Constants!$H99))+(BC5*Constants!$H63*Constants!$H115))</f>
        <v>25242310.272168502</v>
      </c>
      <c r="BD50" s="22">
        <f>((BD5*Constants!$H63*Constants!$H81*(1-Constants!$H99))+(BD5*Constants!$H63*Constants!$H115))</f>
        <v>25648227.457237329</v>
      </c>
      <c r="BE50" s="22">
        <f>((BE5*Constants!$H63*Constants!$H81*(1-Constants!$H99))+(BE5*Constants!$H63*Constants!$H115))</f>
        <v>26047944.982999932</v>
      </c>
      <c r="BF50" s="22">
        <f>((BF5*Constants!$H63*Constants!$H81*(1-Constants!$H99))+(BF5*Constants!$H63*Constants!$H115))</f>
        <v>26455545.744879004</v>
      </c>
      <c r="BG50" s="22">
        <f>((BG5*Constants!$H63*Constants!$H81*(1-Constants!$H99))+(BG5*Constants!$H63*Constants!$H115))</f>
        <v>26869521.16726822</v>
      </c>
      <c r="BH50" s="22">
        <f>((BH5*Constants!$H63*Constants!$H81*(1-Constants!$H99))+(BH5*Constants!$H63*Constants!$H115))</f>
        <v>27305025.647170518</v>
      </c>
      <c r="BI50" s="22">
        <f>((BI5*Constants!$H63*Constants!$H81*(1-Constants!$H99))+(BI5*Constants!$H63*Constants!$H115))</f>
        <v>27766931.072598398</v>
      </c>
      <c r="BJ50" s="22">
        <f>((BJ5*Constants!$H63*Constants!$H81*(1-Constants!$H99))+(BJ5*Constants!$H63*Constants!$H115))</f>
        <v>28253444.327570055</v>
      </c>
      <c r="BK50" s="22">
        <f>((BK5*Constants!$H63*Constants!$H81*(1-Constants!$H99))+(BK5*Constants!$H63*Constants!$H115))</f>
        <v>28774832.750944424</v>
      </c>
      <c r="BL50" s="22">
        <f>((BL5*Constants!$H63*Constants!$H81*(1-Constants!$H99))+(BL5*Constants!$H63*Constants!$H115))</f>
        <v>29315430.356301922</v>
      </c>
      <c r="BM50" s="22">
        <f>((BM5*Constants!$H63*Constants!$H81*(1-Constants!$H99))+(BM5*Constants!$H63*Constants!$H115))</f>
        <v>29881019.925757594</v>
      </c>
      <c r="BN50" s="22">
        <f>((BN5*Constants!$H63*Constants!$H81*(1-Constants!$H99))+(BN5*Constants!$H63*Constants!$H115))</f>
        <v>30445915.189669915</v>
      </c>
      <c r="BO50" s="22">
        <f>((BO5*Constants!$H63*Constants!$H81*(1-Constants!$H99))+(BO5*Constants!$H63*Constants!$H115))</f>
        <v>31038103.028195549</v>
      </c>
      <c r="BP50" s="22">
        <f>((BP5*Constants!$H63*Constants!$H81*(1-Constants!$H99))+(BP5*Constants!$H63*Constants!$H115))</f>
        <v>31664163.411207233</v>
      </c>
    </row>
    <row r="51" spans="1:72" x14ac:dyDescent="0.25">
      <c r="A51" t="str">
        <f t="shared" ref="A51:A65" si="20">A50</f>
        <v>3C Aggregated and non-CO2 emissions on land</v>
      </c>
      <c r="B51" t="str">
        <f t="shared" ref="B51:B65" si="21">B50</f>
        <v>3C4 Direct N2O from managed soils (N2O)</v>
      </c>
      <c r="C51" t="s">
        <v>409</v>
      </c>
      <c r="D51" t="str">
        <f>Constants!D116</f>
        <v xml:space="preserve"> - Pasture</v>
      </c>
      <c r="E51" t="str">
        <f t="shared" ref="E51" si="22">C51&amp;D51</f>
        <v>MM N available - Pasture</v>
      </c>
      <c r="F51" t="str">
        <f>F50</f>
        <v>kg N</v>
      </c>
      <c r="H51" s="22">
        <f>((H6*Constants!$H64*Constants!$H82*(1-Constants!$H100))+(H6*Constants!$H64*Constants!$H116))</f>
        <v>48497097.884958483</v>
      </c>
      <c r="I51" s="22">
        <f>((I6*Constants!$H64*Constants!$H82*(1-Constants!$H100))+(I6*Constants!$H64*Constants!$H116))</f>
        <v>55832756.626650497</v>
      </c>
      <c r="J51" s="22">
        <f>((J6*Constants!$H64*Constants!$H82*(1-Constants!$H100))+(J6*Constants!$H64*Constants!$H116))</f>
        <v>48302558.663262829</v>
      </c>
      <c r="K51" s="22">
        <f>((K6*Constants!$H64*Constants!$H82*(1-Constants!$H100))+(K6*Constants!$H64*Constants!$H116))</f>
        <v>51229390.324504077</v>
      </c>
      <c r="L51" s="22">
        <f>((L6*Constants!$H64*Constants!$H82*(1-Constants!$H100))+(L6*Constants!$H64*Constants!$H116))</f>
        <v>47524401.776480258</v>
      </c>
      <c r="M51" s="22">
        <f>((M6*Constants!$H64*Constants!$H82*(1-Constants!$H100))+(M6*Constants!$H64*Constants!$H116))</f>
        <v>50840311.881112777</v>
      </c>
      <c r="N51" s="22">
        <f>((N6*Constants!$H64*Constants!$H82*(1-Constants!$H100))+(N6*Constants!$H64*Constants!$H116))</f>
        <v>51034851.102808431</v>
      </c>
      <c r="O51" s="22">
        <f>((O6*Constants!$H64*Constants!$H82*(1-Constants!$H100))+(O6*Constants!$H64*Constants!$H116))</f>
        <v>49200936.417385429</v>
      </c>
      <c r="P51" s="22">
        <f>((P6*Constants!$H64*Constants!$H82*(1-Constants!$H100))+(P6*Constants!$H64*Constants!$H116))</f>
        <v>48617318.752298489</v>
      </c>
      <c r="Q51" s="22">
        <f>((Q6*Constants!$H64*Constants!$H82*(1-Constants!$H100))+(Q6*Constants!$H64*Constants!$H116))</f>
        <v>47756100.175353706</v>
      </c>
      <c r="R51" s="22">
        <f>((R6*Constants!$H64*Constants!$H82*(1-Constants!$H100))+(R6*Constants!$H64*Constants!$H116))</f>
        <v>61491880.727437332</v>
      </c>
      <c r="S51" s="22">
        <f>((S6*Constants!$H64*Constants!$H82*(1-Constants!$H100))+(S6*Constants!$H64*Constants!$H116))</f>
        <v>61297341.505741686</v>
      </c>
      <c r="T51" s="22">
        <f>((T6*Constants!$H64*Constants!$H82*(1-Constants!$H100))+(T6*Constants!$H64*Constants!$H116))</f>
        <v>53452383.453318357</v>
      </c>
      <c r="U51" s="22">
        <f>((U6*Constants!$H64*Constants!$H82*(1-Constants!$H100))+(U6*Constants!$H64*Constants!$H116))</f>
        <v>48617318.752298489</v>
      </c>
      <c r="V51" s="22">
        <f>((V6*Constants!$H64*Constants!$H82*(1-Constants!$H100))+(V6*Constants!$H64*Constants!$H116))</f>
        <v>46940784.111393303</v>
      </c>
      <c r="W51" s="22">
        <f>((W6*Constants!$H64*Constants!$H82*(1-Constants!$H100))+(W6*Constants!$H64*Constants!$H116))</f>
        <v>50256694.216025844</v>
      </c>
      <c r="X51" s="22">
        <f>((X6*Constants!$H64*Constants!$H82*(1-Constants!$H100))+(X6*Constants!$H64*Constants!$H116))</f>
        <v>49163777.240207598</v>
      </c>
      <c r="Y51" s="22">
        <f>((Y6*Constants!$H64*Constants!$H82*(1-Constants!$H100))+(Y6*Constants!$H64*Constants!$H116))</f>
        <v>48811857.973994136</v>
      </c>
      <c r="Z51" s="22">
        <f>((Z6*Constants!$H64*Constants!$H82*(1-Constants!$H100))+(Z6*Constants!$H64*Constants!$H116))</f>
        <v>59778186.909354329</v>
      </c>
      <c r="AA51" s="22">
        <f>((AA6*Constants!$H64*Constants!$H82*(1-Constants!$H100))+(AA6*Constants!$H64*Constants!$H116))</f>
        <v>61260182.328563854</v>
      </c>
      <c r="AB51" s="22">
        <f>((AB6*Constants!$H64*Constants!$H82*(1-Constants!$H100))+(AB6*Constants!$H64*Constants!$H116))</f>
        <v>61260182.328563854</v>
      </c>
      <c r="AC51" s="22">
        <f>((AC6*Constants!$H64*Constants!$H82*(1-Constants!$H100))+(AC6*Constants!$H64*Constants!$H116))</f>
        <v>59037189.199749559</v>
      </c>
      <c r="AD51" s="22">
        <f>((AD6*Constants!$H64*Constants!$H82*(1-Constants!$H100))+(AD6*Constants!$H64*Constants!$H116))</f>
        <v>59319301.583670691</v>
      </c>
      <c r="AE51" s="22">
        <f>((AE6*Constants!$H64*Constants!$H82*(1-Constants!$H100))+(AE6*Constants!$H64*Constants!$H116))</f>
        <v>59755021.947438106</v>
      </c>
      <c r="AF51" s="22">
        <f>((AF6*Constants!$H64*Constants!$H82*(1-Constants!$H100))+(AF6*Constants!$H64*Constants!$H116))</f>
        <v>60081426.866685025</v>
      </c>
      <c r="AG51" s="22">
        <f>((AG6*Constants!$H64*Constants!$H82*(1-Constants!$H100))+(AG6*Constants!$H64*Constants!$H116))</f>
        <v>60330799.507496893</v>
      </c>
      <c r="AH51" s="22">
        <f>((AH6*Constants!$H64*Constants!$H82*(1-Constants!$H100))+(AH6*Constants!$H64*Constants!$H116))</f>
        <v>60495067.527916163</v>
      </c>
      <c r="AI51" s="22">
        <f>((AI6*Constants!$H64*Constants!$H82*(1-Constants!$H100))+(AI6*Constants!$H64*Constants!$H116))</f>
        <v>60830884.030118264</v>
      </c>
      <c r="AJ51" s="22">
        <f>((AJ6*Constants!$H64*Constants!$H82*(1-Constants!$H100))+(AJ6*Constants!$H64*Constants!$H116))</f>
        <v>61152779.950208813</v>
      </c>
      <c r="AK51" s="22">
        <f>((AK6*Constants!$H64*Constants!$H82*(1-Constants!$H100))+(AK6*Constants!$H64*Constants!$H116))</f>
        <v>61480142.62623544</v>
      </c>
      <c r="AL51" s="22">
        <f>((AL6*Constants!$H64*Constants!$H82*(1-Constants!$H100))+(AL6*Constants!$H64*Constants!$H116))</f>
        <v>59529423.265499175</v>
      </c>
      <c r="AM51" s="22">
        <f>((AM6*Constants!$H64*Constants!$H82*(1-Constants!$H100))+(AM6*Constants!$H64*Constants!$H116))</f>
        <v>60077508.751036808</v>
      </c>
      <c r="AN51" s="22">
        <f>((AN6*Constants!$H64*Constants!$H82*(1-Constants!$H100))+(AN6*Constants!$H64*Constants!$H116))</f>
        <v>60608783.543432236</v>
      </c>
      <c r="AO51" s="22">
        <f>((AO6*Constants!$H64*Constants!$H82*(1-Constants!$H100))+(AO6*Constants!$H64*Constants!$H116))</f>
        <v>61163030.199166022</v>
      </c>
      <c r="AP51" s="22">
        <f>((AP6*Constants!$H64*Constants!$H82*(1-Constants!$H100))+(AP6*Constants!$H64*Constants!$H116))</f>
        <v>61769194.39311634</v>
      </c>
      <c r="AQ51" s="22">
        <f>((AQ6*Constants!$H64*Constants!$H82*(1-Constants!$H100))+(AQ6*Constants!$H64*Constants!$H116))</f>
        <v>62447969.93267563</v>
      </c>
      <c r="AR51" s="22">
        <f>((AR6*Constants!$H64*Constants!$H82*(1-Constants!$H100))+(AR6*Constants!$H64*Constants!$H116))</f>
        <v>63119137.225976497</v>
      </c>
      <c r="AS51" s="22">
        <f>((AS6*Constants!$H64*Constants!$H82*(1-Constants!$H100))+(AS6*Constants!$H64*Constants!$H116))</f>
        <v>63841780.97423663</v>
      </c>
      <c r="AT51" s="22">
        <f>((AT6*Constants!$H64*Constants!$H82*(1-Constants!$H100))+(AT6*Constants!$H64*Constants!$H116))</f>
        <v>64620577.227090932</v>
      </c>
      <c r="AU51" s="22">
        <f>((AU6*Constants!$H64*Constants!$H82*(1-Constants!$H100))+(AU6*Constants!$H64*Constants!$H116))</f>
        <v>65500166.632706679</v>
      </c>
      <c r="AV51" s="22">
        <f>((AV6*Constants!$H64*Constants!$H82*(1-Constants!$H100))+(AV6*Constants!$H64*Constants!$H116))</f>
        <v>66381717.898145668</v>
      </c>
      <c r="AW51" s="22">
        <f>((AW6*Constants!$H64*Constants!$H82*(1-Constants!$H100))+(AW6*Constants!$H64*Constants!$H116))</f>
        <v>67376763.378976434</v>
      </c>
      <c r="AX51" s="22">
        <f>((AX6*Constants!$H64*Constants!$H82*(1-Constants!$H100))+(AX6*Constants!$H64*Constants!$H116))</f>
        <v>68412982.499739647</v>
      </c>
      <c r="AY51" s="22">
        <f>((AY6*Constants!$H64*Constants!$H82*(1-Constants!$H100))+(AY6*Constants!$H64*Constants!$H116))</f>
        <v>69485917.605292261</v>
      </c>
      <c r="AZ51" s="22">
        <f>((AZ6*Constants!$H64*Constants!$H82*(1-Constants!$H100))+(AZ6*Constants!$H64*Constants!$H116))</f>
        <v>70590810.000644445</v>
      </c>
      <c r="BA51" s="22">
        <f>((BA6*Constants!$H64*Constants!$H82*(1-Constants!$H100))+(BA6*Constants!$H64*Constants!$H116))</f>
        <v>71625861.567227378</v>
      </c>
      <c r="BB51" s="22">
        <f>((BB6*Constants!$H64*Constants!$H82*(1-Constants!$H100))+(BB6*Constants!$H64*Constants!$H116))</f>
        <v>72678071.735589013</v>
      </c>
      <c r="BC51" s="22">
        <f>((BC6*Constants!$H64*Constants!$H82*(1-Constants!$H100))+(BC6*Constants!$H64*Constants!$H116))</f>
        <v>73807777.254416034</v>
      </c>
      <c r="BD51" s="22">
        <f>((BD6*Constants!$H64*Constants!$H82*(1-Constants!$H100))+(BD6*Constants!$H64*Constants!$H116))</f>
        <v>74994667.236207157</v>
      </c>
      <c r="BE51" s="22">
        <f>((BE6*Constants!$H64*Constants!$H82*(1-Constants!$H100))+(BE6*Constants!$H64*Constants!$H116))</f>
        <v>76163429.595439419</v>
      </c>
      <c r="BF51" s="22">
        <f>((BF6*Constants!$H64*Constants!$H82*(1-Constants!$H100))+(BF6*Constants!$H64*Constants!$H116))</f>
        <v>77355242.306602806</v>
      </c>
      <c r="BG51" s="22">
        <f>((BG6*Constants!$H64*Constants!$H82*(1-Constants!$H100))+(BG6*Constants!$H64*Constants!$H116))</f>
        <v>78565694.338729009</v>
      </c>
      <c r="BH51" s="22">
        <f>((BH6*Constants!$H64*Constants!$H82*(1-Constants!$H100))+(BH6*Constants!$H64*Constants!$H116))</f>
        <v>79839096.705602258</v>
      </c>
      <c r="BI51" s="22">
        <f>((BI6*Constants!$H64*Constants!$H82*(1-Constants!$H100))+(BI6*Constants!$H64*Constants!$H116))</f>
        <v>81189694.665337235</v>
      </c>
      <c r="BJ51" s="22">
        <f>((BJ6*Constants!$H64*Constants!$H82*(1-Constants!$H100))+(BJ6*Constants!$H64*Constants!$H116))</f>
        <v>82612245.199226379</v>
      </c>
      <c r="BK51" s="22">
        <f>((BK6*Constants!$H64*Constants!$H82*(1-Constants!$H100))+(BK6*Constants!$H64*Constants!$H116))</f>
        <v>84136769.705918491</v>
      </c>
      <c r="BL51" s="22">
        <f>((BL6*Constants!$H64*Constants!$H82*(1-Constants!$H100))+(BL6*Constants!$H64*Constants!$H116))</f>
        <v>85717461.299131721</v>
      </c>
      <c r="BM51" s="22">
        <f>((BM6*Constants!$H64*Constants!$H82*(1-Constants!$H100))+(BM6*Constants!$H64*Constants!$H116))</f>
        <v>87371228.664705694</v>
      </c>
      <c r="BN51" s="22">
        <f>((BN6*Constants!$H64*Constants!$H82*(1-Constants!$H100))+(BN6*Constants!$H64*Constants!$H116))</f>
        <v>89022965.901169598</v>
      </c>
      <c r="BO51" s="22">
        <f>((BO6*Constants!$H64*Constants!$H82*(1-Constants!$H100))+(BO6*Constants!$H64*Constants!$H116))</f>
        <v>90754505.827880055</v>
      </c>
      <c r="BP51" s="22">
        <f>((BP6*Constants!$H64*Constants!$H82*(1-Constants!$H100))+(BP6*Constants!$H64*Constants!$H116))</f>
        <v>92585088.084373787</v>
      </c>
    </row>
    <row r="52" spans="1:72" x14ac:dyDescent="0.25">
      <c r="A52" t="str">
        <f t="shared" si="20"/>
        <v>3C Aggregated and non-CO2 emissions on land</v>
      </c>
      <c r="B52" t="str">
        <f t="shared" si="21"/>
        <v>3C4 Direct N2O from managed soils (N2O)</v>
      </c>
      <c r="C52" t="s">
        <v>409</v>
      </c>
      <c r="D52" t="str">
        <f>Constants!D117</f>
        <v xml:space="preserve"> - Non-lactating</v>
      </c>
      <c r="E52" t="str">
        <f t="shared" ref="E52:E66" si="23">C52&amp;D52</f>
        <v>MM N available - Non-lactating</v>
      </c>
      <c r="F52" t="str">
        <f t="shared" ref="F52:F66" si="24">F51</f>
        <v>kg N</v>
      </c>
      <c r="H52" s="22">
        <f>((H7*Constants!$H65*Constants!$H83*(1-Constants!$H101))+(H7*Constants!$H65*Constants!$H117))</f>
        <v>3062615.1790069034</v>
      </c>
      <c r="I52" s="22">
        <f>((I7*Constants!$H65*Constants!$H83*(1-Constants!$H101))+(I7*Constants!$H65*Constants!$H117))</f>
        <v>3481151.0311277835</v>
      </c>
      <c r="J52" s="22">
        <f>((J7*Constants!$H65*Constants!$H83*(1-Constants!$H101))+(J7*Constants!$H65*Constants!$H117))</f>
        <v>3011204.707020822</v>
      </c>
      <c r="K52" s="22">
        <f>((K7*Constants!$H65*Constants!$H83*(1-Constants!$H101))+(K7*Constants!$H65*Constants!$H117))</f>
        <v>3151320.9974138029</v>
      </c>
      <c r="L52" s="22">
        <f>((L7*Constants!$H65*Constants!$H83*(1-Constants!$H101))+(L7*Constants!$H65*Constants!$H117))</f>
        <v>2805562.8190765027</v>
      </c>
      <c r="M52" s="22">
        <f>((M7*Constants!$H65*Constants!$H83*(1-Constants!$H101))+(M7*Constants!$H65*Constants!$H117))</f>
        <v>3048500.0534416419</v>
      </c>
      <c r="N52" s="22">
        <f>((N7*Constants!$H65*Constants!$H83*(1-Constants!$H101))+(N7*Constants!$H65*Constants!$H117))</f>
        <v>3099910.5254277219</v>
      </c>
      <c r="O52" s="22">
        <f>((O7*Constants!$H65*Constants!$H83*(1-Constants!$H101))+(O7*Constants!$H65*Constants!$H117))</f>
        <v>2995276.5623975019</v>
      </c>
      <c r="P52" s="22">
        <f>((P7*Constants!$H65*Constants!$H83*(1-Constants!$H101))+(P7*Constants!$H65*Constants!$H117))</f>
        <v>2841045.1464392617</v>
      </c>
      <c r="Q52" s="22">
        <f>((Q7*Constants!$H65*Constants!$H83*(1-Constants!$H101))+(Q7*Constants!$H65*Constants!$H117))</f>
        <v>2993463.5433394425</v>
      </c>
      <c r="R52" s="22">
        <f>((R7*Constants!$H65*Constants!$H83*(1-Constants!$H101))+(R7*Constants!$H65*Constants!$H117))</f>
        <v>3709973.1399276629</v>
      </c>
      <c r="S52" s="22">
        <f>((S7*Constants!$H65*Constants!$H83*(1-Constants!$H101))+(S7*Constants!$H65*Constants!$H117))</f>
        <v>3658562.6679415829</v>
      </c>
      <c r="T52" s="22">
        <f>((T7*Constants!$H65*Constants!$H83*(1-Constants!$H101))+(T7*Constants!$H65*Constants!$H117))</f>
        <v>3358775.904416183</v>
      </c>
      <c r="U52" s="22">
        <f>((U7*Constants!$H65*Constants!$H83*(1-Constants!$H101))+(U7*Constants!$H65*Constants!$H117))</f>
        <v>2841045.1464392617</v>
      </c>
      <c r="V52" s="22">
        <f>((V7*Constants!$H65*Constants!$H83*(1-Constants!$H101))+(V7*Constants!$H65*Constants!$H117))</f>
        <v>2651331.4031182611</v>
      </c>
      <c r="W52" s="22">
        <f>((W7*Constants!$H65*Constants!$H83*(1-Constants!$H101))+(W7*Constants!$H65*Constants!$H117))</f>
        <v>2894268.6374834022</v>
      </c>
      <c r="X52" s="22">
        <f>((X7*Constants!$H65*Constants!$H83*(1-Constants!$H101))+(X7*Constants!$H65*Constants!$H117))</f>
        <v>2858786.3101206413</v>
      </c>
      <c r="Y52" s="22">
        <f>((Y7*Constants!$H65*Constants!$H83*(1-Constants!$H101))+(Y7*Constants!$H65*Constants!$H117))</f>
        <v>2892455.6184253423</v>
      </c>
      <c r="Z52" s="22">
        <f>((Z7*Constants!$H65*Constants!$H83*(1-Constants!$H101))+(Z7*Constants!$H65*Constants!$H117))</f>
        <v>3383769.1443298031</v>
      </c>
      <c r="AA52" s="22">
        <f>((AA7*Constants!$H65*Constants!$H83*(1-Constants!$H101))+(AA7*Constants!$H65*Constants!$H117))</f>
        <v>3522072.4156647222</v>
      </c>
      <c r="AB52" s="22">
        <f>((AB7*Constants!$H65*Constants!$H83*(1-Constants!$H101))+(AB7*Constants!$H65*Constants!$H117))</f>
        <v>3522072.4156647222</v>
      </c>
      <c r="AC52" s="22">
        <f>((AC7*Constants!$H65*Constants!$H83*(1-Constants!$H101))+(AC7*Constants!$H65*Constants!$H117))</f>
        <v>3314617.5086623426</v>
      </c>
      <c r="AD52" s="22">
        <f>((AD7*Constants!$H65*Constants!$H83*(1-Constants!$H101))+(AD7*Constants!$H65*Constants!$H117))</f>
        <v>3173248.1696400354</v>
      </c>
      <c r="AE52" s="22">
        <f>((AE7*Constants!$H65*Constants!$H83*(1-Constants!$H101))+(AE7*Constants!$H65*Constants!$H117))</f>
        <v>3196556.7523422372</v>
      </c>
      <c r="AF52" s="22">
        <f>((AF7*Constants!$H65*Constants!$H83*(1-Constants!$H101))+(AF7*Constants!$H65*Constants!$H117))</f>
        <v>3214017.5751252025</v>
      </c>
      <c r="AG52" s="22">
        <f>((AG7*Constants!$H65*Constants!$H83*(1-Constants!$H101))+(AG7*Constants!$H65*Constants!$H117))</f>
        <v>3227357.6053495705</v>
      </c>
      <c r="AH52" s="22">
        <f>((AH7*Constants!$H65*Constants!$H83*(1-Constants!$H101))+(AH7*Constants!$H65*Constants!$H117))</f>
        <v>3236145.0182355875</v>
      </c>
      <c r="AI52" s="22">
        <f>((AI7*Constants!$H65*Constants!$H83*(1-Constants!$H101))+(AI7*Constants!$H65*Constants!$H117))</f>
        <v>3254109.3076405236</v>
      </c>
      <c r="AJ52" s="22">
        <f>((AJ7*Constants!$H65*Constants!$H83*(1-Constants!$H101))+(AJ7*Constants!$H65*Constants!$H117))</f>
        <v>3271328.9243920986</v>
      </c>
      <c r="AK52" s="22">
        <f>((AK7*Constants!$H65*Constants!$H83*(1-Constants!$H101))+(AK7*Constants!$H65*Constants!$H117))</f>
        <v>3288840.9817625778</v>
      </c>
      <c r="AL52" s="22">
        <f>((AL7*Constants!$H65*Constants!$H83*(1-Constants!$H101))+(AL7*Constants!$H65*Constants!$H117))</f>
        <v>3184488.494870828</v>
      </c>
      <c r="AM52" s="22">
        <f>((AM7*Constants!$H65*Constants!$H83*(1-Constants!$H101))+(AM7*Constants!$H65*Constants!$H117))</f>
        <v>3213807.97802987</v>
      </c>
      <c r="AN52" s="22">
        <f>((AN7*Constants!$H65*Constants!$H83*(1-Constants!$H101))+(AN7*Constants!$H65*Constants!$H117))</f>
        <v>3242228.1838909714</v>
      </c>
      <c r="AO52" s="22">
        <f>((AO7*Constants!$H65*Constants!$H83*(1-Constants!$H101))+(AO7*Constants!$H65*Constants!$H117))</f>
        <v>3271877.2549164556</v>
      </c>
      <c r="AP52" s="22">
        <f>((AP7*Constants!$H65*Constants!$H83*(1-Constants!$H101))+(AP7*Constants!$H65*Constants!$H117))</f>
        <v>3304303.6215054318</v>
      </c>
      <c r="AQ52" s="22">
        <f>((AQ7*Constants!$H65*Constants!$H83*(1-Constants!$H101))+(AQ7*Constants!$H65*Constants!$H117))</f>
        <v>3340614.2856737347</v>
      </c>
      <c r="AR52" s="22">
        <f>((AR7*Constants!$H65*Constants!$H83*(1-Constants!$H101))+(AR7*Constants!$H65*Constants!$H117))</f>
        <v>3376517.951565437</v>
      </c>
      <c r="AS52" s="22">
        <f>((AS7*Constants!$H65*Constants!$H83*(1-Constants!$H101))+(AS7*Constants!$H65*Constants!$H117))</f>
        <v>3415175.3175533656</v>
      </c>
      <c r="AT52" s="22">
        <f>((AT7*Constants!$H65*Constants!$H83*(1-Constants!$H101))+(AT7*Constants!$H65*Constants!$H117))</f>
        <v>3456836.5259276181</v>
      </c>
      <c r="AU52" s="22">
        <f>((AU7*Constants!$H65*Constants!$H83*(1-Constants!$H101))+(AU7*Constants!$H65*Constants!$H117))</f>
        <v>3503889.5996639626</v>
      </c>
      <c r="AV52" s="22">
        <f>((AV7*Constants!$H65*Constants!$H83*(1-Constants!$H101))+(AV7*Constants!$H65*Constants!$H117))</f>
        <v>3551047.6218391294</v>
      </c>
      <c r="AW52" s="22">
        <f>((AW7*Constants!$H65*Constants!$H83*(1-Constants!$H101))+(AW7*Constants!$H65*Constants!$H117))</f>
        <v>3604276.9446136248</v>
      </c>
      <c r="AX52" s="22">
        <f>((AX7*Constants!$H65*Constants!$H83*(1-Constants!$H101))+(AX7*Constants!$H65*Constants!$H117))</f>
        <v>3659708.8249716535</v>
      </c>
      <c r="AY52" s="22">
        <f>((AY7*Constants!$H65*Constants!$H83*(1-Constants!$H101))+(AY7*Constants!$H65*Constants!$H117))</f>
        <v>3717104.8034970416</v>
      </c>
      <c r="AZ52" s="22">
        <f>((AZ7*Constants!$H65*Constants!$H83*(1-Constants!$H101))+(AZ7*Constants!$H65*Constants!$H117))</f>
        <v>3776210.3168391888</v>
      </c>
      <c r="BA52" s="22">
        <f>((BA7*Constants!$H65*Constants!$H83*(1-Constants!$H101))+(BA7*Constants!$H65*Constants!$H117))</f>
        <v>3831579.7396316929</v>
      </c>
      <c r="BB52" s="22">
        <f>((BB7*Constants!$H65*Constants!$H83*(1-Constants!$H101))+(BB7*Constants!$H65*Constants!$H117))</f>
        <v>3887867.050872548</v>
      </c>
      <c r="BC52" s="22">
        <f>((BC7*Constants!$H65*Constants!$H83*(1-Constants!$H101))+(BC7*Constants!$H65*Constants!$H117))</f>
        <v>3948299.9264146448</v>
      </c>
      <c r="BD52" s="22">
        <f>((BD7*Constants!$H65*Constants!$H83*(1-Constants!$H101))+(BD7*Constants!$H65*Constants!$H117))</f>
        <v>4011791.8482972784</v>
      </c>
      <c r="BE52" s="22">
        <f>((BE7*Constants!$H65*Constants!$H83*(1-Constants!$H101))+(BE7*Constants!$H65*Constants!$H117))</f>
        <v>4074314.0445835348</v>
      </c>
      <c r="BF52" s="22">
        <f>((BF7*Constants!$H65*Constants!$H83*(1-Constants!$H101))+(BF7*Constants!$H65*Constants!$H117))</f>
        <v>4138069.3047313383</v>
      </c>
      <c r="BG52" s="22">
        <f>((BG7*Constants!$H65*Constants!$H83*(1-Constants!$H101))+(BG7*Constants!$H65*Constants!$H117))</f>
        <v>4202821.6634549759</v>
      </c>
      <c r="BH52" s="22">
        <f>((BH7*Constants!$H65*Constants!$H83*(1-Constants!$H101))+(BH7*Constants!$H65*Constants!$H117))</f>
        <v>4270941.5101493318</v>
      </c>
      <c r="BI52" s="22">
        <f>((BI7*Constants!$H65*Constants!$H83*(1-Constants!$H101))+(BI7*Constants!$H65*Constants!$H117))</f>
        <v>4343190.8858032823</v>
      </c>
      <c r="BJ52" s="22">
        <f>((BJ7*Constants!$H65*Constants!$H83*(1-Constants!$H101))+(BJ7*Constants!$H65*Constants!$H117))</f>
        <v>4419289.3184781335</v>
      </c>
      <c r="BK52" s="22">
        <f>((BK7*Constants!$H65*Constants!$H83*(1-Constants!$H101))+(BK7*Constants!$H65*Constants!$H117))</f>
        <v>4500842.78372938</v>
      </c>
      <c r="BL52" s="22">
        <f>((BL7*Constants!$H65*Constants!$H83*(1-Constants!$H101))+(BL7*Constants!$H65*Constants!$H117))</f>
        <v>4585400.8714178242</v>
      </c>
      <c r="BM52" s="22">
        <f>((BM7*Constants!$H65*Constants!$H83*(1-Constants!$H101))+(BM7*Constants!$H65*Constants!$H117))</f>
        <v>4673868.1008981969</v>
      </c>
      <c r="BN52" s="22">
        <f>((BN7*Constants!$H65*Constants!$H83*(1-Constants!$H101))+(BN7*Constants!$H65*Constants!$H117))</f>
        <v>4762226.7299178299</v>
      </c>
      <c r="BO52" s="22">
        <f>((BO7*Constants!$H65*Constants!$H83*(1-Constants!$H101))+(BO7*Constants!$H65*Constants!$H117))</f>
        <v>4854854.3529073298</v>
      </c>
      <c r="BP52" s="22">
        <f>((BP7*Constants!$H65*Constants!$H83*(1-Constants!$H101))+(BP7*Constants!$H65*Constants!$H117))</f>
        <v>4952780.1821014024</v>
      </c>
    </row>
    <row r="53" spans="1:72" x14ac:dyDescent="0.25">
      <c r="A53" t="str">
        <f t="shared" si="20"/>
        <v>3C Aggregated and non-CO2 emissions on land</v>
      </c>
      <c r="B53" t="str">
        <f t="shared" si="21"/>
        <v>3C4 Direct N2O from managed soils (N2O)</v>
      </c>
      <c r="C53" t="s">
        <v>409</v>
      </c>
      <c r="D53" t="str">
        <f>Constants!D118</f>
        <v xml:space="preserve"> - Commercial cattle</v>
      </c>
      <c r="E53" t="str">
        <f t="shared" si="23"/>
        <v>MM N available - Commercial cattle</v>
      </c>
      <c r="F53" t="str">
        <f t="shared" si="24"/>
        <v>kg N</v>
      </c>
      <c r="H53" s="22">
        <f>((H8*Constants!$H66*Constants!$H84*(1-Constants!$H102))+(H8*Constants!$H66*Constants!$H118))</f>
        <v>29140148.242835071</v>
      </c>
      <c r="I53" s="22">
        <f>((I8*Constants!$H66*Constants!$H84*(1-Constants!$H102))+(I8*Constants!$H66*Constants!$H118))</f>
        <v>27882399.754625745</v>
      </c>
      <c r="J53" s="22">
        <f>((J8*Constants!$H66*Constants!$H84*(1-Constants!$H102))+(J8*Constants!$H66*Constants!$H118))</f>
        <v>27872269.031688493</v>
      </c>
      <c r="K53" s="22">
        <f>((K8*Constants!$H66*Constants!$H84*(1-Constants!$H102))+(K8*Constants!$H66*Constants!$H118))</f>
        <v>26075497.690151285</v>
      </c>
      <c r="L53" s="22">
        <f>((L8*Constants!$H66*Constants!$H84*(1-Constants!$H102))+(L8*Constants!$H66*Constants!$H118))</f>
        <v>26861590.495282121</v>
      </c>
      <c r="M53" s="22">
        <f>((M8*Constants!$H66*Constants!$H84*(1-Constants!$H102))+(M8*Constants!$H66*Constants!$H118))</f>
        <v>27472340.576832376</v>
      </c>
      <c r="N53" s="22">
        <f>((N8*Constants!$H66*Constants!$H84*(1-Constants!$H102))+(N8*Constants!$H66*Constants!$H118))</f>
        <v>28611982.788773268</v>
      </c>
      <c r="O53" s="22">
        <f>((O8*Constants!$H66*Constants!$H84*(1-Constants!$H102))+(O8*Constants!$H66*Constants!$H118))</f>
        <v>29695841.906059686</v>
      </c>
      <c r="P53" s="22">
        <f>((P8*Constants!$H66*Constants!$H84*(1-Constants!$H102))+(P8*Constants!$H66*Constants!$H118))</f>
        <v>29953042.580799885</v>
      </c>
      <c r="Q53" s="22">
        <f>((Q8*Constants!$H66*Constants!$H84*(1-Constants!$H102))+(Q8*Constants!$H66*Constants!$H118))</f>
        <v>29468349.46946881</v>
      </c>
      <c r="R53" s="22">
        <f>((R8*Constants!$H66*Constants!$H84*(1-Constants!$H102))+(R8*Constants!$H66*Constants!$H118))</f>
        <v>27466527.166201718</v>
      </c>
      <c r="S53" s="22">
        <f>((S8*Constants!$H66*Constants!$H84*(1-Constants!$H102))+(S8*Constants!$H66*Constants!$H118))</f>
        <v>27609254.946317643</v>
      </c>
      <c r="T53" s="22">
        <f>((T8*Constants!$H66*Constants!$H84*(1-Constants!$H102))+(T8*Constants!$H66*Constants!$H118))</f>
        <v>25732079.006278474</v>
      </c>
      <c r="U53" s="22">
        <f>((U8*Constants!$H66*Constants!$H84*(1-Constants!$H102))+(U8*Constants!$H66*Constants!$H118))</f>
        <v>26405152.269442696</v>
      </c>
      <c r="V53" s="22">
        <f>((V8*Constants!$H66*Constants!$H84*(1-Constants!$H102))+(V8*Constants!$H66*Constants!$H118))</f>
        <v>26648588.839601479</v>
      </c>
      <c r="W53" s="22">
        <f>((W8*Constants!$H66*Constants!$H84*(1-Constants!$H102))+(W8*Constants!$H66*Constants!$H118))</f>
        <v>26874627.923534695</v>
      </c>
      <c r="X53" s="22">
        <f>((X8*Constants!$H66*Constants!$H84*(1-Constants!$H102))+(X8*Constants!$H66*Constants!$H118))</f>
        <v>26262424.489326771</v>
      </c>
      <c r="Y53" s="22">
        <f>((Y8*Constants!$H66*Constants!$H84*(1-Constants!$H102))+(Y8*Constants!$H66*Constants!$H118))</f>
        <v>27031846.484560855</v>
      </c>
      <c r="Z53" s="22">
        <f>((Z8*Constants!$H66*Constants!$H84*(1-Constants!$H102))+(Z8*Constants!$H66*Constants!$H118))</f>
        <v>26280686.506655321</v>
      </c>
      <c r="AA53" s="22">
        <f>((AA8*Constants!$H66*Constants!$H84*(1-Constants!$H102))+(AA8*Constants!$H66*Constants!$H118))</f>
        <v>25839415.868110832</v>
      </c>
      <c r="AB53" s="22">
        <f>((AB8*Constants!$H66*Constants!$H84*(1-Constants!$H102))+(AB8*Constants!$H66*Constants!$H118))</f>
        <v>25758186.634461202</v>
      </c>
      <c r="AC53" s="22">
        <f>((AC8*Constants!$H66*Constants!$H84*(1-Constants!$H102))+(AC8*Constants!$H66*Constants!$H118))</f>
        <v>25665694.273928557</v>
      </c>
      <c r="AD53" s="22">
        <f>((AD8*Constants!$H66*Constants!$H84*(1-Constants!$H102))+(AD8*Constants!$H66*Constants!$H118))</f>
        <v>25459757.172210783</v>
      </c>
      <c r="AE53" s="22">
        <f>((AE8*Constants!$H66*Constants!$H84*(1-Constants!$H102))+(AE8*Constants!$H66*Constants!$H118))</f>
        <v>25373855.567129839</v>
      </c>
      <c r="AF53" s="22">
        <f>((AF8*Constants!$H66*Constants!$H84*(1-Constants!$H102))+(AF8*Constants!$H66*Constants!$H118))</f>
        <v>25103713.619109083</v>
      </c>
      <c r="AG53" s="22">
        <f>((AG8*Constants!$H66*Constants!$H84*(1-Constants!$H102))+(AG8*Constants!$H66*Constants!$H118))</f>
        <v>24704169.520920284</v>
      </c>
      <c r="AH53" s="22">
        <f>((AH8*Constants!$H66*Constants!$H84*(1-Constants!$H102))+(AH8*Constants!$H66*Constants!$H118))</f>
        <v>24176347.121858858</v>
      </c>
      <c r="AI53" s="22">
        <f>((AI8*Constants!$H66*Constants!$H84*(1-Constants!$H102))+(AI8*Constants!$H66*Constants!$H118))</f>
        <v>23830750.461879622</v>
      </c>
      <c r="AJ53" s="22">
        <f>((AJ8*Constants!$H66*Constants!$H84*(1-Constants!$H102))+(AJ8*Constants!$H66*Constants!$H118))</f>
        <v>23453128.351441465</v>
      </c>
      <c r="AK53" s="22">
        <f>((AK8*Constants!$H66*Constants!$H84*(1-Constants!$H102))+(AK8*Constants!$H66*Constants!$H118))</f>
        <v>23066832.191800036</v>
      </c>
      <c r="AL53" s="22">
        <f>((AL8*Constants!$H66*Constants!$H84*(1-Constants!$H102))+(AL8*Constants!$H66*Constants!$H118))</f>
        <v>20209712.492161751</v>
      </c>
      <c r="AM53" s="22">
        <f>((AM8*Constants!$H66*Constants!$H84*(1-Constants!$H102))+(AM8*Constants!$H66*Constants!$H118))</f>
        <v>20449876.187147826</v>
      </c>
      <c r="AN53" s="22">
        <f>((AN8*Constants!$H66*Constants!$H84*(1-Constants!$H102))+(AN8*Constants!$H66*Constants!$H118))</f>
        <v>20652547.817172371</v>
      </c>
      <c r="AO53" s="22">
        <f>((AO8*Constants!$H66*Constants!$H84*(1-Constants!$H102))+(AO8*Constants!$H66*Constants!$H118))</f>
        <v>20860716.333079625</v>
      </c>
      <c r="AP53" s="22">
        <f>((AP8*Constants!$H66*Constants!$H84*(1-Constants!$H102))+(AP8*Constants!$H66*Constants!$H118))</f>
        <v>21103778.26564673</v>
      </c>
      <c r="AQ53" s="22">
        <f>((AQ8*Constants!$H66*Constants!$H84*(1-Constants!$H102))+(AQ8*Constants!$H66*Constants!$H118))</f>
        <v>21401075.033836238</v>
      </c>
      <c r="AR53" s="22">
        <f>((AR8*Constants!$H66*Constants!$H84*(1-Constants!$H102))+(AR8*Constants!$H66*Constants!$H118))</f>
        <v>21711833.356562853</v>
      </c>
      <c r="AS53" s="22">
        <f>((AS8*Constants!$H66*Constants!$H84*(1-Constants!$H102))+(AS8*Constants!$H66*Constants!$H118))</f>
        <v>22053337.840874095</v>
      </c>
      <c r="AT53" s="22">
        <f>((AT8*Constants!$H66*Constants!$H84*(1-Constants!$H102))+(AT8*Constants!$H66*Constants!$H118))</f>
        <v>22428715.797621477</v>
      </c>
      <c r="AU53" s="22">
        <f>((AU8*Constants!$H66*Constants!$H84*(1-Constants!$H102))+(AU8*Constants!$H66*Constants!$H118))</f>
        <v>22878555.15006683</v>
      </c>
      <c r="AV53" s="22">
        <f>((AV8*Constants!$H66*Constants!$H84*(1-Constants!$H102))+(AV8*Constants!$H66*Constants!$H118))</f>
        <v>23307581.242467821</v>
      </c>
      <c r="AW53" s="22">
        <f>((AW8*Constants!$H66*Constants!$H84*(1-Constants!$H102))+(AW8*Constants!$H66*Constants!$H118))</f>
        <v>23648806.172852047</v>
      </c>
      <c r="AX53" s="22">
        <f>((AX8*Constants!$H66*Constants!$H84*(1-Constants!$H102))+(AX8*Constants!$H66*Constants!$H118))</f>
        <v>23989673.964549229</v>
      </c>
      <c r="AY53" s="22">
        <f>((AY8*Constants!$H66*Constants!$H84*(1-Constants!$H102))+(AY8*Constants!$H66*Constants!$H118))</f>
        <v>24324851.688908864</v>
      </c>
      <c r="AZ53" s="22">
        <f>((AZ8*Constants!$H66*Constants!$H84*(1-Constants!$H102))+(AZ8*Constants!$H66*Constants!$H118))</f>
        <v>24649118.486232199</v>
      </c>
      <c r="BA53" s="22">
        <f>((BA8*Constants!$H66*Constants!$H84*(1-Constants!$H102))+(BA8*Constants!$H66*Constants!$H118))</f>
        <v>24877357.299450908</v>
      </c>
      <c r="BB53" s="22">
        <f>((BB8*Constants!$H66*Constants!$H84*(1-Constants!$H102))+(BB8*Constants!$H66*Constants!$H118))</f>
        <v>25110330.773556218</v>
      </c>
      <c r="BC53" s="22">
        <f>((BC8*Constants!$H66*Constants!$H84*(1-Constants!$H102))+(BC8*Constants!$H66*Constants!$H118))</f>
        <v>25369054.675662342</v>
      </c>
      <c r="BD53" s="22">
        <f>((BD8*Constants!$H66*Constants!$H84*(1-Constants!$H102))+(BD8*Constants!$H66*Constants!$H118))</f>
        <v>25634306.939602461</v>
      </c>
      <c r="BE53" s="22">
        <f>((BE8*Constants!$H66*Constants!$H84*(1-Constants!$H102))+(BE8*Constants!$H66*Constants!$H118))</f>
        <v>25847233.397031084</v>
      </c>
      <c r="BF53" s="22">
        <f>((BF8*Constants!$H66*Constants!$H84*(1-Constants!$H102))+(BF8*Constants!$H66*Constants!$H118))</f>
        <v>26039834.623552401</v>
      </c>
      <c r="BG53" s="22">
        <f>((BG8*Constants!$H66*Constants!$H84*(1-Constants!$H102))+(BG8*Constants!$H66*Constants!$H118))</f>
        <v>26363216.423568197</v>
      </c>
      <c r="BH53" s="22">
        <f>((BH8*Constants!$H66*Constants!$H84*(1-Constants!$H102))+(BH8*Constants!$H66*Constants!$H118))</f>
        <v>26699888.183911569</v>
      </c>
      <c r="BI53" s="22">
        <f>((BI8*Constants!$H66*Constants!$H84*(1-Constants!$H102))+(BI8*Constants!$H66*Constants!$H118))</f>
        <v>27057548.113643363</v>
      </c>
      <c r="BJ53" s="22">
        <f>((BJ8*Constants!$H66*Constants!$H84*(1-Constants!$H102))+(BJ8*Constants!$H66*Constants!$H118))</f>
        <v>27430004.358122855</v>
      </c>
      <c r="BK53" s="22">
        <f>((BK8*Constants!$H66*Constants!$H84*(1-Constants!$H102))+(BK8*Constants!$H66*Constants!$H118))</f>
        <v>27834631.309818108</v>
      </c>
      <c r="BL53" s="22">
        <f>((BL8*Constants!$H66*Constants!$H84*(1-Constants!$H102))+(BL8*Constants!$H66*Constants!$H118))</f>
        <v>28257386.561129145</v>
      </c>
      <c r="BM53" s="22">
        <f>((BM8*Constants!$H66*Constants!$H84*(1-Constants!$H102))+(BM8*Constants!$H66*Constants!$H118))</f>
        <v>28687480.019515954</v>
      </c>
      <c r="BN53" s="22">
        <f>((BN8*Constants!$H66*Constants!$H84*(1-Constants!$H102))+(BN8*Constants!$H66*Constants!$H118))</f>
        <v>29076294.267862752</v>
      </c>
      <c r="BO53" s="22">
        <f>((BO8*Constants!$H66*Constants!$H84*(1-Constants!$H102))+(BO8*Constants!$H66*Constants!$H118))</f>
        <v>29473995.282160994</v>
      </c>
      <c r="BP53" s="22">
        <f>((BP8*Constants!$H66*Constants!$H84*(1-Constants!$H102))+(BP8*Constants!$H66*Constants!$H118))</f>
        <v>29889410.969694119</v>
      </c>
    </row>
    <row r="54" spans="1:72" x14ac:dyDescent="0.25">
      <c r="A54" t="str">
        <f t="shared" si="20"/>
        <v>3C Aggregated and non-CO2 emissions on land</v>
      </c>
      <c r="B54" t="str">
        <f t="shared" si="21"/>
        <v>3C4 Direct N2O from managed soils (N2O)</v>
      </c>
      <c r="C54" t="s">
        <v>409</v>
      </c>
      <c r="D54" t="str">
        <f>Constants!D119</f>
        <v xml:space="preserve"> - Subsistence cattle</v>
      </c>
      <c r="E54" t="str">
        <f t="shared" si="23"/>
        <v>MM N available - Subsistence cattle</v>
      </c>
      <c r="F54" t="str">
        <f t="shared" si="24"/>
        <v>kg N</v>
      </c>
      <c r="H54" s="22">
        <f>((H9*Constants!$H67*Constants!$H85*(1-Constants!$H103))+(H9*Constants!$H67*Constants!$H119))</f>
        <v>147147691.68218684</v>
      </c>
      <c r="I54" s="22">
        <f>((I9*Constants!$H67*Constants!$H85*(1-Constants!$H103))+(I9*Constants!$H67*Constants!$H119))</f>
        <v>156124021.4580065</v>
      </c>
      <c r="J54" s="22">
        <f>((J9*Constants!$H67*Constants!$H85*(1-Constants!$H103))+(J9*Constants!$H67*Constants!$H119))</f>
        <v>163497435.2024298</v>
      </c>
      <c r="K54" s="22">
        <f>((K9*Constants!$H67*Constants!$H85*(1-Constants!$H103))+(K9*Constants!$H67*Constants!$H119))</f>
        <v>161573935.96475413</v>
      </c>
      <c r="L54" s="22">
        <f>((L9*Constants!$H67*Constants!$H85*(1-Constants!$H103))+(L9*Constants!$H67*Constants!$H119))</f>
        <v>140736027.55660135</v>
      </c>
      <c r="M54" s="22">
        <f>((M9*Constants!$H67*Constants!$H85*(1-Constants!$H103))+(M9*Constants!$H67*Constants!$H119))</f>
        <v>135927279.46241224</v>
      </c>
      <c r="N54" s="22">
        <f>((N9*Constants!$H67*Constants!$H85*(1-Constants!$H103))+(N9*Constants!$H67*Constants!$H119))</f>
        <v>139774277.93776351</v>
      </c>
      <c r="O54" s="22">
        <f>((O9*Constants!$H67*Constants!$H85*(1-Constants!$H103))+(O9*Constants!$H67*Constants!$H119))</f>
        <v>146185942.06334898</v>
      </c>
      <c r="P54" s="22">
        <f>((P9*Constants!$H67*Constants!$H85*(1-Constants!$H103))+(P9*Constants!$H67*Constants!$H119))</f>
        <v>155162271.8391687</v>
      </c>
      <c r="Q54" s="22">
        <f>((Q9*Constants!$H67*Constants!$H85*(1-Constants!$H103))+(Q9*Constants!$H67*Constants!$H119))</f>
        <v>161573935.96475413</v>
      </c>
      <c r="R54" s="22">
        <f>((R9*Constants!$H67*Constants!$H85*(1-Constants!$H103))+(R9*Constants!$H67*Constants!$H119))</f>
        <v>157726937.48940286</v>
      </c>
      <c r="S54" s="22">
        <f>((S9*Constants!$H67*Constants!$H85*(1-Constants!$H103))+(S9*Constants!$H67*Constants!$H119))</f>
        <v>153879939.01405159</v>
      </c>
      <c r="T54" s="22">
        <f>((T9*Constants!$H67*Constants!$H85*(1-Constants!$H103))+(T9*Constants!$H67*Constants!$H119))</f>
        <v>174397264.2159251</v>
      </c>
      <c r="U54" s="22">
        <f>((U9*Constants!$H67*Constants!$H85*(1-Constants!$H103))+(U9*Constants!$H67*Constants!$H119))</f>
        <v>178564845.89755568</v>
      </c>
      <c r="V54" s="22">
        <f>((V9*Constants!$H67*Constants!$H85*(1-Constants!$H103))+(V9*Constants!$H67*Constants!$H119))</f>
        <v>175679597.04104221</v>
      </c>
      <c r="W54" s="22">
        <f>((W9*Constants!$H67*Constants!$H85*(1-Constants!$H103))+(W9*Constants!$H67*Constants!$H119))</f>
        <v>170550265.74057382</v>
      </c>
      <c r="X54" s="22">
        <f>((X9*Constants!$H67*Constants!$H85*(1-Constants!$H103))+(X9*Constants!$H67*Constants!$H119))</f>
        <v>176000180.24732149</v>
      </c>
      <c r="Y54" s="22">
        <f>((Y9*Constants!$H67*Constants!$H85*(1-Constants!$H103))+(Y9*Constants!$H67*Constants!$H119))</f>
        <v>183053010.78546554</v>
      </c>
      <c r="Z54" s="22">
        <f>((Z9*Constants!$H67*Constants!$H85*(1-Constants!$H103))+(Z9*Constants!$H67*Constants!$H119))</f>
        <v>180167761.92895204</v>
      </c>
      <c r="AA54" s="22">
        <f>((AA9*Constants!$H67*Constants!$H85*(1-Constants!$H103))+(AA9*Constants!$H67*Constants!$H119))</f>
        <v>178244262.6912764</v>
      </c>
      <c r="AB54" s="22">
        <f>((AB9*Constants!$H67*Constants!$H85*(1-Constants!$H103))+(AB9*Constants!$H67*Constants!$H119))</f>
        <v>175679597.04104221</v>
      </c>
      <c r="AC54" s="22">
        <f>((AC9*Constants!$H67*Constants!$H85*(1-Constants!$H103))+(AC9*Constants!$H67*Constants!$H119))</f>
        <v>176961929.86615929</v>
      </c>
      <c r="AD54" s="22">
        <f>((AD9*Constants!$H67*Constants!$H85*(1-Constants!$H103))+(AD9*Constants!$H67*Constants!$H119))</f>
        <v>169326496.10061395</v>
      </c>
      <c r="AE54" s="22">
        <f>((AE9*Constants!$H67*Constants!$H85*(1-Constants!$H103))+(AE9*Constants!$H67*Constants!$H119))</f>
        <v>168755185.94634226</v>
      </c>
      <c r="AF54" s="22">
        <f>((AF9*Constants!$H67*Constants!$H85*(1-Constants!$H103))+(AF9*Constants!$H67*Constants!$H119))</f>
        <v>166958539.21484572</v>
      </c>
      <c r="AG54" s="22">
        <f>((AG9*Constants!$H67*Constants!$H85*(1-Constants!$H103))+(AG9*Constants!$H67*Constants!$H119))</f>
        <v>164301271.05135232</v>
      </c>
      <c r="AH54" s="22">
        <f>((AH9*Constants!$H67*Constants!$H85*(1-Constants!$H103))+(AH9*Constants!$H67*Constants!$H119))</f>
        <v>160790855.89727366</v>
      </c>
      <c r="AI54" s="22">
        <f>((AI9*Constants!$H67*Constants!$H85*(1-Constants!$H103))+(AI9*Constants!$H67*Constants!$H119))</f>
        <v>158492378.69254085</v>
      </c>
      <c r="AJ54" s="22">
        <f>((AJ9*Constants!$H67*Constants!$H85*(1-Constants!$H103))+(AJ9*Constants!$H67*Constants!$H119))</f>
        <v>155980908.20293209</v>
      </c>
      <c r="AK54" s="22">
        <f>((AK9*Constants!$H67*Constants!$H85*(1-Constants!$H103))+(AK9*Constants!$H67*Constants!$H119))</f>
        <v>153411748.77510372</v>
      </c>
      <c r="AL54" s="22">
        <f>((AL9*Constants!$H67*Constants!$H85*(1-Constants!$H103))+(AL9*Constants!$H67*Constants!$H119))</f>
        <v>134409758.12737513</v>
      </c>
      <c r="AM54" s="22">
        <f>((AM9*Constants!$H67*Constants!$H85*(1-Constants!$H103))+(AM9*Constants!$H67*Constants!$H119))</f>
        <v>136007026.97355863</v>
      </c>
      <c r="AN54" s="22">
        <f>((AN9*Constants!$H67*Constants!$H85*(1-Constants!$H103))+(AN9*Constants!$H67*Constants!$H119))</f>
        <v>137354945.44500867</v>
      </c>
      <c r="AO54" s="22">
        <f>((AO9*Constants!$H67*Constants!$H85*(1-Constants!$H103))+(AO9*Constants!$H67*Constants!$H119))</f>
        <v>138739422.33371651</v>
      </c>
      <c r="AP54" s="22">
        <f>((AP9*Constants!$H67*Constants!$H85*(1-Constants!$H103))+(AP9*Constants!$H67*Constants!$H119))</f>
        <v>140355966.63532341</v>
      </c>
      <c r="AQ54" s="22">
        <f>((AQ9*Constants!$H67*Constants!$H85*(1-Constants!$H103))+(AQ9*Constants!$H67*Constants!$H119))</f>
        <v>142333213.30421594</v>
      </c>
      <c r="AR54" s="22">
        <f>((AR9*Constants!$H67*Constants!$H85*(1-Constants!$H103))+(AR9*Constants!$H67*Constants!$H119))</f>
        <v>144399989.41545218</v>
      </c>
      <c r="AS54" s="22">
        <f>((AS9*Constants!$H67*Constants!$H85*(1-Constants!$H103))+(AS9*Constants!$H67*Constants!$H119))</f>
        <v>146671250.58027536</v>
      </c>
      <c r="AT54" s="22">
        <f>((AT9*Constants!$H67*Constants!$H85*(1-Constants!$H103))+(AT9*Constants!$H67*Constants!$H119))</f>
        <v>149167795.76330709</v>
      </c>
      <c r="AU54" s="22">
        <f>((AU9*Constants!$H67*Constants!$H85*(1-Constants!$H103))+(AU9*Constants!$H67*Constants!$H119))</f>
        <v>152159565.12082797</v>
      </c>
      <c r="AV54" s="22">
        <f>((AV9*Constants!$H67*Constants!$H85*(1-Constants!$H103))+(AV9*Constants!$H67*Constants!$H119))</f>
        <v>155012910.67595714</v>
      </c>
      <c r="AW54" s="22">
        <f>((AW9*Constants!$H67*Constants!$H85*(1-Constants!$H103))+(AW9*Constants!$H67*Constants!$H119))</f>
        <v>157282312.5973236</v>
      </c>
      <c r="AX54" s="22">
        <f>((AX9*Constants!$H67*Constants!$H85*(1-Constants!$H103))+(AX9*Constants!$H67*Constants!$H119))</f>
        <v>159549339.27834144</v>
      </c>
      <c r="AY54" s="22">
        <f>((AY9*Constants!$H67*Constants!$H85*(1-Constants!$H103))+(AY9*Constants!$H67*Constants!$H119))</f>
        <v>161778522.74041867</v>
      </c>
      <c r="AZ54" s="22">
        <f>((AZ9*Constants!$H67*Constants!$H85*(1-Constants!$H103))+(AZ9*Constants!$H67*Constants!$H119))</f>
        <v>163935140.34761482</v>
      </c>
      <c r="BA54" s="22">
        <f>((BA9*Constants!$H67*Constants!$H85*(1-Constants!$H103))+(BA9*Constants!$H67*Constants!$H119))</f>
        <v>165453099.77884889</v>
      </c>
      <c r="BB54" s="22">
        <f>((BB9*Constants!$H67*Constants!$H85*(1-Constants!$H103))+(BB9*Constants!$H67*Constants!$H119))</f>
        <v>167002548.25896624</v>
      </c>
      <c r="BC54" s="22">
        <f>((BC9*Constants!$H67*Constants!$H85*(1-Constants!$H103))+(BC9*Constants!$H67*Constants!$H119))</f>
        <v>168723256.41438124</v>
      </c>
      <c r="BD54" s="22">
        <f>((BD9*Constants!$H67*Constants!$H85*(1-Constants!$H103))+(BD9*Constants!$H67*Constants!$H119))</f>
        <v>170487383.07638881</v>
      </c>
      <c r="BE54" s="22">
        <f>((BE9*Constants!$H67*Constants!$H85*(1-Constants!$H103))+(BE9*Constants!$H67*Constants!$H119))</f>
        <v>171903503.84767634</v>
      </c>
      <c r="BF54" s="22">
        <f>((BF9*Constants!$H67*Constants!$H85*(1-Constants!$H103))+(BF9*Constants!$H67*Constants!$H119))</f>
        <v>173184446.57666406</v>
      </c>
      <c r="BG54" s="22">
        <f>((BG9*Constants!$H67*Constants!$H85*(1-Constants!$H103))+(BG9*Constants!$H67*Constants!$H119))</f>
        <v>175335178.28745785</v>
      </c>
      <c r="BH54" s="22">
        <f>((BH9*Constants!$H67*Constants!$H85*(1-Constants!$H103))+(BH9*Constants!$H67*Constants!$H119))</f>
        <v>177574298.21029803</v>
      </c>
      <c r="BI54" s="22">
        <f>((BI9*Constants!$H67*Constants!$H85*(1-Constants!$H103))+(BI9*Constants!$H67*Constants!$H119))</f>
        <v>179953005.21396017</v>
      </c>
      <c r="BJ54" s="22">
        <f>((BJ9*Constants!$H67*Constants!$H85*(1-Constants!$H103))+(BJ9*Constants!$H67*Constants!$H119))</f>
        <v>182430118.81728014</v>
      </c>
      <c r="BK54" s="22">
        <f>((BK9*Constants!$H67*Constants!$H85*(1-Constants!$H103))+(BK9*Constants!$H67*Constants!$H119))</f>
        <v>185121191.77194342</v>
      </c>
      <c r="BL54" s="22">
        <f>((BL9*Constants!$H67*Constants!$H85*(1-Constants!$H103))+(BL9*Constants!$H67*Constants!$H119))</f>
        <v>187932831.52673113</v>
      </c>
      <c r="BM54" s="22">
        <f>((BM9*Constants!$H67*Constants!$H85*(1-Constants!$H103))+(BM9*Constants!$H67*Constants!$H119))</f>
        <v>190793275.8668651</v>
      </c>
      <c r="BN54" s="22">
        <f>((BN9*Constants!$H67*Constants!$H85*(1-Constants!$H103))+(BN9*Constants!$H67*Constants!$H119))</f>
        <v>193379182.47474182</v>
      </c>
      <c r="BO54" s="22">
        <f>((BO9*Constants!$H67*Constants!$H85*(1-Constants!$H103))+(BO9*Constants!$H67*Constants!$H119))</f>
        <v>196024192.74688551</v>
      </c>
      <c r="BP54" s="22">
        <f>((BP9*Constants!$H67*Constants!$H85*(1-Constants!$H103))+(BP9*Constants!$H67*Constants!$H119))</f>
        <v>198787018.89323968</v>
      </c>
    </row>
    <row r="55" spans="1:72" x14ac:dyDescent="0.25">
      <c r="A55" t="str">
        <f t="shared" si="20"/>
        <v>3C Aggregated and non-CO2 emissions on land</v>
      </c>
      <c r="B55" t="str">
        <f t="shared" si="21"/>
        <v>3C4 Direct N2O from managed soils (N2O)</v>
      </c>
      <c r="C55" t="s">
        <v>409</v>
      </c>
      <c r="D55" t="str">
        <f>Constants!D120</f>
        <v xml:space="preserve"> - Feedlot</v>
      </c>
      <c r="E55" t="str">
        <f t="shared" si="23"/>
        <v>MM N available - Feedlot</v>
      </c>
      <c r="F55" t="str">
        <f t="shared" si="24"/>
        <v>kg N</v>
      </c>
      <c r="H55" s="22">
        <f>((H10*Constants!$H68*Constants!$H86*(1-Constants!$H104))+(H10*Constants!$H68*Constants!$H120))</f>
        <v>16959658.715999998</v>
      </c>
      <c r="I55" s="22">
        <f>((I10*Constants!$H68*Constants!$H86*(1-Constants!$H104))+(I10*Constants!$H68*Constants!$H120))</f>
        <v>16959658.715999998</v>
      </c>
      <c r="J55" s="22">
        <f>((J10*Constants!$H68*Constants!$H86*(1-Constants!$H104))+(J10*Constants!$H68*Constants!$H120))</f>
        <v>16959658.715999998</v>
      </c>
      <c r="K55" s="22">
        <f>((K10*Constants!$H68*Constants!$H86*(1-Constants!$H104))+(K10*Constants!$H68*Constants!$H120))</f>
        <v>16959658.715999998</v>
      </c>
      <c r="L55" s="22">
        <f>((L10*Constants!$H68*Constants!$H86*(1-Constants!$H104))+(L10*Constants!$H68*Constants!$H120))</f>
        <v>16959658.715999998</v>
      </c>
      <c r="M55" s="22">
        <f>((M10*Constants!$H68*Constants!$H86*(1-Constants!$H104))+(M10*Constants!$H68*Constants!$H120))</f>
        <v>16959658.715999998</v>
      </c>
      <c r="N55" s="22">
        <f>((N10*Constants!$H68*Constants!$H86*(1-Constants!$H104))+(N10*Constants!$H68*Constants!$H120))</f>
        <v>16959658.715999998</v>
      </c>
      <c r="O55" s="22">
        <f>((O10*Constants!$H68*Constants!$H86*(1-Constants!$H104))+(O10*Constants!$H68*Constants!$H120))</f>
        <v>16959658.715999998</v>
      </c>
      <c r="P55" s="22">
        <f>((P10*Constants!$H68*Constants!$H86*(1-Constants!$H104))+(P10*Constants!$H68*Constants!$H120))</f>
        <v>16959658.715999998</v>
      </c>
      <c r="Q55" s="22">
        <f>((Q10*Constants!$H68*Constants!$H86*(1-Constants!$H104))+(Q10*Constants!$H68*Constants!$H120))</f>
        <v>16959658.715999998</v>
      </c>
      <c r="R55" s="22">
        <f>((R10*Constants!$H68*Constants!$H86*(1-Constants!$H104))+(R10*Constants!$H68*Constants!$H120))</f>
        <v>16959658.715999998</v>
      </c>
      <c r="S55" s="22">
        <f>((S10*Constants!$H68*Constants!$H86*(1-Constants!$H104))+(S10*Constants!$H68*Constants!$H120))</f>
        <v>16959658.715999998</v>
      </c>
      <c r="T55" s="22">
        <f>((T10*Constants!$H68*Constants!$H86*(1-Constants!$H104))+(T10*Constants!$H68*Constants!$H120))</f>
        <v>16959658.715999998</v>
      </c>
      <c r="U55" s="22">
        <f>((U10*Constants!$H68*Constants!$H86*(1-Constants!$H104))+(U10*Constants!$H68*Constants!$H120))</f>
        <v>16959658.715999998</v>
      </c>
      <c r="V55" s="22">
        <f>((V10*Constants!$H68*Constants!$H86*(1-Constants!$H104))+(V10*Constants!$H68*Constants!$H120))</f>
        <v>16959658.715999998</v>
      </c>
      <c r="W55" s="22">
        <f>((W10*Constants!$H68*Constants!$H86*(1-Constants!$H104))+(W10*Constants!$H68*Constants!$H120))</f>
        <v>16959658.715999998</v>
      </c>
      <c r="X55" s="22">
        <f>((X10*Constants!$H68*Constants!$H86*(1-Constants!$H104))+(X10*Constants!$H68*Constants!$H120))</f>
        <v>16959658.715999998</v>
      </c>
      <c r="Y55" s="22">
        <f>((Y10*Constants!$H68*Constants!$H86*(1-Constants!$H104))+(Y10*Constants!$H68*Constants!$H120))</f>
        <v>16959658.715999998</v>
      </c>
      <c r="Z55" s="22">
        <f>((Z10*Constants!$H68*Constants!$H86*(1-Constants!$H104))+(Z10*Constants!$H68*Constants!$H120))</f>
        <v>15794600.827455448</v>
      </c>
      <c r="AA55" s="22">
        <f>((AA10*Constants!$H68*Constants!$H86*(1-Constants!$H104))+(AA10*Constants!$H68*Constants!$H120))</f>
        <v>16185144.079554448</v>
      </c>
      <c r="AB55" s="22">
        <f>((AB10*Constants!$H68*Constants!$H86*(1-Constants!$H104))+(AB10*Constants!$H68*Constants!$H120))</f>
        <v>16144881.715162199</v>
      </c>
      <c r="AC55" s="22">
        <f>((AC10*Constants!$H68*Constants!$H86*(1-Constants!$H104))+(AC10*Constants!$H68*Constants!$H120))</f>
        <v>18647555.2896633</v>
      </c>
      <c r="AD55" s="22">
        <f>((AD10*Constants!$H68*Constants!$H86*(1-Constants!$H104))+(AD10*Constants!$H68*Constants!$H120))</f>
        <v>21862046.579344593</v>
      </c>
      <c r="AE55" s="22">
        <f>((AE10*Constants!$H68*Constants!$H86*(1-Constants!$H104))+(AE10*Constants!$H68*Constants!$H120))</f>
        <v>22719516.926409133</v>
      </c>
      <c r="AF55" s="22">
        <f>((AF10*Constants!$H68*Constants!$H86*(1-Constants!$H104))+(AF10*Constants!$H68*Constants!$H120))</f>
        <v>23425388.963326797</v>
      </c>
      <c r="AG55" s="22">
        <f>((AG10*Constants!$H68*Constants!$H86*(1-Constants!$H104))+(AG10*Constants!$H68*Constants!$H120))</f>
        <v>24013536.573335323</v>
      </c>
      <c r="AH55" s="22">
        <f>((AH10*Constants!$H68*Constants!$H86*(1-Constants!$H104))+(AH10*Constants!$H68*Constants!$H120))</f>
        <v>24470889.338771489</v>
      </c>
      <c r="AI55" s="22">
        <f>((AI10*Constants!$H68*Constants!$H86*(1-Constants!$H104))+(AI10*Constants!$H68*Constants!$H120))</f>
        <v>25109457.077900838</v>
      </c>
      <c r="AJ55" s="22">
        <f>((AJ10*Constants!$H68*Constants!$H86*(1-Constants!$H104))+(AJ10*Constants!$H68*Constants!$H120))</f>
        <v>25717932.097149465</v>
      </c>
      <c r="AK55" s="22">
        <f>((AK10*Constants!$H68*Constants!$H86*(1-Constants!$H104))+(AK10*Constants!$H68*Constants!$H120))</f>
        <v>26319590.47142531</v>
      </c>
      <c r="AL55" s="22">
        <f>((AL10*Constants!$H68*Constants!$H86*(1-Constants!$H104))+(AL10*Constants!$H68*Constants!$H120))</f>
        <v>23991114.198043969</v>
      </c>
      <c r="AM55" s="22">
        <f>((AM10*Constants!$H68*Constants!$H86*(1-Constants!$H104))+(AM10*Constants!$H68*Constants!$H120))</f>
        <v>24860658.150289942</v>
      </c>
      <c r="AN55" s="22">
        <f>((AN10*Constants!$H68*Constants!$H86*(1-Constants!$H104))+(AN10*Constants!$H68*Constants!$H120))</f>
        <v>25703189.779433902</v>
      </c>
      <c r="AO55" s="22">
        <f>((AO10*Constants!$H68*Constants!$H86*(1-Constants!$H104))+(AO10*Constants!$H68*Constants!$H120))</f>
        <v>26570885.287702166</v>
      </c>
      <c r="AP55" s="22">
        <f>((AP10*Constants!$H68*Constants!$H86*(1-Constants!$H104))+(AP10*Constants!$H68*Constants!$H120))</f>
        <v>27503207.769540835</v>
      </c>
      <c r="AQ55" s="22">
        <f>((AQ10*Constants!$H68*Constants!$H86*(1-Constants!$H104))+(AQ10*Constants!$H68*Constants!$H120))</f>
        <v>28529740.553073838</v>
      </c>
      <c r="AR55" s="22">
        <f>((AR10*Constants!$H68*Constants!$H86*(1-Constants!$H104))+(AR10*Constants!$H68*Constants!$H120))</f>
        <v>29600533.36684157</v>
      </c>
      <c r="AS55" s="22">
        <f>((AS10*Constants!$H68*Constants!$H86*(1-Constants!$H104))+(AS10*Constants!$H68*Constants!$H120))</f>
        <v>30741710.041233014</v>
      </c>
      <c r="AT55" s="22">
        <f>((AT10*Constants!$H68*Constants!$H86*(1-Constants!$H104))+(AT10*Constants!$H68*Constants!$H120))</f>
        <v>31961417.447233897</v>
      </c>
      <c r="AU55" s="22">
        <f>((AU10*Constants!$H68*Constants!$H86*(1-Constants!$H104))+(AU10*Constants!$H68*Constants!$H120))</f>
        <v>33322858.816694781</v>
      </c>
      <c r="AV55" s="22">
        <f>((AV10*Constants!$H68*Constants!$H86*(1-Constants!$H104))+(AV10*Constants!$H68*Constants!$H120))</f>
        <v>34692315.597048849</v>
      </c>
      <c r="AW55" s="22">
        <f>((AW10*Constants!$H68*Constants!$H86*(1-Constants!$H104))+(AW10*Constants!$H68*Constants!$H120))</f>
        <v>36366982.147259347</v>
      </c>
      <c r="AX55" s="22">
        <f>((AX10*Constants!$H68*Constants!$H86*(1-Constants!$H104))+(AX10*Constants!$H68*Constants!$H120))</f>
        <v>38116334.299142502</v>
      </c>
      <c r="AY55" s="22">
        <f>((AY10*Constants!$H68*Constants!$H86*(1-Constants!$H104))+(AY10*Constants!$H68*Constants!$H120))</f>
        <v>39935713.093282901</v>
      </c>
      <c r="AZ55" s="22">
        <f>((AZ10*Constants!$H68*Constants!$H86*(1-Constants!$H104))+(AZ10*Constants!$H68*Constants!$H120))</f>
        <v>41819770.037960008</v>
      </c>
      <c r="BA55" s="22">
        <f>((BA10*Constants!$H68*Constants!$H86*(1-Constants!$H104))+(BA10*Constants!$H68*Constants!$H120))</f>
        <v>43622123.142318338</v>
      </c>
      <c r="BB55" s="22">
        <f>((BB10*Constants!$H68*Constants!$H86*(1-Constants!$H104))+(BB10*Constants!$H68*Constants!$H120))</f>
        <v>45513406.447080821</v>
      </c>
      <c r="BC55" s="22">
        <f>((BC10*Constants!$H68*Constants!$H86*(1-Constants!$H104))+(BC10*Constants!$H68*Constants!$H120))</f>
        <v>47538597.145889789</v>
      </c>
      <c r="BD55" s="22">
        <f>((BD10*Constants!$H68*Constants!$H86*(1-Constants!$H104))+(BD10*Constants!$H68*Constants!$H120))</f>
        <v>49670495.584445365</v>
      </c>
      <c r="BE55" s="22">
        <f>((BE10*Constants!$H68*Constants!$H86*(1-Constants!$H104))+(BE10*Constants!$H68*Constants!$H120))</f>
        <v>51798174.032940693</v>
      </c>
      <c r="BF55" s="22">
        <f>((BF10*Constants!$H68*Constants!$H86*(1-Constants!$H104))+(BF10*Constants!$H68*Constants!$H120))</f>
        <v>53983352.887982212</v>
      </c>
      <c r="BG55" s="22">
        <f>((BG10*Constants!$H68*Constants!$H86*(1-Constants!$H104))+(BG10*Constants!$H68*Constants!$H120))</f>
        <v>56195008.364146397</v>
      </c>
      <c r="BH55" s="22">
        <f>((BH10*Constants!$H68*Constants!$H86*(1-Constants!$H104))+(BH10*Constants!$H68*Constants!$H120))</f>
        <v>58523154.440774269</v>
      </c>
      <c r="BI55" s="22">
        <f>((BI10*Constants!$H68*Constants!$H86*(1-Constants!$H104))+(BI10*Constants!$H68*Constants!$H120))</f>
        <v>60991914.259304479</v>
      </c>
      <c r="BJ55" s="22">
        <f>((BJ10*Constants!$H68*Constants!$H86*(1-Constants!$H104))+(BJ10*Constants!$H68*Constants!$H120))</f>
        <v>63595624.166865483</v>
      </c>
      <c r="BK55" s="22">
        <f>((BK10*Constants!$H68*Constants!$H86*(1-Constants!$H104))+(BK10*Constants!$H68*Constants!$H120))</f>
        <v>66383750.209772021</v>
      </c>
      <c r="BL55" s="22">
        <f>((BL10*Constants!$H68*Constants!$H86*(1-Constants!$H104))+(BL10*Constants!$H68*Constants!$H120))</f>
        <v>69333984.609711885</v>
      </c>
      <c r="BM55" s="22">
        <f>((BM10*Constants!$H68*Constants!$H86*(1-Constants!$H104))+(BM10*Constants!$H68*Constants!$H120))</f>
        <v>72429066.66376099</v>
      </c>
      <c r="BN55" s="22">
        <f>((BN10*Constants!$H68*Constants!$H86*(1-Constants!$H104))+(BN10*Constants!$H68*Constants!$H120))</f>
        <v>75550960.05590786</v>
      </c>
      <c r="BO55" s="22">
        <f>((BO10*Constants!$H68*Constants!$H86*(1-Constants!$H104))+(BO10*Constants!$H68*Constants!$H120))</f>
        <v>78831589.122740448</v>
      </c>
      <c r="BP55" s="22">
        <f>((BP10*Constants!$H68*Constants!$H86*(1-Constants!$H104))+(BP10*Constants!$H68*Constants!$H120))</f>
        <v>82304726.487528652</v>
      </c>
    </row>
    <row r="56" spans="1:72" x14ac:dyDescent="0.25">
      <c r="A56" t="str">
        <f t="shared" si="20"/>
        <v>3C Aggregated and non-CO2 emissions on land</v>
      </c>
      <c r="B56" t="str">
        <f t="shared" si="21"/>
        <v>3C4 Direct N2O from managed soils (N2O)</v>
      </c>
      <c r="C56" t="s">
        <v>409</v>
      </c>
      <c r="D56" t="str">
        <f>Constants!D121</f>
        <v xml:space="preserve"> - Commercial sheep</v>
      </c>
      <c r="E56" t="str">
        <f t="shared" si="23"/>
        <v>MM N available - Commercial sheep</v>
      </c>
      <c r="F56" t="str">
        <f t="shared" si="24"/>
        <v>kg N</v>
      </c>
      <c r="H56" s="22">
        <f>((H11*Constants!$H69*Constants!$H87*(1-Constants!$H105))+(H11*Constants!$H69*Constants!$H121))</f>
        <v>5854027.4791245274</v>
      </c>
      <c r="I56" s="22">
        <f>((I11*Constants!$H69*Constants!$H87*(1-Constants!$H105))+(I11*Constants!$H69*Constants!$H121))</f>
        <v>5590802.2534045279</v>
      </c>
      <c r="J56" s="22">
        <f>((J11*Constants!$H69*Constants!$H87*(1-Constants!$H105))+(J11*Constants!$H69*Constants!$H121))</f>
        <v>5359796.7326131631</v>
      </c>
      <c r="K56" s="22">
        <f>((K11*Constants!$H69*Constants!$H87*(1-Constants!$H105))+(K11*Constants!$H69*Constants!$H121))</f>
        <v>5012605.003139752</v>
      </c>
      <c r="L56" s="22">
        <f>((L11*Constants!$H69*Constants!$H87*(1-Constants!$H105))+(L11*Constants!$H69*Constants!$H121))</f>
        <v>5047949.0430917693</v>
      </c>
      <c r="M56" s="22">
        <f>((M11*Constants!$H69*Constants!$H87*(1-Constants!$H105))+(M11*Constants!$H69*Constants!$H121))</f>
        <v>4975698.7956760423</v>
      </c>
      <c r="N56" s="22">
        <f>((N11*Constants!$H69*Constants!$H87*(1-Constants!$H105))+(N11*Constants!$H69*Constants!$H121))</f>
        <v>4992296.8254877636</v>
      </c>
      <c r="O56" s="22">
        <f>((O11*Constants!$H69*Constants!$H87*(1-Constants!$H105))+(O11*Constants!$H69*Constants!$H121))</f>
        <v>4883726.1834252123</v>
      </c>
      <c r="P56" s="22">
        <f>((P11*Constants!$H69*Constants!$H87*(1-Constants!$H105))+(P11*Constants!$H69*Constants!$H121))</f>
        <v>4897199.8782135509</v>
      </c>
      <c r="Q56" s="22">
        <f>((Q11*Constants!$H69*Constants!$H87*(1-Constants!$H105))+(Q11*Constants!$H69*Constants!$H121))</f>
        <v>4776912.9798133131</v>
      </c>
      <c r="R56" s="22">
        <f>((R11*Constants!$H69*Constants!$H87*(1-Constants!$H105))+(R11*Constants!$H69*Constants!$H121))</f>
        <v>4605660.3663441446</v>
      </c>
      <c r="S56" s="22">
        <f>((S11*Constants!$H69*Constants!$H87*(1-Constants!$H105))+(S11*Constants!$H69*Constants!$H121))</f>
        <v>4490841.0542348269</v>
      </c>
      <c r="T56" s="22">
        <f>((T11*Constants!$H69*Constants!$H87*(1-Constants!$H105))+(T11*Constants!$H69*Constants!$H121))</f>
        <v>4415857.0136736408</v>
      </c>
      <c r="U56" s="22">
        <f>((U11*Constants!$H69*Constants!$H87*(1-Constants!$H105))+(U11*Constants!$H69*Constants!$H121))</f>
        <v>4431283.4178515924</v>
      </c>
      <c r="V56" s="22">
        <f>((V11*Constants!$H69*Constants!$H87*(1-Constants!$H105))+(V11*Constants!$H69*Constants!$H121))</f>
        <v>4352393.9585111775</v>
      </c>
      <c r="W56" s="22">
        <f>((W11*Constants!$H69*Constants!$H87*(1-Constants!$H105))+(W11*Constants!$H69*Constants!$H121))</f>
        <v>4342044.5987462224</v>
      </c>
      <c r="X56" s="22">
        <f>((X11*Constants!$H69*Constants!$H87*(1-Constants!$H105))+(X11*Constants!$H69*Constants!$H121))</f>
        <v>4285220.7555084471</v>
      </c>
      <c r="Y56" s="22">
        <f>((Y11*Constants!$H69*Constants!$H87*(1-Constants!$H105))+(Y11*Constants!$H69*Constants!$H121))</f>
        <v>4281120.0657902574</v>
      </c>
      <c r="Z56" s="22">
        <f>((Z11*Constants!$H69*Constants!$H87*(1-Constants!$H105))+(Z11*Constants!$H69*Constants!$H121))</f>
        <v>4294984.3024565196</v>
      </c>
      <c r="AA56" s="22">
        <f>((AA11*Constants!$H69*Constants!$H87*(1-Constants!$H105))+(AA11*Constants!$H69*Constants!$H121))</f>
        <v>4279753.1692175278</v>
      </c>
      <c r="AB56" s="22">
        <f>((AB11*Constants!$H69*Constants!$H87*(1-Constants!$H105))+(AB11*Constants!$H69*Constants!$H121))</f>
        <v>4196958.2910978841</v>
      </c>
      <c r="AC56" s="22">
        <f>((AC11*Constants!$H69*Constants!$H87*(1-Constants!$H105))+(AC11*Constants!$H69*Constants!$H121))</f>
        <v>4164152.7733523645</v>
      </c>
      <c r="AD56" s="22">
        <f>((AD11*Constants!$H69*Constants!$H87*(1-Constants!$H105))+(AD11*Constants!$H69*Constants!$H121))</f>
        <v>3713091.8250828907</v>
      </c>
      <c r="AE56" s="22">
        <f>((AE11*Constants!$H69*Constants!$H87*(1-Constants!$H105))+(AE11*Constants!$H69*Constants!$H121))</f>
        <v>3715103.8885627561</v>
      </c>
      <c r="AF56" s="22">
        <f>((AF11*Constants!$H69*Constants!$H87*(1-Constants!$H105))+(AF11*Constants!$H69*Constants!$H121))</f>
        <v>3719680.4524338935</v>
      </c>
      <c r="AG56" s="22">
        <f>((AG11*Constants!$H69*Constants!$H87*(1-Constants!$H105))+(AG11*Constants!$H69*Constants!$H121))</f>
        <v>3726689.0457250099</v>
      </c>
      <c r="AH56" s="22">
        <f>((AH11*Constants!$H69*Constants!$H87*(1-Constants!$H105))+(AH11*Constants!$H69*Constants!$H121))</f>
        <v>3735999.8371643689</v>
      </c>
      <c r="AI56" s="22">
        <f>((AI11*Constants!$H69*Constants!$H87*(1-Constants!$H105))+(AI11*Constants!$H69*Constants!$H121))</f>
        <v>3747712.3091506856</v>
      </c>
      <c r="AJ56" s="22">
        <f>((AJ11*Constants!$H69*Constants!$H87*(1-Constants!$H105))+(AJ11*Constants!$H69*Constants!$H121))</f>
        <v>3760693.9990618657</v>
      </c>
      <c r="AK56" s="22">
        <f>((AK11*Constants!$H69*Constants!$H87*(1-Constants!$H105))+(AK11*Constants!$H69*Constants!$H121))</f>
        <v>3774979.4815628119</v>
      </c>
      <c r="AL56" s="22">
        <f>((AL11*Constants!$H69*Constants!$H87*(1-Constants!$H105))+(AL11*Constants!$H69*Constants!$H121))</f>
        <v>3788751.6732779061</v>
      </c>
      <c r="AM56" s="22">
        <f>((AM11*Constants!$H69*Constants!$H87*(1-Constants!$H105))+(AM11*Constants!$H69*Constants!$H121))</f>
        <v>3794211.249643038</v>
      </c>
      <c r="AN56" s="22">
        <f>((AN11*Constants!$H69*Constants!$H87*(1-Constants!$H105))+(AN11*Constants!$H69*Constants!$H121))</f>
        <v>3800587.7966560987</v>
      </c>
      <c r="AO56" s="22">
        <f>((AO11*Constants!$H69*Constants!$H87*(1-Constants!$H105))+(AO11*Constants!$H69*Constants!$H121))</f>
        <v>3807855.5330043291</v>
      </c>
      <c r="AP56" s="22">
        <f>((AP11*Constants!$H69*Constants!$H87*(1-Constants!$H105))+(AP11*Constants!$H69*Constants!$H121))</f>
        <v>3815987.1568913227</v>
      </c>
      <c r="AQ56" s="22">
        <f>((AQ11*Constants!$H69*Constants!$H87*(1-Constants!$H105))+(AQ11*Constants!$H69*Constants!$H121))</f>
        <v>3824954.8361379071</v>
      </c>
      <c r="AR56" s="22">
        <f>((AR11*Constants!$H69*Constants!$H87*(1-Constants!$H105))+(AR11*Constants!$H69*Constants!$H121))</f>
        <v>3830461.9282765272</v>
      </c>
      <c r="AS56" s="22">
        <f>((AS11*Constants!$H69*Constants!$H87*(1-Constants!$H105))+(AS11*Constants!$H69*Constants!$H121))</f>
        <v>3836669.4596018381</v>
      </c>
      <c r="AT56" s="22">
        <f>((AT11*Constants!$H69*Constants!$H87*(1-Constants!$H105))+(AT11*Constants!$H69*Constants!$H121))</f>
        <v>3843548.158688454</v>
      </c>
      <c r="AU56" s="22">
        <f>((AU11*Constants!$H69*Constants!$H87*(1-Constants!$H105))+(AU11*Constants!$H69*Constants!$H121))</f>
        <v>3851102.5360233746</v>
      </c>
      <c r="AV56" s="22">
        <f>((AV11*Constants!$H69*Constants!$H87*(1-Constants!$H105))+(AV11*Constants!$H69*Constants!$H121))</f>
        <v>3859230.7602878744</v>
      </c>
      <c r="AW56" s="22">
        <f>((AW11*Constants!$H69*Constants!$H87*(1-Constants!$H105))+(AW11*Constants!$H69*Constants!$H121))</f>
        <v>3864608.589663092</v>
      </c>
      <c r="AX56" s="22">
        <f>((AX11*Constants!$H69*Constants!$H87*(1-Constants!$H105))+(AX11*Constants!$H69*Constants!$H121))</f>
        <v>3870512.6587549206</v>
      </c>
      <c r="AY56" s="22">
        <f>((AY11*Constants!$H69*Constants!$H87*(1-Constants!$H105))+(AY11*Constants!$H69*Constants!$H121))</f>
        <v>3876918.589914741</v>
      </c>
      <c r="AZ56" s="22">
        <f>((AZ11*Constants!$H69*Constants!$H87*(1-Constants!$H105))+(AZ11*Constants!$H69*Constants!$H121))</f>
        <v>3883803.629817537</v>
      </c>
      <c r="BA56" s="22">
        <f>((BA11*Constants!$H69*Constants!$H87*(1-Constants!$H105))+(BA11*Constants!$H69*Constants!$H121))</f>
        <v>3891072.8666189872</v>
      </c>
      <c r="BB56" s="22">
        <f>((BB11*Constants!$H69*Constants!$H87*(1-Constants!$H105))+(BB11*Constants!$H69*Constants!$H121))</f>
        <v>3895579.8459768947</v>
      </c>
      <c r="BC56" s="22">
        <f>((BC11*Constants!$H69*Constants!$H87*(1-Constants!$H105))+(BC11*Constants!$H69*Constants!$H121))</f>
        <v>3900527.3571143099</v>
      </c>
      <c r="BD56" s="22">
        <f>((BD11*Constants!$H69*Constants!$H87*(1-Constants!$H105))+(BD11*Constants!$H69*Constants!$H121))</f>
        <v>3905885.5115259318</v>
      </c>
      <c r="BE56" s="22">
        <f>((BE11*Constants!$H69*Constants!$H87*(1-Constants!$H105))+(BE11*Constants!$H69*Constants!$H121))</f>
        <v>3911583.742839233</v>
      </c>
      <c r="BF56" s="22">
        <f>((BF11*Constants!$H69*Constants!$H87*(1-Constants!$H105))+(BF11*Constants!$H69*Constants!$H121))</f>
        <v>3917641.0604248405</v>
      </c>
      <c r="BG56" s="22">
        <f>((BG11*Constants!$H69*Constants!$H87*(1-Constants!$H105))+(BG11*Constants!$H69*Constants!$H121))</f>
        <v>3921065.9468334774</v>
      </c>
      <c r="BH56" s="22">
        <f>((BH11*Constants!$H69*Constants!$H87*(1-Constants!$H105))+(BH11*Constants!$H69*Constants!$H121))</f>
        <v>3924839.5557770198</v>
      </c>
      <c r="BI56" s="22">
        <f>((BI11*Constants!$H69*Constants!$H87*(1-Constants!$H105))+(BI11*Constants!$H69*Constants!$H121))</f>
        <v>3928962.2097126888</v>
      </c>
      <c r="BJ56" s="22">
        <f>((BJ11*Constants!$H69*Constants!$H87*(1-Constants!$H105))+(BJ11*Constants!$H69*Constants!$H121))</f>
        <v>3933420.1419553421</v>
      </c>
      <c r="BK56" s="22">
        <f>((BK11*Constants!$H69*Constants!$H87*(1-Constants!$H105))+(BK11*Constants!$H69*Constants!$H121))</f>
        <v>3938227.0206500799</v>
      </c>
      <c r="BL56" s="22">
        <f>((BL11*Constants!$H69*Constants!$H87*(1-Constants!$H105))+(BL11*Constants!$H69*Constants!$H121))</f>
        <v>3940333.2586631482</v>
      </c>
      <c r="BM56" s="22">
        <f>((BM11*Constants!$H69*Constants!$H87*(1-Constants!$H105))+(BM11*Constants!$H69*Constants!$H121))</f>
        <v>3942735.8650622494</v>
      </c>
      <c r="BN56" s="22">
        <f>((BN11*Constants!$H69*Constants!$H87*(1-Constants!$H105))+(BN11*Constants!$H69*Constants!$H121))</f>
        <v>3945369.833772175</v>
      </c>
      <c r="BO56" s="22">
        <f>((BO11*Constants!$H69*Constants!$H87*(1-Constants!$H105))+(BO11*Constants!$H69*Constants!$H121))</f>
        <v>3948289.7647452201</v>
      </c>
      <c r="BP56" s="22">
        <f>((BP11*Constants!$H69*Constants!$H87*(1-Constants!$H105))+(BP11*Constants!$H69*Constants!$H121))</f>
        <v>3951503.1820149869</v>
      </c>
    </row>
    <row r="57" spans="1:72" x14ac:dyDescent="0.25">
      <c r="A57" t="str">
        <f t="shared" si="20"/>
        <v>3C Aggregated and non-CO2 emissions on land</v>
      </c>
      <c r="B57" t="str">
        <f t="shared" si="21"/>
        <v>3C4 Direct N2O from managed soils (N2O)</v>
      </c>
      <c r="C57" t="s">
        <v>409</v>
      </c>
      <c r="D57" t="str">
        <f>Constants!D122</f>
        <v xml:space="preserve"> - Subsistence sheep</v>
      </c>
      <c r="E57" t="str">
        <f t="shared" si="23"/>
        <v>MM N available - Subsistence sheep</v>
      </c>
      <c r="F57" t="str">
        <f t="shared" si="24"/>
        <v>kg N</v>
      </c>
      <c r="H57" s="22">
        <f>((H12*Constants!$H70*Constants!$H88*(1-Constants!$H106))+(H12*Constants!$H70*Constants!$H122))</f>
        <v>4449823.866729687</v>
      </c>
      <c r="I57" s="22">
        <f>((I12*Constants!$H70*Constants!$H88*(1-Constants!$H106))+(I12*Constants!$H70*Constants!$H122))</f>
        <v>4249738.3878160603</v>
      </c>
      <c r="J57" s="22">
        <f>((J12*Constants!$H70*Constants!$H88*(1-Constants!$H106))+(J12*Constants!$H70*Constants!$H122))</f>
        <v>4074144.0839920086</v>
      </c>
      <c r="K57" s="22">
        <f>((K12*Constants!$H70*Constants!$H88*(1-Constants!$H106))+(K12*Constants!$H70*Constants!$H122))</f>
        <v>3810233.1184813054</v>
      </c>
      <c r="L57" s="22">
        <f>((L12*Constants!$H70*Constants!$H88*(1-Constants!$H106))+(L12*Constants!$H70*Constants!$H122))</f>
        <v>3837099.1953977491</v>
      </c>
      <c r="M57" s="22">
        <f>((M12*Constants!$H70*Constants!$H88*(1-Constants!$H106))+(M12*Constants!$H70*Constants!$H122))</f>
        <v>3782179.5906514279</v>
      </c>
      <c r="N57" s="22">
        <f>((N12*Constants!$H70*Constants!$H88*(1-Constants!$H106))+(N12*Constants!$H70*Constants!$H122))</f>
        <v>3794796.2566066636</v>
      </c>
      <c r="O57" s="22">
        <f>((O12*Constants!$H70*Constants!$H88*(1-Constants!$H106))+(O12*Constants!$H70*Constants!$H122))</f>
        <v>3712268.4181230017</v>
      </c>
      <c r="P57" s="22">
        <f>((P12*Constants!$H70*Constants!$H88*(1-Constants!$H106))+(P12*Constants!$H70*Constants!$H122))</f>
        <v>3722510.1822513817</v>
      </c>
      <c r="Q57" s="22">
        <f>((Q12*Constants!$H70*Constants!$H88*(1-Constants!$H106))+(Q12*Constants!$H70*Constants!$H122))</f>
        <v>3631076.4619169645</v>
      </c>
      <c r="R57" s="22">
        <f>((R12*Constants!$H70*Constants!$H88*(1-Constants!$H106))+(R12*Constants!$H70*Constants!$H122))</f>
        <v>3500902.1555317631</v>
      </c>
      <c r="S57" s="22">
        <f>((S12*Constants!$H70*Constants!$H88*(1-Constants!$H106))+(S12*Constants!$H70*Constants!$H122))</f>
        <v>3413624.5133943642</v>
      </c>
      <c r="T57" s="22">
        <f>((T12*Constants!$H70*Constants!$H88*(1-Constants!$H106))+(T12*Constants!$H70*Constants!$H122))</f>
        <v>3356626.8695495329</v>
      </c>
      <c r="U57" s="22">
        <f>((U12*Constants!$H70*Constants!$H88*(1-Constants!$H106))+(U12*Constants!$H70*Constants!$H122))</f>
        <v>3368352.9473196943</v>
      </c>
      <c r="V57" s="22">
        <f>((V12*Constants!$H70*Constants!$H88*(1-Constants!$H106))+(V12*Constants!$H70*Constants!$H122))</f>
        <v>3308386.6761912769</v>
      </c>
      <c r="W57" s="22">
        <f>((W12*Constants!$H70*Constants!$H88*(1-Constants!$H106))+(W12*Constants!$H70*Constants!$H122))</f>
        <v>3300519.8138897773</v>
      </c>
      <c r="X57" s="22">
        <f>((X12*Constants!$H70*Constants!$H88*(1-Constants!$H106))+(X12*Constants!$H70*Constants!$H122))</f>
        <v>3257326.2869136157</v>
      </c>
      <c r="Y57" s="22">
        <f>((Y12*Constants!$H70*Constants!$H88*(1-Constants!$H106))+(Y12*Constants!$H70*Constants!$H122))</f>
        <v>3254209.2282658513</v>
      </c>
      <c r="Z57" s="22">
        <f>((Z12*Constants!$H70*Constants!$H88*(1-Constants!$H106))+(Z12*Constants!$H70*Constants!$H122))</f>
        <v>3264747.8551225783</v>
      </c>
      <c r="AA57" s="22">
        <f>((AA12*Constants!$H70*Constants!$H88*(1-Constants!$H106))+(AA12*Constants!$H70*Constants!$H122))</f>
        <v>3253170.2087165965</v>
      </c>
      <c r="AB57" s="22">
        <f>((AB12*Constants!$H70*Constants!$H88*(1-Constants!$H106))+(AB12*Constants!$H70*Constants!$H122))</f>
        <v>3190235.3103045956</v>
      </c>
      <c r="AC57" s="22">
        <f>((AC12*Constants!$H70*Constants!$H88*(1-Constants!$H106))+(AC12*Constants!$H70*Constants!$H122))</f>
        <v>3165298.8411224815</v>
      </c>
      <c r="AD57" s="22">
        <f>((AD12*Constants!$H70*Constants!$H88*(1-Constants!$H106))+(AD12*Constants!$H70*Constants!$H122))</f>
        <v>3021952.02067122</v>
      </c>
      <c r="AE57" s="22">
        <f>((AE12*Constants!$H70*Constants!$H88*(1-Constants!$H106))+(AE12*Constants!$H70*Constants!$H122))</f>
        <v>3023589.5668416712</v>
      </c>
      <c r="AF57" s="22">
        <f>((AF12*Constants!$H70*Constants!$H88*(1-Constants!$H106))+(AF12*Constants!$H70*Constants!$H122))</f>
        <v>3027314.2677350584</v>
      </c>
      <c r="AG57" s="22">
        <f>((AG12*Constants!$H70*Constants!$H88*(1-Constants!$H106))+(AG12*Constants!$H70*Constants!$H122))</f>
        <v>3033018.3099876838</v>
      </c>
      <c r="AH57" s="22">
        <f>((AH12*Constants!$H70*Constants!$H88*(1-Constants!$H106))+(AH12*Constants!$H70*Constants!$H122))</f>
        <v>3040596.0285924724</v>
      </c>
      <c r="AI57" s="22">
        <f>((AI12*Constants!$H70*Constants!$H88*(1-Constants!$H106))+(AI12*Constants!$H70*Constants!$H122))</f>
        <v>3050128.3886992182</v>
      </c>
      <c r="AJ57" s="22">
        <f>((AJ12*Constants!$H70*Constants!$H88*(1-Constants!$H106))+(AJ12*Constants!$H70*Constants!$H122))</f>
        <v>3060693.7196705155</v>
      </c>
      <c r="AK57" s="22">
        <f>((AK12*Constants!$H70*Constants!$H88*(1-Constants!$H106))+(AK12*Constants!$H70*Constants!$H122))</f>
        <v>3072320.1605838197</v>
      </c>
      <c r="AL57" s="22">
        <f>((AL12*Constants!$H70*Constants!$H88*(1-Constants!$H106))+(AL12*Constants!$H70*Constants!$H122))</f>
        <v>3083528.8525696611</v>
      </c>
      <c r="AM57" s="22">
        <f>((AM12*Constants!$H70*Constants!$H88*(1-Constants!$H106))+(AM12*Constants!$H70*Constants!$H122))</f>
        <v>3087972.205604231</v>
      </c>
      <c r="AN57" s="22">
        <f>((AN12*Constants!$H70*Constants!$H88*(1-Constants!$H106))+(AN12*Constants!$H70*Constants!$H122))</f>
        <v>3093161.8481013146</v>
      </c>
      <c r="AO57" s="22">
        <f>((AO12*Constants!$H70*Constants!$H88*(1-Constants!$H106))+(AO12*Constants!$H70*Constants!$H122))</f>
        <v>3099076.7975768098</v>
      </c>
      <c r="AP57" s="22">
        <f>((AP12*Constants!$H70*Constants!$H88*(1-Constants!$H106))+(AP12*Constants!$H70*Constants!$H122))</f>
        <v>3105694.8340796083</v>
      </c>
      <c r="AQ57" s="22">
        <f>((AQ12*Constants!$H70*Constants!$H88*(1-Constants!$H106))+(AQ12*Constants!$H70*Constants!$H122))</f>
        <v>3112993.3059991226</v>
      </c>
      <c r="AR57" s="22">
        <f>((AR12*Constants!$H70*Constants!$H88*(1-Constants!$H106))+(AR12*Constants!$H70*Constants!$H122))</f>
        <v>3117475.3304144368</v>
      </c>
      <c r="AS57" s="22">
        <f>((AS12*Constants!$H70*Constants!$H88*(1-Constants!$H106))+(AS12*Constants!$H70*Constants!$H122))</f>
        <v>3122527.4171161936</v>
      </c>
      <c r="AT57" s="22">
        <f>((AT12*Constants!$H70*Constants!$H88*(1-Constants!$H106))+(AT12*Constants!$H70*Constants!$H122))</f>
        <v>3128125.7431430281</v>
      </c>
      <c r="AU57" s="22">
        <f>((AU12*Constants!$H70*Constants!$H88*(1-Constants!$H106))+(AU12*Constants!$H70*Constants!$H122))</f>
        <v>3134273.9794182424</v>
      </c>
      <c r="AV57" s="22">
        <f>((AV12*Constants!$H70*Constants!$H88*(1-Constants!$H106))+(AV12*Constants!$H70*Constants!$H122))</f>
        <v>3140889.2490904452</v>
      </c>
      <c r="AW57" s="22">
        <f>((AW12*Constants!$H70*Constants!$H88*(1-Constants!$H106))+(AW12*Constants!$H70*Constants!$H122))</f>
        <v>3145266.0711871902</v>
      </c>
      <c r="AX57" s="22">
        <f>((AX12*Constants!$H70*Constants!$H88*(1-Constants!$H106))+(AX12*Constants!$H70*Constants!$H122))</f>
        <v>3150071.1808808707</v>
      </c>
      <c r="AY57" s="22">
        <f>((AY12*Constants!$H70*Constants!$H88*(1-Constants!$H106))+(AY12*Constants!$H70*Constants!$H122))</f>
        <v>3155284.7380791958</v>
      </c>
      <c r="AZ57" s="22">
        <f>((AZ12*Constants!$H70*Constants!$H88*(1-Constants!$H106))+(AZ12*Constants!$H70*Constants!$H122))</f>
        <v>3160888.224668486</v>
      </c>
      <c r="BA57" s="22">
        <f>((BA12*Constants!$H70*Constants!$H88*(1-Constants!$H106))+(BA12*Constants!$H70*Constants!$H122))</f>
        <v>3166804.3953089435</v>
      </c>
      <c r="BB57" s="22">
        <f>((BB12*Constants!$H70*Constants!$H88*(1-Constants!$H106))+(BB12*Constants!$H70*Constants!$H122))</f>
        <v>3170472.4638672662</v>
      </c>
      <c r="BC57" s="22">
        <f>((BC12*Constants!$H70*Constants!$H88*(1-Constants!$H106))+(BC12*Constants!$H70*Constants!$H122))</f>
        <v>3174499.0654121041</v>
      </c>
      <c r="BD57" s="22">
        <f>((BD12*Constants!$H70*Constants!$H88*(1-Constants!$H106))+(BD12*Constants!$H70*Constants!$H122))</f>
        <v>3178859.8747629225</v>
      </c>
      <c r="BE57" s="22">
        <f>((BE12*Constants!$H70*Constants!$H88*(1-Constants!$H106))+(BE12*Constants!$H70*Constants!$H122))</f>
        <v>3183497.4604846542</v>
      </c>
      <c r="BF57" s="22">
        <f>((BF12*Constants!$H70*Constants!$H88*(1-Constants!$H106))+(BF12*Constants!$H70*Constants!$H122))</f>
        <v>3188427.2936210232</v>
      </c>
      <c r="BG57" s="22">
        <f>((BG12*Constants!$H70*Constants!$H88*(1-Constants!$H106))+(BG12*Constants!$H70*Constants!$H122))</f>
        <v>3191214.6856088098</v>
      </c>
      <c r="BH57" s="22">
        <f>((BH12*Constants!$H70*Constants!$H88*(1-Constants!$H106))+(BH12*Constants!$H70*Constants!$H122))</f>
        <v>3194285.8903377433</v>
      </c>
      <c r="BI57" s="22">
        <f>((BI12*Constants!$H70*Constants!$H88*(1-Constants!$H106))+(BI12*Constants!$H70*Constants!$H122))</f>
        <v>3197641.1702441717</v>
      </c>
      <c r="BJ57" s="22">
        <f>((BJ12*Constants!$H70*Constants!$H88*(1-Constants!$H106))+(BJ12*Constants!$H70*Constants!$H122))</f>
        <v>3201269.3211177089</v>
      </c>
      <c r="BK57" s="22">
        <f>((BK12*Constants!$H70*Constants!$H88*(1-Constants!$H106))+(BK12*Constants!$H70*Constants!$H122))</f>
        <v>3205181.466970542</v>
      </c>
      <c r="BL57" s="22">
        <f>((BL12*Constants!$H70*Constants!$H88*(1-Constants!$H106))+(BL12*Constants!$H70*Constants!$H122))</f>
        <v>3206895.6584097655</v>
      </c>
      <c r="BM57" s="22">
        <f>((BM12*Constants!$H70*Constants!$H88*(1-Constants!$H106))+(BM12*Constants!$H70*Constants!$H122))</f>
        <v>3208851.0534295156</v>
      </c>
      <c r="BN57" s="22">
        <f>((BN12*Constants!$H70*Constants!$H88*(1-Constants!$H106))+(BN12*Constants!$H70*Constants!$H122))</f>
        <v>3210994.7459209245</v>
      </c>
      <c r="BO57" s="22">
        <f>((BO12*Constants!$H70*Constants!$H88*(1-Constants!$H106))+(BO12*Constants!$H70*Constants!$H122))</f>
        <v>3213371.1728233262</v>
      </c>
      <c r="BP57" s="22">
        <f>((BP12*Constants!$H70*Constants!$H88*(1-Constants!$H106))+(BP12*Constants!$H70*Constants!$H122))</f>
        <v>3215986.4576773215</v>
      </c>
    </row>
    <row r="58" spans="1:72" x14ac:dyDescent="0.25">
      <c r="A58" t="str">
        <f t="shared" si="20"/>
        <v>3C Aggregated and non-CO2 emissions on land</v>
      </c>
      <c r="B58" t="str">
        <f t="shared" si="21"/>
        <v>3C4 Direct N2O from managed soils (N2O)</v>
      </c>
      <c r="C58" t="s">
        <v>409</v>
      </c>
      <c r="D58" t="str">
        <f>Constants!D123</f>
        <v xml:space="preserve"> - Commercial goats</v>
      </c>
      <c r="E58" t="str">
        <f t="shared" si="23"/>
        <v>MM N available - Commercial goats</v>
      </c>
      <c r="F58" t="str">
        <f t="shared" si="24"/>
        <v>kg N</v>
      </c>
      <c r="H58" s="22">
        <f>((H13*Constants!$H71*Constants!$H89*(1-Constants!$H107))+(H13*Constants!$H71*Constants!$H123))</f>
        <v>615778.18513243599</v>
      </c>
      <c r="I58" s="22">
        <f>((I13*Constants!$H71*Constants!$H89*(1-Constants!$H107))+(I13*Constants!$H71*Constants!$H123))</f>
        <v>544521.949578178</v>
      </c>
      <c r="J58" s="22">
        <f>((J13*Constants!$H71*Constants!$H89*(1-Constants!$H107))+(J13*Constants!$H71*Constants!$H123))</f>
        <v>507228.96648436046</v>
      </c>
      <c r="K58" s="22">
        <f>((K13*Constants!$H71*Constants!$H89*(1-Constants!$H107))+(K13*Constants!$H71*Constants!$H123))</f>
        <v>479259.2291639974</v>
      </c>
      <c r="L58" s="22">
        <f>((L13*Constants!$H71*Constants!$H89*(1-Constants!$H107))+(L13*Constants!$H71*Constants!$H123))</f>
        <v>518772.03268006572</v>
      </c>
      <c r="M58" s="22">
        <f>((M13*Constants!$H71*Constants!$H89*(1-Constants!$H107))+(M13*Constants!$H71*Constants!$H123))</f>
        <v>525875.45803126914</v>
      </c>
      <c r="N58" s="22">
        <f>((N13*Constants!$H71*Constants!$H89*(1-Constants!$H107))+(N13*Constants!$H71*Constants!$H123))</f>
        <v>534088.79359359795</v>
      </c>
      <c r="O58" s="22">
        <f>((O13*Constants!$H71*Constants!$H89*(1-Constants!$H107))+(O13*Constants!$H71*Constants!$H123))</f>
        <v>531425.00908689678</v>
      </c>
      <c r="P58" s="22">
        <f>((P13*Constants!$H71*Constants!$H89*(1-Constants!$H107))+(P13*Constants!$H71*Constants!$H123))</f>
        <v>523877.61965124327</v>
      </c>
      <c r="Q58" s="22">
        <f>((Q13*Constants!$H71*Constants!$H89*(1-Constants!$H107))+(Q13*Constants!$H71*Constants!$H123))</f>
        <v>516108.24817336473</v>
      </c>
      <c r="R58" s="22">
        <f>((R13*Constants!$H71*Constants!$H89*(1-Constants!$H107))+(R13*Constants!$H71*Constants!$H123))</f>
        <v>522767.7094401177</v>
      </c>
      <c r="S58" s="22">
        <f>((S13*Constants!$H71*Constants!$H89*(1-Constants!$H107))+(S13*Constants!$H71*Constants!$H123))</f>
        <v>538750.41648032528</v>
      </c>
      <c r="T58" s="22">
        <f>((T13*Constants!$H71*Constants!$H89*(1-Constants!$H107))+(T13*Constants!$H71*Constants!$H123))</f>
        <v>491912.20557082852</v>
      </c>
      <c r="U58" s="22">
        <f>((U13*Constants!$H71*Constants!$H89*(1-Constants!$H107))+(U13*Constants!$H71*Constants!$H123))</f>
        <v>479481.21120622259</v>
      </c>
      <c r="V58" s="22">
        <f>((V13*Constants!$H71*Constants!$H89*(1-Constants!$H107))+(V13*Constants!$H71*Constants!$H123))</f>
        <v>480369.13937512314</v>
      </c>
      <c r="W58" s="22">
        <f>((W13*Constants!$H71*Constants!$H89*(1-Constants!$H107))+(W13*Constants!$H71*Constants!$H123))</f>
        <v>474153.64219282009</v>
      </c>
      <c r="X58" s="22">
        <f>((X13*Constants!$H71*Constants!$H89*(1-Constants!$H107))+(X13*Constants!$H71*Constants!$H123))</f>
        <v>484142.83409294975</v>
      </c>
      <c r="Y58" s="22">
        <f>((Y13*Constants!$H71*Constants!$H89*(1-Constants!$H107))+(Y13*Constants!$H71*Constants!$H123))</f>
        <v>469714.00134831812</v>
      </c>
      <c r="Z58" s="22">
        <f>((Z13*Constants!$H71*Constants!$H89*(1-Constants!$H107))+(Z13*Constants!$H71*Constants!$H123))</f>
        <v>469270.03726386797</v>
      </c>
      <c r="AA58" s="22">
        <f>((AA13*Constants!$H71*Constants!$H89*(1-Constants!$H107))+(AA13*Constants!$H71*Constants!$H123))</f>
        <v>461056.7017015391</v>
      </c>
      <c r="AB58" s="22">
        <f>((AB13*Constants!$H71*Constants!$H89*(1-Constants!$H107))+(AB13*Constants!$H71*Constants!$H123))</f>
        <v>455507.15064591152</v>
      </c>
      <c r="AC58" s="22">
        <f>((AC13*Constants!$H71*Constants!$H89*(1-Constants!$H107))+(AC13*Constants!$H71*Constants!$H123))</f>
        <v>451289.49184363458</v>
      </c>
      <c r="AD58" s="22">
        <f>((AD13*Constants!$H71*Constants!$H89*(1-Constants!$H107))+(AD13*Constants!$H71*Constants!$H123))</f>
        <v>458938.75670076924</v>
      </c>
      <c r="AE58" s="22">
        <f>((AE13*Constants!$H71*Constants!$H89*(1-Constants!$H107))+(AE13*Constants!$H71*Constants!$H123))</f>
        <v>460133.40419673378</v>
      </c>
      <c r="AF58" s="22">
        <f>((AF13*Constants!$H71*Constants!$H89*(1-Constants!$H107))+(AF13*Constants!$H71*Constants!$H123))</f>
        <v>461736.29482772312</v>
      </c>
      <c r="AG58" s="22">
        <f>((AG13*Constants!$H71*Constants!$H89*(1-Constants!$H107))+(AG13*Constants!$H71*Constants!$H123))</f>
        <v>463728.65893740195</v>
      </c>
      <c r="AH58" s="22">
        <f>((AH13*Constants!$H71*Constants!$H89*(1-Constants!$H107))+(AH13*Constants!$H71*Constants!$H123))</f>
        <v>466090.90757165075</v>
      </c>
      <c r="AI58" s="22">
        <f>((AI13*Constants!$H71*Constants!$H89*(1-Constants!$H107))+(AI13*Constants!$H71*Constants!$H123))</f>
        <v>468846.76638731273</v>
      </c>
      <c r="AJ58" s="22">
        <f>((AJ13*Constants!$H71*Constants!$H89*(1-Constants!$H107))+(AJ13*Constants!$H71*Constants!$H123))</f>
        <v>471781.35969244468</v>
      </c>
      <c r="AK58" s="22">
        <f>((AK13*Constants!$H71*Constants!$H89*(1-Constants!$H107))+(AK13*Constants!$H71*Constants!$H123))</f>
        <v>474905.64632205595</v>
      </c>
      <c r="AL58" s="22">
        <f>((AL13*Constants!$H71*Constants!$H89*(1-Constants!$H107))+(AL13*Constants!$H71*Constants!$H123))</f>
        <v>477874.9325299068</v>
      </c>
      <c r="AM58" s="22">
        <f>((AM13*Constants!$H71*Constants!$H89*(1-Constants!$H107))+(AM13*Constants!$H71*Constants!$H123))</f>
        <v>479204.14754677803</v>
      </c>
      <c r="AN58" s="22">
        <f>((AN13*Constants!$H71*Constants!$H89*(1-Constants!$H107))+(AN13*Constants!$H71*Constants!$H123))</f>
        <v>480669.12589896412</v>
      </c>
      <c r="AO58" s="22">
        <f>((AO13*Constants!$H71*Constants!$H89*(1-Constants!$H107))+(AO13*Constants!$H71*Constants!$H123))</f>
        <v>482267.02541772462</v>
      </c>
      <c r="AP58" s="22">
        <f>((AP13*Constants!$H71*Constants!$H89*(1-Constants!$H107))+(AP13*Constants!$H71*Constants!$H123))</f>
        <v>483994.427194733</v>
      </c>
      <c r="AQ58" s="22">
        <f>((AQ13*Constants!$H71*Constants!$H89*(1-Constants!$H107))+(AQ13*Constants!$H71*Constants!$H123))</f>
        <v>485847.57731481059</v>
      </c>
      <c r="AR58" s="22">
        <f>((AR13*Constants!$H71*Constants!$H89*(1-Constants!$H107))+(AR13*Constants!$H71*Constants!$H123))</f>
        <v>487016.40687160741</v>
      </c>
      <c r="AS58" s="22">
        <f>((AS13*Constants!$H71*Constants!$H89*(1-Constants!$H107))+(AS13*Constants!$H71*Constants!$H123))</f>
        <v>488291.48745051707</v>
      </c>
      <c r="AT58" s="22">
        <f>((AT13*Constants!$H71*Constants!$H89*(1-Constants!$H107))+(AT13*Constants!$H71*Constants!$H123))</f>
        <v>489668.28574374918</v>
      </c>
      <c r="AU58" s="22">
        <f>((AU13*Constants!$H71*Constants!$H89*(1-Constants!$H107))+(AU13*Constants!$H71*Constants!$H123))</f>
        <v>491148.50428626302</v>
      </c>
      <c r="AV58" s="22">
        <f>((AV13*Constants!$H71*Constants!$H89*(1-Constants!$H107))+(AV13*Constants!$H71*Constants!$H123))</f>
        <v>492713.80136896047</v>
      </c>
      <c r="AW58" s="22">
        <f>((AW13*Constants!$H71*Constants!$H89*(1-Constants!$H107))+(AW13*Constants!$H71*Constants!$H123))</f>
        <v>493743.89302421606</v>
      </c>
      <c r="AX58" s="22">
        <f>((AX13*Constants!$H71*Constants!$H89*(1-Constants!$H107))+(AX13*Constants!$H71*Constants!$H123))</f>
        <v>494854.06817647605</v>
      </c>
      <c r="AY58" s="22">
        <f>((AY13*Constants!$H71*Constants!$H89*(1-Constants!$H107))+(AY13*Constants!$H71*Constants!$H123))</f>
        <v>496040.30665914167</v>
      </c>
      <c r="AZ58" s="22">
        <f>((AZ13*Constants!$H71*Constants!$H89*(1-Constants!$H107))+(AZ13*Constants!$H71*Constants!$H123))</f>
        <v>497298.85028909275</v>
      </c>
      <c r="BA58" s="22">
        <f>((BA13*Constants!$H71*Constants!$H89*(1-Constants!$H107))+(BA13*Constants!$H71*Constants!$H123))</f>
        <v>498612.53290573152</v>
      </c>
      <c r="BB58" s="22">
        <f>((BB13*Constants!$H71*Constants!$H89*(1-Constants!$H107))+(BB13*Constants!$H71*Constants!$H123))</f>
        <v>499399.77778391936</v>
      </c>
      <c r="BC58" s="22">
        <f>((BC13*Constants!$H71*Constants!$H89*(1-Constants!$H107))+(BC13*Constants!$H71*Constants!$H123))</f>
        <v>500255.615294997</v>
      </c>
      <c r="BD58" s="22">
        <f>((BD13*Constants!$H71*Constants!$H89*(1-Constants!$H107))+(BD13*Constants!$H71*Constants!$H123))</f>
        <v>501174.78207604866</v>
      </c>
      <c r="BE58" s="22">
        <f>((BE13*Constants!$H71*Constants!$H89*(1-Constants!$H107))+(BE13*Constants!$H71*Constants!$H123))</f>
        <v>502144.53191354533</v>
      </c>
      <c r="BF58" s="22">
        <f>((BF13*Constants!$H71*Constants!$H89*(1-Constants!$H107))+(BF13*Constants!$H71*Constants!$H123))</f>
        <v>503168.62431514589</v>
      </c>
      <c r="BG58" s="22">
        <f>((BG13*Constants!$H71*Constants!$H89*(1-Constants!$H107))+(BG13*Constants!$H71*Constants!$H123))</f>
        <v>503698.90517860278</v>
      </c>
      <c r="BH58" s="22">
        <f>((BH13*Constants!$H71*Constants!$H89*(1-Constants!$H107))+(BH13*Constants!$H71*Constants!$H123))</f>
        <v>504283.94318939006</v>
      </c>
      <c r="BI58" s="22">
        <f>((BI13*Constants!$H71*Constants!$H89*(1-Constants!$H107))+(BI13*Constants!$H71*Constants!$H123))</f>
        <v>504923.92220342177</v>
      </c>
      <c r="BJ58" s="22">
        <f>((BJ13*Constants!$H71*Constants!$H89*(1-Constants!$H107))+(BJ13*Constants!$H71*Constants!$H123))</f>
        <v>505616.43367864942</v>
      </c>
      <c r="BK58" s="22">
        <f>((BK13*Constants!$H71*Constants!$H89*(1-Constants!$H107))+(BK13*Constants!$H71*Constants!$H123))</f>
        <v>506364.06033083278</v>
      </c>
      <c r="BL58" s="22">
        <f>((BL13*Constants!$H71*Constants!$H89*(1-Constants!$H107))+(BL13*Constants!$H71*Constants!$H123))</f>
        <v>506612.57807562896</v>
      </c>
      <c r="BM58" s="22">
        <f>((BM13*Constants!$H71*Constants!$H89*(1-Constants!$H107))+(BM13*Constants!$H71*Constants!$H123))</f>
        <v>506908.59190671507</v>
      </c>
      <c r="BN58" s="22">
        <f>((BN13*Constants!$H71*Constants!$H89*(1-Constants!$H107))+(BN13*Constants!$H71*Constants!$H123))</f>
        <v>507240.36664396565</v>
      </c>
      <c r="BO58" s="22">
        <f>((BO13*Constants!$H71*Constants!$H89*(1-Constants!$H107))+(BO13*Constants!$H71*Constants!$H123))</f>
        <v>507617.86353476212</v>
      </c>
      <c r="BP58" s="22">
        <f>((BP13*Constants!$H71*Constants!$H89*(1-Constants!$H107))+(BP13*Constants!$H71*Constants!$H123))</f>
        <v>508042.46669015556</v>
      </c>
    </row>
    <row r="59" spans="1:72" x14ac:dyDescent="0.25">
      <c r="A59" t="str">
        <f t="shared" si="20"/>
        <v>3C Aggregated and non-CO2 emissions on land</v>
      </c>
      <c r="B59" t="str">
        <f t="shared" si="21"/>
        <v>3C4 Direct N2O from managed soils (N2O)</v>
      </c>
      <c r="C59" t="s">
        <v>409</v>
      </c>
      <c r="D59" t="str">
        <f>Constants!D124</f>
        <v xml:space="preserve"> - Subsistence goats</v>
      </c>
      <c r="E59" t="str">
        <f t="shared" si="23"/>
        <v>MM N available - Subsistence goats</v>
      </c>
      <c r="F59" t="str">
        <f t="shared" si="24"/>
        <v>kg N</v>
      </c>
      <c r="H59" s="22">
        <f>((H14*Constants!$H72*Constants!$H90*(1-Constants!$H108))+(H14*Constants!$H72*Constants!$H124))</f>
        <v>7560354.6157626472</v>
      </c>
      <c r="I59" s="22">
        <f>((I14*Constants!$H72*Constants!$H90*(1-Constants!$H108))+(I14*Constants!$H72*Constants!$H124))</f>
        <v>6685490.2207879517</v>
      </c>
      <c r="J59" s="22">
        <f>((J14*Constants!$H72*Constants!$H90*(1-Constants!$H108))+(J14*Constants!$H72*Constants!$H124))</f>
        <v>6227617.2664086716</v>
      </c>
      <c r="K59" s="22">
        <f>((K14*Constants!$H72*Constants!$H90*(1-Constants!$H108))+(K14*Constants!$H72*Constants!$H124))</f>
        <v>5884212.5506242104</v>
      </c>
      <c r="L59" s="22">
        <f>((L14*Constants!$H72*Constants!$H90*(1-Constants!$H108))+(L14*Constants!$H72*Constants!$H124))</f>
        <v>6369339.8475260669</v>
      </c>
      <c r="M59" s="22">
        <f>((M14*Constants!$H72*Constants!$H90*(1-Constants!$H108))+(M14*Constants!$H72*Constants!$H124))</f>
        <v>6456553.7435983112</v>
      </c>
      <c r="N59" s="22">
        <f>((N14*Constants!$H72*Constants!$H90*(1-Constants!$H108))+(N14*Constants!$H72*Constants!$H124))</f>
        <v>6557394.8109318437</v>
      </c>
      <c r="O59" s="22">
        <f>((O14*Constants!$H72*Constants!$H90*(1-Constants!$H108))+(O14*Constants!$H72*Constants!$H124))</f>
        <v>6524689.5999047523</v>
      </c>
      <c r="P59" s="22">
        <f>((P14*Constants!$H72*Constants!$H90*(1-Constants!$H108))+(P14*Constants!$H72*Constants!$H124))</f>
        <v>6432024.8353279931</v>
      </c>
      <c r="Q59" s="22">
        <f>((Q14*Constants!$H72*Constants!$H90*(1-Constants!$H108))+(Q14*Constants!$H72*Constants!$H124))</f>
        <v>6336634.6364989765</v>
      </c>
      <c r="R59" s="22">
        <f>((R14*Constants!$H72*Constants!$H90*(1-Constants!$H108))+(R14*Constants!$H72*Constants!$H124))</f>
        <v>6418397.6640667049</v>
      </c>
      <c r="S59" s="22">
        <f>((S14*Constants!$H72*Constants!$H90*(1-Constants!$H108))+(S14*Constants!$H72*Constants!$H124))</f>
        <v>6614628.9302292531</v>
      </c>
      <c r="T59" s="22">
        <f>((T14*Constants!$H72*Constants!$H90*(1-Constants!$H108))+(T14*Constants!$H72*Constants!$H124))</f>
        <v>6039562.3030028949</v>
      </c>
      <c r="U59" s="22">
        <f>((U14*Constants!$H72*Constants!$H90*(1-Constants!$H108))+(U14*Constants!$H72*Constants!$H124))</f>
        <v>5886937.9848764678</v>
      </c>
      <c r="V59" s="22">
        <f>((V14*Constants!$H72*Constants!$H90*(1-Constants!$H108))+(V14*Constants!$H72*Constants!$H124))</f>
        <v>5897839.7218854986</v>
      </c>
      <c r="W59" s="22">
        <f>((W14*Constants!$H72*Constants!$H90*(1-Constants!$H108))+(W14*Constants!$H72*Constants!$H124))</f>
        <v>5821527.5628222851</v>
      </c>
      <c r="X59" s="22">
        <f>((X14*Constants!$H72*Constants!$H90*(1-Constants!$H108))+(X14*Constants!$H72*Constants!$H124))</f>
        <v>5944172.1041738791</v>
      </c>
      <c r="Y59" s="22">
        <f>((Y14*Constants!$H72*Constants!$H90*(1-Constants!$H108))+(Y14*Constants!$H72*Constants!$H124))</f>
        <v>5767018.8777771331</v>
      </c>
      <c r="Z59" s="22">
        <f>((Z14*Constants!$H72*Constants!$H90*(1-Constants!$H108))+(Z14*Constants!$H72*Constants!$H124))</f>
        <v>5761568.0092726164</v>
      </c>
      <c r="AA59" s="22">
        <f>((AA14*Constants!$H72*Constants!$H90*(1-Constants!$H108))+(AA14*Constants!$H72*Constants!$H124))</f>
        <v>5660726.9419390857</v>
      </c>
      <c r="AB59" s="22">
        <f>((AB14*Constants!$H72*Constants!$H90*(1-Constants!$H108))+(AB14*Constants!$H72*Constants!$H124))</f>
        <v>5592591.0856326455</v>
      </c>
      <c r="AC59" s="22">
        <f>((AC14*Constants!$H72*Constants!$H90*(1-Constants!$H108))+(AC14*Constants!$H72*Constants!$H124))</f>
        <v>5540807.8348397501</v>
      </c>
      <c r="AD59" s="22">
        <f>((AD14*Constants!$H72*Constants!$H90*(1-Constants!$H108))+(AD14*Constants!$H72*Constants!$H124))</f>
        <v>5537582.2978428761</v>
      </c>
      <c r="AE59" s="22">
        <f>((AE14*Constants!$H72*Constants!$H90*(1-Constants!$H108))+(AE14*Constants!$H72*Constants!$H124))</f>
        <v>5551996.9854874173</v>
      </c>
      <c r="AF59" s="22">
        <f>((AF14*Constants!$H72*Constants!$H90*(1-Constants!$H108))+(AF14*Constants!$H72*Constants!$H124))</f>
        <v>5571337.5590475015</v>
      </c>
      <c r="AG59" s="22">
        <f>((AG14*Constants!$H72*Constants!$H90*(1-Constants!$H108))+(AG14*Constants!$H72*Constants!$H124))</f>
        <v>5595377.5427349303</v>
      </c>
      <c r="AH59" s="22">
        <f>((AH14*Constants!$H72*Constants!$H90*(1-Constants!$H108))+(AH14*Constants!$H72*Constants!$H124))</f>
        <v>5623880.5750657739</v>
      </c>
      <c r="AI59" s="22">
        <f>((AI14*Constants!$H72*Constants!$H90*(1-Constants!$H108))+(AI14*Constants!$H72*Constants!$H124))</f>
        <v>5657132.9312247345</v>
      </c>
      <c r="AJ59" s="22">
        <f>((AJ14*Constants!$H72*Constants!$H90*(1-Constants!$H108))+(AJ14*Constants!$H72*Constants!$H124))</f>
        <v>5692541.9083498931</v>
      </c>
      <c r="AK59" s="22">
        <f>((AK14*Constants!$H72*Constants!$H90*(1-Constants!$H108))+(AK14*Constants!$H72*Constants!$H124))</f>
        <v>5730239.7363953963</v>
      </c>
      <c r="AL59" s="22">
        <f>((AL14*Constants!$H72*Constants!$H90*(1-Constants!$H108))+(AL14*Constants!$H72*Constants!$H124))</f>
        <v>5766067.3201454096</v>
      </c>
      <c r="AM59" s="22">
        <f>((AM14*Constants!$H72*Constants!$H90*(1-Constants!$H108))+(AM14*Constants!$H72*Constants!$H124))</f>
        <v>5782105.7074900912</v>
      </c>
      <c r="AN59" s="22">
        <f>((AN14*Constants!$H72*Constants!$H90*(1-Constants!$H108))+(AN14*Constants!$H72*Constants!$H124))</f>
        <v>5799782.2233025888</v>
      </c>
      <c r="AO59" s="22">
        <f>((AO14*Constants!$H72*Constants!$H90*(1-Constants!$H108))+(AO14*Constants!$H72*Constants!$H124))</f>
        <v>5819062.5738060614</v>
      </c>
      <c r="AP59" s="22">
        <f>((AP14*Constants!$H72*Constants!$H90*(1-Constants!$H108))+(AP14*Constants!$H72*Constants!$H124))</f>
        <v>5839905.506249574</v>
      </c>
      <c r="AQ59" s="22">
        <f>((AQ14*Constants!$H72*Constants!$H90*(1-Constants!$H108))+(AQ14*Constants!$H72*Constants!$H124))</f>
        <v>5862265.7256696103</v>
      </c>
      <c r="AR59" s="22">
        <f>((AR14*Constants!$H72*Constants!$H90*(1-Constants!$H108))+(AR14*Constants!$H72*Constants!$H124))</f>
        <v>5876368.8925266517</v>
      </c>
      <c r="AS59" s="22">
        <f>((AS14*Constants!$H72*Constants!$H90*(1-Constants!$H108))+(AS14*Constants!$H72*Constants!$H124))</f>
        <v>5891754.0905274739</v>
      </c>
      <c r="AT59" s="22">
        <f>((AT14*Constants!$H72*Constants!$H90*(1-Constants!$H108))+(AT14*Constants!$H72*Constants!$H124))</f>
        <v>5908366.6205110177</v>
      </c>
      <c r="AU59" s="22">
        <f>((AU14*Constants!$H72*Constants!$H90*(1-Constants!$H108))+(AU14*Constants!$H72*Constants!$H124))</f>
        <v>5926227.0253652297</v>
      </c>
      <c r="AV59" s="22">
        <f>((AV14*Constants!$H72*Constants!$H90*(1-Constants!$H108))+(AV14*Constants!$H72*Constants!$H124))</f>
        <v>5945113.9929386862</v>
      </c>
      <c r="AW59" s="22">
        <f>((AW14*Constants!$H72*Constants!$H90*(1-Constants!$H108))+(AW14*Constants!$H72*Constants!$H124))</f>
        <v>5957543.1400351441</v>
      </c>
      <c r="AX59" s="22">
        <f>((AX14*Constants!$H72*Constants!$H90*(1-Constants!$H108))+(AX14*Constants!$H72*Constants!$H124))</f>
        <v>5970938.5793631598</v>
      </c>
      <c r="AY59" s="22">
        <f>((AY14*Constants!$H72*Constants!$H90*(1-Constants!$H108))+(AY14*Constants!$H72*Constants!$H124))</f>
        <v>5985251.8033537678</v>
      </c>
      <c r="AZ59" s="22">
        <f>((AZ14*Constants!$H72*Constants!$H90*(1-Constants!$H108))+(AZ14*Constants!$H72*Constants!$H124))</f>
        <v>6000437.465546215</v>
      </c>
      <c r="BA59" s="22">
        <f>((BA14*Constants!$H72*Constants!$H90*(1-Constants!$H108))+(BA14*Constants!$H72*Constants!$H124))</f>
        <v>6016288.4380271174</v>
      </c>
      <c r="BB59" s="22">
        <f>((BB14*Constants!$H72*Constants!$H90*(1-Constants!$H108))+(BB14*Constants!$H72*Constants!$H124))</f>
        <v>6025787.3814871544</v>
      </c>
      <c r="BC59" s="22">
        <f>((BC14*Constants!$H72*Constants!$H90*(1-Constants!$H108))+(BC14*Constants!$H72*Constants!$H124))</f>
        <v>6036113.9677298209</v>
      </c>
      <c r="BD59" s="22">
        <f>((BD14*Constants!$H72*Constants!$H90*(1-Constants!$H108))+(BD14*Constants!$H72*Constants!$H124))</f>
        <v>6047204.6887055533</v>
      </c>
      <c r="BE59" s="22">
        <f>((BE14*Constants!$H72*Constants!$H90*(1-Constants!$H108))+(BE14*Constants!$H72*Constants!$H124))</f>
        <v>6058905.7478448199</v>
      </c>
      <c r="BF59" s="22">
        <f>((BF14*Constants!$H72*Constants!$H90*(1-Constants!$H108))+(BF14*Constants!$H72*Constants!$H124))</f>
        <v>6071262.5075903386</v>
      </c>
      <c r="BG59" s="22">
        <f>((BG14*Constants!$H72*Constants!$H90*(1-Constants!$H108))+(BG14*Constants!$H72*Constants!$H124))</f>
        <v>6077660.9079857934</v>
      </c>
      <c r="BH59" s="22">
        <f>((BH14*Constants!$H72*Constants!$H90*(1-Constants!$H108))+(BH14*Constants!$H72*Constants!$H124))</f>
        <v>6084720.0113733374</v>
      </c>
      <c r="BI59" s="22">
        <f>((BI14*Constants!$H72*Constants!$H90*(1-Constants!$H108))+(BI14*Constants!$H72*Constants!$H124))</f>
        <v>6092442.0361693446</v>
      </c>
      <c r="BJ59" s="22">
        <f>((BJ14*Constants!$H72*Constants!$H90*(1-Constants!$H108))+(BJ14*Constants!$H72*Constants!$H124))</f>
        <v>6100797.9207624039</v>
      </c>
      <c r="BK59" s="22">
        <f>((BK14*Constants!$H72*Constants!$H90*(1-Constants!$H108))+(BK14*Constants!$H72*Constants!$H124))</f>
        <v>6109818.8283542749</v>
      </c>
      <c r="BL59" s="22">
        <f>((BL14*Constants!$H72*Constants!$H90*(1-Constants!$H108))+(BL14*Constants!$H72*Constants!$H124))</f>
        <v>6112817.4582241429</v>
      </c>
      <c r="BM59" s="22">
        <f>((BM14*Constants!$H72*Constants!$H90*(1-Constants!$H108))+(BM14*Constants!$H72*Constants!$H124))</f>
        <v>6116389.1786923017</v>
      </c>
      <c r="BN59" s="22">
        <f>((BN14*Constants!$H72*Constants!$H90*(1-Constants!$H108))+(BN14*Constants!$H72*Constants!$H124))</f>
        <v>6120392.3923783237</v>
      </c>
      <c r="BO59" s="22">
        <f>((BO14*Constants!$H72*Constants!$H90*(1-Constants!$H108))+(BO14*Constants!$H72*Constants!$H124))</f>
        <v>6124947.2922847802</v>
      </c>
      <c r="BP59" s="22">
        <f>((BP14*Constants!$H72*Constants!$H90*(1-Constants!$H108))+(BP14*Constants!$H72*Constants!$H124))</f>
        <v>6130070.5791778238</v>
      </c>
    </row>
    <row r="60" spans="1:72" x14ac:dyDescent="0.25">
      <c r="A60" t="str">
        <f t="shared" si="20"/>
        <v>3C Aggregated and non-CO2 emissions on land</v>
      </c>
      <c r="B60" t="str">
        <f t="shared" si="21"/>
        <v>3C4 Direct N2O from managed soils (N2O)</v>
      </c>
      <c r="C60" t="s">
        <v>409</v>
      </c>
      <c r="D60" t="str">
        <f>Constants!D125</f>
        <v xml:space="preserve"> - Horses</v>
      </c>
      <c r="E60" t="str">
        <f t="shared" si="23"/>
        <v>MM N available - Horses</v>
      </c>
      <c r="F60" t="str">
        <f t="shared" si="24"/>
        <v>kg N</v>
      </c>
      <c r="H60" s="22">
        <f>((H15*Constants!$H73*Constants!$H91*(1-Constants!$H109))+(H15*Constants!$H73*Constants!$H125))</f>
        <v>0</v>
      </c>
      <c r="I60" s="22">
        <f>((I15*Constants!$H73*Constants!$H91*(1-Constants!$H109))+(I15*Constants!$H73*Constants!$H125))</f>
        <v>0</v>
      </c>
      <c r="J60" s="22">
        <f>((J15*Constants!$H73*Constants!$H91*(1-Constants!$H109))+(J15*Constants!$H73*Constants!$H125))</f>
        <v>0</v>
      </c>
      <c r="K60" s="22">
        <f>((K15*Constants!$H73*Constants!$H91*(1-Constants!$H109))+(K15*Constants!$H73*Constants!$H125))</f>
        <v>0</v>
      </c>
      <c r="L60" s="22">
        <f>((L15*Constants!$H73*Constants!$H91*(1-Constants!$H109))+(L15*Constants!$H73*Constants!$H125))</f>
        <v>0</v>
      </c>
      <c r="M60" s="22">
        <f>((M15*Constants!$H73*Constants!$H91*(1-Constants!$H109))+(M15*Constants!$H73*Constants!$H125))</f>
        <v>0</v>
      </c>
      <c r="N60" s="22">
        <f>((N15*Constants!$H73*Constants!$H91*(1-Constants!$H109))+(N15*Constants!$H73*Constants!$H125))</f>
        <v>0</v>
      </c>
      <c r="O60" s="22">
        <f>((O15*Constants!$H73*Constants!$H91*(1-Constants!$H109))+(O15*Constants!$H73*Constants!$H125))</f>
        <v>0</v>
      </c>
      <c r="P60" s="22">
        <f>((P15*Constants!$H73*Constants!$H91*(1-Constants!$H109))+(P15*Constants!$H73*Constants!$H125))</f>
        <v>0</v>
      </c>
      <c r="Q60" s="22">
        <f>((Q15*Constants!$H73*Constants!$H91*(1-Constants!$H109))+(Q15*Constants!$H73*Constants!$H125))</f>
        <v>0</v>
      </c>
      <c r="R60" s="22">
        <f>((R15*Constants!$H73*Constants!$H91*(1-Constants!$H109))+(R15*Constants!$H73*Constants!$H125))</f>
        <v>0</v>
      </c>
      <c r="S60" s="22">
        <f>((S15*Constants!$H73*Constants!$H91*(1-Constants!$H109))+(S15*Constants!$H73*Constants!$H125))</f>
        <v>0</v>
      </c>
      <c r="T60" s="22">
        <f>((T15*Constants!$H73*Constants!$H91*(1-Constants!$H109))+(T15*Constants!$H73*Constants!$H125))</f>
        <v>0</v>
      </c>
      <c r="U60" s="22">
        <f>((U15*Constants!$H73*Constants!$H91*(1-Constants!$H109))+(U15*Constants!$H73*Constants!$H125))</f>
        <v>0</v>
      </c>
      <c r="V60" s="22">
        <f>((V15*Constants!$H73*Constants!$H91*(1-Constants!$H109))+(V15*Constants!$H73*Constants!$H125))</f>
        <v>0</v>
      </c>
      <c r="W60" s="22">
        <f>((W15*Constants!$H73*Constants!$H91*(1-Constants!$H109))+(W15*Constants!$H73*Constants!$H125))</f>
        <v>0</v>
      </c>
      <c r="X60" s="22">
        <f>((X15*Constants!$H73*Constants!$H91*(1-Constants!$H109))+(X15*Constants!$H73*Constants!$H125))</f>
        <v>0</v>
      </c>
      <c r="Y60" s="22">
        <f>((Y15*Constants!$H73*Constants!$H91*(1-Constants!$H109))+(Y15*Constants!$H73*Constants!$H125))</f>
        <v>0</v>
      </c>
      <c r="Z60" s="22">
        <f>((Z15*Constants!$H73*Constants!$H91*(1-Constants!$H109))+(Z15*Constants!$H73*Constants!$H125))</f>
        <v>0</v>
      </c>
      <c r="AA60" s="22">
        <f>((AA15*Constants!$H73*Constants!$H91*(1-Constants!$H109))+(AA15*Constants!$H73*Constants!$H125))</f>
        <v>0</v>
      </c>
      <c r="AB60" s="22">
        <f>((AB15*Constants!$H73*Constants!$H91*(1-Constants!$H109))+(AB15*Constants!$H73*Constants!$H125))</f>
        <v>0</v>
      </c>
      <c r="AC60" s="22">
        <f>((AC15*Constants!$H73*Constants!$H91*(1-Constants!$H109))+(AC15*Constants!$H73*Constants!$H125))</f>
        <v>0</v>
      </c>
      <c r="AD60" s="22">
        <f>((AD15*Constants!$H73*Constants!$H91*(1-Constants!$H109))+(AD15*Constants!$H73*Constants!$H125))</f>
        <v>0</v>
      </c>
      <c r="AE60" s="22">
        <f>((AE15*Constants!$H73*Constants!$H91*(1-Constants!$H109))+(AE15*Constants!$H73*Constants!$H125))</f>
        <v>0</v>
      </c>
      <c r="AF60" s="22">
        <f>((AF15*Constants!$H73*Constants!$H91*(1-Constants!$H109))+(AF15*Constants!$H73*Constants!$H125))</f>
        <v>0</v>
      </c>
      <c r="AG60" s="22">
        <f>((AG15*Constants!$H73*Constants!$H91*(1-Constants!$H109))+(AG15*Constants!$H73*Constants!$H125))</f>
        <v>0</v>
      </c>
      <c r="AH60" s="22">
        <f>((AH15*Constants!$H73*Constants!$H91*(1-Constants!$H109))+(AH15*Constants!$H73*Constants!$H125))</f>
        <v>0</v>
      </c>
      <c r="AI60" s="22">
        <f>((AI15*Constants!$H73*Constants!$H91*(1-Constants!$H109))+(AI15*Constants!$H73*Constants!$H125))</f>
        <v>0</v>
      </c>
      <c r="AJ60" s="22">
        <f>((AJ15*Constants!$H73*Constants!$H91*(1-Constants!$H109))+(AJ15*Constants!$H73*Constants!$H125))</f>
        <v>0</v>
      </c>
      <c r="AK60" s="22">
        <f>((AK15*Constants!$H73*Constants!$H91*(1-Constants!$H109))+(AK15*Constants!$H73*Constants!$H125))</f>
        <v>0</v>
      </c>
      <c r="AL60" s="22">
        <f>((AL15*Constants!$H73*Constants!$H91*(1-Constants!$H109))+(AL15*Constants!$H73*Constants!$H125))</f>
        <v>0</v>
      </c>
      <c r="AM60" s="22">
        <f>((AM15*Constants!$H73*Constants!$H91*(1-Constants!$H109))+(AM15*Constants!$H73*Constants!$H125))</f>
        <v>0</v>
      </c>
      <c r="AN60" s="22">
        <f>((AN15*Constants!$H73*Constants!$H91*(1-Constants!$H109))+(AN15*Constants!$H73*Constants!$H125))</f>
        <v>0</v>
      </c>
      <c r="AO60" s="22">
        <f>((AO15*Constants!$H73*Constants!$H91*(1-Constants!$H109))+(AO15*Constants!$H73*Constants!$H125))</f>
        <v>0</v>
      </c>
      <c r="AP60" s="22">
        <f>((AP15*Constants!$H73*Constants!$H91*(1-Constants!$H109))+(AP15*Constants!$H73*Constants!$H125))</f>
        <v>0</v>
      </c>
      <c r="AQ60" s="22">
        <f>((AQ15*Constants!$H73*Constants!$H91*(1-Constants!$H109))+(AQ15*Constants!$H73*Constants!$H125))</f>
        <v>0</v>
      </c>
      <c r="AR60" s="22">
        <f>((AR15*Constants!$H73*Constants!$H91*(1-Constants!$H109))+(AR15*Constants!$H73*Constants!$H125))</f>
        <v>0</v>
      </c>
      <c r="AS60" s="22">
        <f>((AS15*Constants!$H73*Constants!$H91*(1-Constants!$H109))+(AS15*Constants!$H73*Constants!$H125))</f>
        <v>0</v>
      </c>
      <c r="AT60" s="22">
        <f>((AT15*Constants!$H73*Constants!$H91*(1-Constants!$H109))+(AT15*Constants!$H73*Constants!$H125))</f>
        <v>0</v>
      </c>
      <c r="AU60" s="22">
        <f>((AU15*Constants!$H73*Constants!$H91*(1-Constants!$H109))+(AU15*Constants!$H73*Constants!$H125))</f>
        <v>0</v>
      </c>
      <c r="AV60" s="22">
        <f>((AV15*Constants!$H73*Constants!$H91*(1-Constants!$H109))+(AV15*Constants!$H73*Constants!$H125))</f>
        <v>0</v>
      </c>
      <c r="AW60" s="22">
        <f>((AW15*Constants!$H73*Constants!$H91*(1-Constants!$H109))+(AW15*Constants!$H73*Constants!$H125))</f>
        <v>0</v>
      </c>
      <c r="AX60" s="22">
        <f>((AX15*Constants!$H73*Constants!$H91*(1-Constants!$H109))+(AX15*Constants!$H73*Constants!$H125))</f>
        <v>0</v>
      </c>
      <c r="AY60" s="22">
        <f>((AY15*Constants!$H73*Constants!$H91*(1-Constants!$H109))+(AY15*Constants!$H73*Constants!$H125))</f>
        <v>0</v>
      </c>
      <c r="AZ60" s="22">
        <f>((AZ15*Constants!$H73*Constants!$H91*(1-Constants!$H109))+(AZ15*Constants!$H73*Constants!$H125))</f>
        <v>0</v>
      </c>
      <c r="BA60" s="22">
        <f>((BA15*Constants!$H73*Constants!$H91*(1-Constants!$H109))+(BA15*Constants!$H73*Constants!$H125))</f>
        <v>0</v>
      </c>
      <c r="BB60" s="22">
        <f>((BB15*Constants!$H73*Constants!$H91*(1-Constants!$H109))+(BB15*Constants!$H73*Constants!$H125))</f>
        <v>0</v>
      </c>
      <c r="BC60" s="22">
        <f>((BC15*Constants!$H73*Constants!$H91*(1-Constants!$H109))+(BC15*Constants!$H73*Constants!$H125))</f>
        <v>0</v>
      </c>
      <c r="BD60" s="22">
        <f>((BD15*Constants!$H73*Constants!$H91*(1-Constants!$H109))+(BD15*Constants!$H73*Constants!$H125))</f>
        <v>0</v>
      </c>
      <c r="BE60" s="22">
        <f>((BE15*Constants!$H73*Constants!$H91*(1-Constants!$H109))+(BE15*Constants!$H73*Constants!$H125))</f>
        <v>0</v>
      </c>
      <c r="BF60" s="22">
        <f>((BF15*Constants!$H73*Constants!$H91*(1-Constants!$H109))+(BF15*Constants!$H73*Constants!$H125))</f>
        <v>0</v>
      </c>
      <c r="BG60" s="22">
        <f>((BG15*Constants!$H73*Constants!$H91*(1-Constants!$H109))+(BG15*Constants!$H73*Constants!$H125))</f>
        <v>0</v>
      </c>
      <c r="BH60" s="22">
        <f>((BH15*Constants!$H73*Constants!$H91*(1-Constants!$H109))+(BH15*Constants!$H73*Constants!$H125))</f>
        <v>0</v>
      </c>
      <c r="BI60" s="22">
        <f>((BI15*Constants!$H73*Constants!$H91*(1-Constants!$H109))+(BI15*Constants!$H73*Constants!$H125))</f>
        <v>0</v>
      </c>
      <c r="BJ60" s="22">
        <f>((BJ15*Constants!$H73*Constants!$H91*(1-Constants!$H109))+(BJ15*Constants!$H73*Constants!$H125))</f>
        <v>0</v>
      </c>
      <c r="BK60" s="22">
        <f>((BK15*Constants!$H73*Constants!$H91*(1-Constants!$H109))+(BK15*Constants!$H73*Constants!$H125))</f>
        <v>0</v>
      </c>
      <c r="BL60" s="22">
        <f>((BL15*Constants!$H73*Constants!$H91*(1-Constants!$H109))+(BL15*Constants!$H73*Constants!$H125))</f>
        <v>0</v>
      </c>
      <c r="BM60" s="22">
        <f>((BM15*Constants!$H73*Constants!$H91*(1-Constants!$H109))+(BM15*Constants!$H73*Constants!$H125))</f>
        <v>0</v>
      </c>
      <c r="BN60" s="22">
        <f>((BN15*Constants!$H73*Constants!$H91*(1-Constants!$H109))+(BN15*Constants!$H73*Constants!$H125))</f>
        <v>0</v>
      </c>
      <c r="BO60" s="22">
        <f>((BO15*Constants!$H73*Constants!$H91*(1-Constants!$H109))+(BO15*Constants!$H73*Constants!$H125))</f>
        <v>0</v>
      </c>
      <c r="BP60" s="22">
        <f>((BP15*Constants!$H73*Constants!$H91*(1-Constants!$H109))+(BP15*Constants!$H73*Constants!$H125))</f>
        <v>0</v>
      </c>
    </row>
    <row r="61" spans="1:72" x14ac:dyDescent="0.25">
      <c r="A61" t="str">
        <f t="shared" si="20"/>
        <v>3C Aggregated and non-CO2 emissions on land</v>
      </c>
      <c r="B61" t="str">
        <f t="shared" si="21"/>
        <v>3C4 Direct N2O from managed soils (N2O)</v>
      </c>
      <c r="C61" t="s">
        <v>409</v>
      </c>
      <c r="D61" t="str">
        <f>Constants!D126</f>
        <v xml:space="preserve"> - Mules &amp; Asses</v>
      </c>
      <c r="E61" t="str">
        <f t="shared" si="23"/>
        <v>MM N available - Mules &amp; Asses</v>
      </c>
      <c r="F61" t="str">
        <f t="shared" si="24"/>
        <v>kg N</v>
      </c>
      <c r="H61" s="22">
        <f>((H16*Constants!$H74*Constants!$H92*(1-Constants!$H110))+(H16*Constants!$H74*Constants!$H126))</f>
        <v>0</v>
      </c>
      <c r="I61" s="22">
        <f>((I16*Constants!$H74*Constants!$H92*(1-Constants!$H110))+(I16*Constants!$H74*Constants!$H126))</f>
        <v>0</v>
      </c>
      <c r="J61" s="22">
        <f>((J16*Constants!$H74*Constants!$H92*(1-Constants!$H110))+(J16*Constants!$H74*Constants!$H126))</f>
        <v>0</v>
      </c>
      <c r="K61" s="22">
        <f>((K16*Constants!$H74*Constants!$H92*(1-Constants!$H110))+(K16*Constants!$H74*Constants!$H126))</f>
        <v>0</v>
      </c>
      <c r="L61" s="22">
        <f>((L16*Constants!$H74*Constants!$H92*(1-Constants!$H110))+(L16*Constants!$H74*Constants!$H126))</f>
        <v>0</v>
      </c>
      <c r="M61" s="22">
        <f>((M16*Constants!$H74*Constants!$H92*(1-Constants!$H110))+(M16*Constants!$H74*Constants!$H126))</f>
        <v>0</v>
      </c>
      <c r="N61" s="22">
        <f>((N16*Constants!$H74*Constants!$H92*(1-Constants!$H110))+(N16*Constants!$H74*Constants!$H126))</f>
        <v>0</v>
      </c>
      <c r="O61" s="22">
        <f>((O16*Constants!$H74*Constants!$H92*(1-Constants!$H110))+(O16*Constants!$H74*Constants!$H126))</f>
        <v>0</v>
      </c>
      <c r="P61" s="22">
        <f>((P16*Constants!$H74*Constants!$H92*(1-Constants!$H110))+(P16*Constants!$H74*Constants!$H126))</f>
        <v>0</v>
      </c>
      <c r="Q61" s="22">
        <f>((Q16*Constants!$H74*Constants!$H92*(1-Constants!$H110))+(Q16*Constants!$H74*Constants!$H126))</f>
        <v>0</v>
      </c>
      <c r="R61" s="22">
        <f>((R16*Constants!$H74*Constants!$H92*(1-Constants!$H110))+(R16*Constants!$H74*Constants!$H126))</f>
        <v>0</v>
      </c>
      <c r="S61" s="22">
        <f>((S16*Constants!$H74*Constants!$H92*(1-Constants!$H110))+(S16*Constants!$H74*Constants!$H126))</f>
        <v>0</v>
      </c>
      <c r="T61" s="22">
        <f>((T16*Constants!$H74*Constants!$H92*(1-Constants!$H110))+(T16*Constants!$H74*Constants!$H126))</f>
        <v>0</v>
      </c>
      <c r="U61" s="22">
        <f>((U16*Constants!$H74*Constants!$H92*(1-Constants!$H110))+(U16*Constants!$H74*Constants!$H126))</f>
        <v>0</v>
      </c>
      <c r="V61" s="22">
        <f>((V16*Constants!$H74*Constants!$H92*(1-Constants!$H110))+(V16*Constants!$H74*Constants!$H126))</f>
        <v>0</v>
      </c>
      <c r="W61" s="22">
        <f>((W16*Constants!$H74*Constants!$H92*(1-Constants!$H110))+(W16*Constants!$H74*Constants!$H126))</f>
        <v>0</v>
      </c>
      <c r="X61" s="22">
        <f>((X16*Constants!$H74*Constants!$H92*(1-Constants!$H110))+(X16*Constants!$H74*Constants!$H126))</f>
        <v>0</v>
      </c>
      <c r="Y61" s="22">
        <f>((Y16*Constants!$H74*Constants!$H92*(1-Constants!$H110))+(Y16*Constants!$H74*Constants!$H126))</f>
        <v>0</v>
      </c>
      <c r="Z61" s="22">
        <f>((Z16*Constants!$H74*Constants!$H92*(1-Constants!$H110))+(Z16*Constants!$H74*Constants!$H126))</f>
        <v>0</v>
      </c>
      <c r="AA61" s="22">
        <f>((AA16*Constants!$H74*Constants!$H92*(1-Constants!$H110))+(AA16*Constants!$H74*Constants!$H126))</f>
        <v>0</v>
      </c>
      <c r="AB61" s="22">
        <f>((AB16*Constants!$H74*Constants!$H92*(1-Constants!$H110))+(AB16*Constants!$H74*Constants!$H126))</f>
        <v>0</v>
      </c>
      <c r="AC61" s="22">
        <f>((AC16*Constants!$H74*Constants!$H92*(1-Constants!$H110))+(AC16*Constants!$H74*Constants!$H126))</f>
        <v>0</v>
      </c>
      <c r="AD61" s="22">
        <f>((AD16*Constants!$H74*Constants!$H92*(1-Constants!$H110))+(AD16*Constants!$H74*Constants!$H126))</f>
        <v>0</v>
      </c>
      <c r="AE61" s="22">
        <f>((AE16*Constants!$H74*Constants!$H92*(1-Constants!$H110))+(AE16*Constants!$H74*Constants!$H126))</f>
        <v>0</v>
      </c>
      <c r="AF61" s="22">
        <f>((AF16*Constants!$H74*Constants!$H92*(1-Constants!$H110))+(AF16*Constants!$H74*Constants!$H126))</f>
        <v>0</v>
      </c>
      <c r="AG61" s="22">
        <f>((AG16*Constants!$H74*Constants!$H92*(1-Constants!$H110))+(AG16*Constants!$H74*Constants!$H126))</f>
        <v>0</v>
      </c>
      <c r="AH61" s="22">
        <f>((AH16*Constants!$H74*Constants!$H92*(1-Constants!$H110))+(AH16*Constants!$H74*Constants!$H126))</f>
        <v>0</v>
      </c>
      <c r="AI61" s="22">
        <f>((AI16*Constants!$H74*Constants!$H92*(1-Constants!$H110))+(AI16*Constants!$H74*Constants!$H126))</f>
        <v>0</v>
      </c>
      <c r="AJ61" s="22">
        <f>((AJ16*Constants!$H74*Constants!$H92*(1-Constants!$H110))+(AJ16*Constants!$H74*Constants!$H126))</f>
        <v>0</v>
      </c>
      <c r="AK61" s="22">
        <f>((AK16*Constants!$H74*Constants!$H92*(1-Constants!$H110))+(AK16*Constants!$H74*Constants!$H126))</f>
        <v>0</v>
      </c>
      <c r="AL61" s="22">
        <f>((AL16*Constants!$H74*Constants!$H92*(1-Constants!$H110))+(AL16*Constants!$H74*Constants!$H126))</f>
        <v>0</v>
      </c>
      <c r="AM61" s="22">
        <f>((AM16*Constants!$H74*Constants!$H92*(1-Constants!$H110))+(AM16*Constants!$H74*Constants!$H126))</f>
        <v>0</v>
      </c>
      <c r="AN61" s="22">
        <f>((AN16*Constants!$H74*Constants!$H92*(1-Constants!$H110))+(AN16*Constants!$H74*Constants!$H126))</f>
        <v>0</v>
      </c>
      <c r="AO61" s="22">
        <f>((AO16*Constants!$H74*Constants!$H92*(1-Constants!$H110))+(AO16*Constants!$H74*Constants!$H126))</f>
        <v>0</v>
      </c>
      <c r="AP61" s="22">
        <f>((AP16*Constants!$H74*Constants!$H92*(1-Constants!$H110))+(AP16*Constants!$H74*Constants!$H126))</f>
        <v>0</v>
      </c>
      <c r="AQ61" s="22">
        <f>((AQ16*Constants!$H74*Constants!$H92*(1-Constants!$H110))+(AQ16*Constants!$H74*Constants!$H126))</f>
        <v>0</v>
      </c>
      <c r="AR61" s="22">
        <f>((AR16*Constants!$H74*Constants!$H92*(1-Constants!$H110))+(AR16*Constants!$H74*Constants!$H126))</f>
        <v>0</v>
      </c>
      <c r="AS61" s="22">
        <f>((AS16*Constants!$H74*Constants!$H92*(1-Constants!$H110))+(AS16*Constants!$H74*Constants!$H126))</f>
        <v>0</v>
      </c>
      <c r="AT61" s="22">
        <f>((AT16*Constants!$H74*Constants!$H92*(1-Constants!$H110))+(AT16*Constants!$H74*Constants!$H126))</f>
        <v>0</v>
      </c>
      <c r="AU61" s="22">
        <f>((AU16*Constants!$H74*Constants!$H92*(1-Constants!$H110))+(AU16*Constants!$H74*Constants!$H126))</f>
        <v>0</v>
      </c>
      <c r="AV61" s="22">
        <f>((AV16*Constants!$H74*Constants!$H92*(1-Constants!$H110))+(AV16*Constants!$H74*Constants!$H126))</f>
        <v>0</v>
      </c>
      <c r="AW61" s="22">
        <f>((AW16*Constants!$H74*Constants!$H92*(1-Constants!$H110))+(AW16*Constants!$H74*Constants!$H126))</f>
        <v>0</v>
      </c>
      <c r="AX61" s="22">
        <f>((AX16*Constants!$H74*Constants!$H92*(1-Constants!$H110))+(AX16*Constants!$H74*Constants!$H126))</f>
        <v>0</v>
      </c>
      <c r="AY61" s="22">
        <f>((AY16*Constants!$H74*Constants!$H92*(1-Constants!$H110))+(AY16*Constants!$H74*Constants!$H126))</f>
        <v>0</v>
      </c>
      <c r="AZ61" s="22">
        <f>((AZ16*Constants!$H74*Constants!$H92*(1-Constants!$H110))+(AZ16*Constants!$H74*Constants!$H126))</f>
        <v>0</v>
      </c>
      <c r="BA61" s="22">
        <f>((BA16*Constants!$H74*Constants!$H92*(1-Constants!$H110))+(BA16*Constants!$H74*Constants!$H126))</f>
        <v>0</v>
      </c>
      <c r="BB61" s="22">
        <f>((BB16*Constants!$H74*Constants!$H92*(1-Constants!$H110))+(BB16*Constants!$H74*Constants!$H126))</f>
        <v>0</v>
      </c>
      <c r="BC61" s="22">
        <f>((BC16*Constants!$H74*Constants!$H92*(1-Constants!$H110))+(BC16*Constants!$H74*Constants!$H126))</f>
        <v>0</v>
      </c>
      <c r="BD61" s="22">
        <f>((BD16*Constants!$H74*Constants!$H92*(1-Constants!$H110))+(BD16*Constants!$H74*Constants!$H126))</f>
        <v>0</v>
      </c>
      <c r="BE61" s="22">
        <f>((BE16*Constants!$H74*Constants!$H92*(1-Constants!$H110))+(BE16*Constants!$H74*Constants!$H126))</f>
        <v>0</v>
      </c>
      <c r="BF61" s="22">
        <f>((BF16*Constants!$H74*Constants!$H92*(1-Constants!$H110))+(BF16*Constants!$H74*Constants!$H126))</f>
        <v>0</v>
      </c>
      <c r="BG61" s="22">
        <f>((BG16*Constants!$H74*Constants!$H92*(1-Constants!$H110))+(BG16*Constants!$H74*Constants!$H126))</f>
        <v>0</v>
      </c>
      <c r="BH61" s="22">
        <f>((BH16*Constants!$H74*Constants!$H92*(1-Constants!$H110))+(BH16*Constants!$H74*Constants!$H126))</f>
        <v>0</v>
      </c>
      <c r="BI61" s="22">
        <f>((BI16*Constants!$H74*Constants!$H92*(1-Constants!$H110))+(BI16*Constants!$H74*Constants!$H126))</f>
        <v>0</v>
      </c>
      <c r="BJ61" s="22">
        <f>((BJ16*Constants!$H74*Constants!$H92*(1-Constants!$H110))+(BJ16*Constants!$H74*Constants!$H126))</f>
        <v>0</v>
      </c>
      <c r="BK61" s="22">
        <f>((BK16*Constants!$H74*Constants!$H92*(1-Constants!$H110))+(BK16*Constants!$H74*Constants!$H126))</f>
        <v>0</v>
      </c>
      <c r="BL61" s="22">
        <f>((BL16*Constants!$H74*Constants!$H92*(1-Constants!$H110))+(BL16*Constants!$H74*Constants!$H126))</f>
        <v>0</v>
      </c>
      <c r="BM61" s="22">
        <f>((BM16*Constants!$H74*Constants!$H92*(1-Constants!$H110))+(BM16*Constants!$H74*Constants!$H126))</f>
        <v>0</v>
      </c>
      <c r="BN61" s="22">
        <f>((BN16*Constants!$H74*Constants!$H92*(1-Constants!$H110))+(BN16*Constants!$H74*Constants!$H126))</f>
        <v>0</v>
      </c>
      <c r="BO61" s="22">
        <f>((BO16*Constants!$H74*Constants!$H92*(1-Constants!$H110))+(BO16*Constants!$H74*Constants!$H126))</f>
        <v>0</v>
      </c>
      <c r="BP61" s="22">
        <f>((BP16*Constants!$H74*Constants!$H92*(1-Constants!$H110))+(BP16*Constants!$H74*Constants!$H126))</f>
        <v>0</v>
      </c>
    </row>
    <row r="62" spans="1:72" x14ac:dyDescent="0.25">
      <c r="A62" t="str">
        <f t="shared" si="20"/>
        <v>3C Aggregated and non-CO2 emissions on land</v>
      </c>
      <c r="B62" t="str">
        <f t="shared" si="21"/>
        <v>3C4 Direct N2O from managed soils (N2O)</v>
      </c>
      <c r="C62" t="s">
        <v>409</v>
      </c>
      <c r="D62" t="str">
        <f>Constants!D127</f>
        <v xml:space="preserve"> - Commercial swine</v>
      </c>
      <c r="E62" t="str">
        <f t="shared" si="23"/>
        <v>MM N available - Commercial swine</v>
      </c>
      <c r="F62" t="str">
        <f t="shared" si="24"/>
        <v>kg N</v>
      </c>
      <c r="H62" s="22">
        <f>((H17*Constants!$H75*Constants!$H93*(1-Constants!$H111))+(H17*Constants!$H75*Constants!$H127))</f>
        <v>7298537.9251200007</v>
      </c>
      <c r="I62" s="22">
        <f>((I17*Constants!$H75*Constants!$H93*(1-Constants!$H111))+(I17*Constants!$H75*Constants!$H127))</f>
        <v>7973796.3552000001</v>
      </c>
      <c r="J62" s="22">
        <f>((J17*Constants!$H75*Constants!$H93*(1-Constants!$H111))+(J17*Constants!$H75*Constants!$H127))</f>
        <v>7921116.6195200011</v>
      </c>
      <c r="K62" s="22">
        <f>((K17*Constants!$H75*Constants!$H93*(1-Constants!$H111))+(K17*Constants!$H75*Constants!$H127))</f>
        <v>7916327.5526400004</v>
      </c>
      <c r="L62" s="22">
        <f>((L17*Constants!$H75*Constants!$H93*(1-Constants!$H111))+(L17*Constants!$H75*Constants!$H127))</f>
        <v>7518835.0016000001</v>
      </c>
      <c r="M62" s="22">
        <f>((M17*Constants!$H75*Constants!$H93*(1-Constants!$H111))+(M17*Constants!$H75*Constants!$H127))</f>
        <v>7590671.0048000002</v>
      </c>
      <c r="N62" s="22">
        <f>((N17*Constants!$H75*Constants!$H93*(1-Constants!$H111))+(N17*Constants!$H75*Constants!$H127))</f>
        <v>8174937.1641600002</v>
      </c>
      <c r="O62" s="22">
        <f>((O17*Constants!$H75*Constants!$H93*(1-Constants!$H111))+(O17*Constants!$H75*Constants!$H127))</f>
        <v>8136624.6291200006</v>
      </c>
      <c r="P62" s="22">
        <f>((P17*Constants!$H75*Constants!$H93*(1-Constants!$H111))+(P17*Constants!$H75*Constants!$H127))</f>
        <v>8313820.1036800006</v>
      </c>
      <c r="Q62" s="22">
        <f>((Q17*Constants!$H75*Constants!$H93*(1-Constants!$H111))+(Q17*Constants!$H75*Constants!$H127))</f>
        <v>8524539.0463999994</v>
      </c>
      <c r="R62" s="22">
        <f>((R17*Constants!$H75*Constants!$H93*(1-Constants!$H111))+(R17*Constants!$H75*Constants!$H127))</f>
        <v>7887593.1513599996</v>
      </c>
      <c r="S62" s="22">
        <f>((S17*Constants!$H75*Constants!$H93*(1-Constants!$H111))+(S17*Constants!$H75*Constants!$H127))</f>
        <v>8036054.2246400006</v>
      </c>
      <c r="T62" s="22">
        <f>((T17*Constants!$H75*Constants!$H93*(1-Constants!$H111))+(T17*Constants!$H75*Constants!$H127))</f>
        <v>8189304.3647999996</v>
      </c>
      <c r="U62" s="22">
        <f>((U17*Constants!$H75*Constants!$H93*(1-Constants!$H111))+(U17*Constants!$H75*Constants!$H127))</f>
        <v>7964218.2214400005</v>
      </c>
      <c r="V62" s="22">
        <f>((V17*Constants!$H75*Constants!$H93*(1-Constants!$H111))+(V17*Constants!$H75*Constants!$H127))</f>
        <v>7964218.2214400005</v>
      </c>
      <c r="W62" s="22">
        <f>((W17*Constants!$H75*Constants!$H93*(1-Constants!$H111))+(W17*Constants!$H75*Constants!$H127))</f>
        <v>7906749.4188800007</v>
      </c>
      <c r="X62" s="22">
        <f>((X17*Constants!$H75*Constants!$H93*(1-Constants!$H111))+(X17*Constants!$H75*Constants!$H127))</f>
        <v>7767866.4793599993</v>
      </c>
      <c r="Y62" s="22">
        <f>((Y17*Constants!$H75*Constants!$H93*(1-Constants!$H111))+(Y17*Constants!$H75*Constants!$H127))</f>
        <v>7906749.4188800007</v>
      </c>
      <c r="Z62" s="22">
        <f>((Z17*Constants!$H75*Constants!$H93*(1-Constants!$H111))+(Z17*Constants!$H75*Constants!$H127))</f>
        <v>7734343.0111999996</v>
      </c>
      <c r="AA62" s="22">
        <f>((AA17*Constants!$H75*Constants!$H93*(1-Constants!$H111))+(AA17*Constants!$H75*Constants!$H127))</f>
        <v>7724764.87744</v>
      </c>
      <c r="AB62" s="22">
        <f>((AB17*Constants!$H75*Constants!$H93*(1-Constants!$H111))+(AB17*Constants!$H75*Constants!$H127))</f>
        <v>7633772.6067200005</v>
      </c>
      <c r="AC62" s="22">
        <f>((AC17*Constants!$H75*Constants!$H93*(1-Constants!$H111))+(AC17*Constants!$H75*Constants!$H127))</f>
        <v>7585881.9379200004</v>
      </c>
      <c r="AD62" s="22">
        <f>((AD17*Constants!$H75*Constants!$H93*(1-Constants!$H111))+(AD17*Constants!$H75*Constants!$H127))</f>
        <v>7932901.2225080626</v>
      </c>
      <c r="AE62" s="22">
        <f>((AE17*Constants!$H75*Constants!$H93*(1-Constants!$H111))+(AE17*Constants!$H75*Constants!$H127))</f>
        <v>7932304.0775871156</v>
      </c>
      <c r="AF62" s="22">
        <f>((AF17*Constants!$H75*Constants!$H93*(1-Constants!$H111))+(AF17*Constants!$H75*Constants!$H127))</f>
        <v>7877497.8388525806</v>
      </c>
      <c r="AG62" s="22">
        <f>((AG17*Constants!$H75*Constants!$H93*(1-Constants!$H111))+(AG17*Constants!$H75*Constants!$H127))</f>
        <v>7784561.7970868945</v>
      </c>
      <c r="AH62" s="22">
        <f>((AH17*Constants!$H75*Constants!$H93*(1-Constants!$H111))+(AH17*Constants!$H75*Constants!$H127))</f>
        <v>7652726.6369175157</v>
      </c>
      <c r="AI62" s="22">
        <f>((AI17*Constants!$H75*Constants!$H93*(1-Constants!$H111))+(AI17*Constants!$H75*Constants!$H127))</f>
        <v>7581302.3447634233</v>
      </c>
      <c r="AJ62" s="22">
        <f>((AJ17*Constants!$H75*Constants!$H93*(1-Constants!$H111))+(AJ17*Constants!$H75*Constants!$H127))</f>
        <v>7502181.1487404862</v>
      </c>
      <c r="AK62" s="22">
        <f>((AK17*Constants!$H75*Constants!$H93*(1-Constants!$H111))+(AK17*Constants!$H75*Constants!$H127))</f>
        <v>7422564.251406882</v>
      </c>
      <c r="AL62" s="22">
        <f>((AL17*Constants!$H75*Constants!$H93*(1-Constants!$H111))+(AL17*Constants!$H75*Constants!$H127))</f>
        <v>6523666.8517600484</v>
      </c>
      <c r="AM62" s="22">
        <f>((AM17*Constants!$H75*Constants!$H93*(1-Constants!$H111))+(AM17*Constants!$H75*Constants!$H127))</f>
        <v>6577625.9461432397</v>
      </c>
      <c r="AN62" s="22">
        <f>((AN17*Constants!$H75*Constants!$H93*(1-Constants!$H111))+(AN17*Constants!$H75*Constants!$H127))</f>
        <v>6620058.1727844374</v>
      </c>
      <c r="AO62" s="22">
        <f>((AO17*Constants!$H75*Constants!$H93*(1-Constants!$H111))+(AO17*Constants!$H75*Constants!$H127))</f>
        <v>6665190.3463502005</v>
      </c>
      <c r="AP62" s="22">
        <f>((AP17*Constants!$H75*Constants!$H93*(1-Constants!$H111))+(AP17*Constants!$H75*Constants!$H127))</f>
        <v>6722667.8087132163</v>
      </c>
      <c r="AQ62" s="22">
        <f>((AQ17*Constants!$H75*Constants!$H93*(1-Constants!$H111))+(AQ17*Constants!$H75*Constants!$H127))</f>
        <v>6798768.4373377813</v>
      </c>
      <c r="AR62" s="22">
        <f>((AR17*Constants!$H75*Constants!$H93*(1-Constants!$H111))+(AR17*Constants!$H75*Constants!$H127))</f>
        <v>6882305.0690385373</v>
      </c>
      <c r="AS62" s="22">
        <f>((AS17*Constants!$H75*Constants!$H93*(1-Constants!$H111))+(AS17*Constants!$H75*Constants!$H127))</f>
        <v>6976518.7962320112</v>
      </c>
      <c r="AT62" s="22">
        <f>((AT17*Constants!$H75*Constants!$H93*(1-Constants!$H111))+(AT17*Constants!$H75*Constants!$H127))</f>
        <v>7082375.3781673713</v>
      </c>
      <c r="AU62" s="22">
        <f>((AU17*Constants!$H75*Constants!$H93*(1-Constants!$H111))+(AU17*Constants!$H75*Constants!$H127))</f>
        <v>7213122.8345491821</v>
      </c>
      <c r="AV62" s="22">
        <f>((AV17*Constants!$H75*Constants!$H93*(1-Constants!$H111))+(AV17*Constants!$H75*Constants!$H127))</f>
        <v>7337465.7605088884</v>
      </c>
      <c r="AW62" s="22">
        <f>((AW17*Constants!$H75*Constants!$H93*(1-Constants!$H111))+(AW17*Constants!$H75*Constants!$H127))</f>
        <v>7500811.9295911212</v>
      </c>
      <c r="AX62" s="22">
        <f>((AX17*Constants!$H75*Constants!$H93*(1-Constants!$H111))+(AX17*Constants!$H75*Constants!$H127))</f>
        <v>7668518.1650266349</v>
      </c>
      <c r="AY62" s="22">
        <f>((AY17*Constants!$H75*Constants!$H93*(1-Constants!$H111))+(AY17*Constants!$H75*Constants!$H127))</f>
        <v>7839003.6483758828</v>
      </c>
      <c r="AZ62" s="22">
        <f>((AZ17*Constants!$H75*Constants!$H93*(1-Constants!$H111))+(AZ17*Constants!$H75*Constants!$H127))</f>
        <v>8010682.5854737209</v>
      </c>
      <c r="BA62" s="22">
        <f>((BA17*Constants!$H75*Constants!$H93*(1-Constants!$H111))+(BA17*Constants!$H75*Constants!$H127))</f>
        <v>8154703.0413892567</v>
      </c>
      <c r="BB62" s="22">
        <f>((BB17*Constants!$H75*Constants!$H93*(1-Constants!$H111))+(BB17*Constants!$H75*Constants!$H127))</f>
        <v>8306614.7220848417</v>
      </c>
      <c r="BC62" s="22">
        <f>((BC17*Constants!$H75*Constants!$H93*(1-Constants!$H111))+(BC17*Constants!$H75*Constants!$H127))</f>
        <v>8472423.1684512347</v>
      </c>
      <c r="BD62" s="22">
        <f>((BD17*Constants!$H75*Constants!$H93*(1-Constants!$H111))+(BD17*Constants!$H75*Constants!$H127))</f>
        <v>8645911.6539798584</v>
      </c>
      <c r="BE62" s="22">
        <f>((BE17*Constants!$H75*Constants!$H93*(1-Constants!$H111))+(BE17*Constants!$H75*Constants!$H127))</f>
        <v>8806630.4206437152</v>
      </c>
      <c r="BF62" s="22">
        <f>((BF17*Constants!$H75*Constants!$H93*(1-Constants!$H111))+(BF17*Constants!$H75*Constants!$H127))</f>
        <v>8965764.5149263814</v>
      </c>
      <c r="BG62" s="22">
        <f>((BG17*Constants!$H75*Constants!$H93*(1-Constants!$H111))+(BG17*Constants!$H75*Constants!$H127))</f>
        <v>9130965.7183693759</v>
      </c>
      <c r="BH62" s="22">
        <f>((BH17*Constants!$H75*Constants!$H93*(1-Constants!$H111))+(BH17*Constants!$H75*Constants!$H127))</f>
        <v>9304365.5126666985</v>
      </c>
      <c r="BI62" s="22">
        <f>((BI17*Constants!$H75*Constants!$H93*(1-Constants!$H111))+(BI17*Constants!$H75*Constants!$H127))</f>
        <v>9488987.8820422236</v>
      </c>
      <c r="BJ62" s="22">
        <f>((BJ17*Constants!$H75*Constants!$H93*(1-Constants!$H111))+(BJ17*Constants!$H75*Constants!$H127))</f>
        <v>9682864.7307810653</v>
      </c>
      <c r="BK62" s="22">
        <f>((BK17*Constants!$H75*Constants!$H93*(1-Constants!$H111))+(BK17*Constants!$H75*Constants!$H127))</f>
        <v>9892656.965746535</v>
      </c>
      <c r="BL62" s="22">
        <f>((BL17*Constants!$H75*Constants!$H93*(1-Constants!$H111))+(BL17*Constants!$H75*Constants!$H127))</f>
        <v>10114823.473701024</v>
      </c>
      <c r="BM62" s="22">
        <f>((BM17*Constants!$H75*Constants!$H93*(1-Constants!$H111))+(BM17*Constants!$H75*Constants!$H127))</f>
        <v>10344418.877919387</v>
      </c>
      <c r="BN62" s="22">
        <f>((BN17*Constants!$H75*Constants!$H93*(1-Constants!$H111))+(BN17*Constants!$H75*Constants!$H127))</f>
        <v>10563500.833081562</v>
      </c>
      <c r="BO62" s="22">
        <f>((BO17*Constants!$H75*Constants!$H93*(1-Constants!$H111))+(BO17*Constants!$H75*Constants!$H127))</f>
        <v>10790933.571158547</v>
      </c>
      <c r="BP62" s="22">
        <f>((BP17*Constants!$H75*Constants!$H93*(1-Constants!$H111))+(BP17*Constants!$H75*Constants!$H127))</f>
        <v>11030400.665820627</v>
      </c>
    </row>
    <row r="63" spans="1:72" x14ac:dyDescent="0.25">
      <c r="A63" t="str">
        <f t="shared" si="20"/>
        <v>3C Aggregated and non-CO2 emissions on land</v>
      </c>
      <c r="B63" t="str">
        <f t="shared" si="21"/>
        <v>3C4 Direct N2O from managed soils (N2O)</v>
      </c>
      <c r="C63" t="s">
        <v>409</v>
      </c>
      <c r="D63" t="str">
        <f>Constants!D128</f>
        <v xml:space="preserve"> - Subsistence swine</v>
      </c>
      <c r="E63" t="str">
        <f t="shared" si="23"/>
        <v>MM N available - Subsistence swine</v>
      </c>
      <c r="F63" t="str">
        <f t="shared" si="24"/>
        <v>kg N</v>
      </c>
      <c r="H63" s="22">
        <f>((H18*Constants!$H76*Constants!$H94*(1-Constants!$H112))+(H18*Constants!$H76*Constants!$H128))</f>
        <v>1773185.6742955854</v>
      </c>
      <c r="I63" s="22">
        <f>((I18*Constants!$H76*Constants!$H94*(1-Constants!$H112))+(I18*Constants!$H76*Constants!$H128))</f>
        <v>1937240.2543977362</v>
      </c>
      <c r="J63" s="22">
        <f>((J18*Constants!$H76*Constants!$H94*(1-Constants!$H112))+(J18*Constants!$H76*Constants!$H128))</f>
        <v>1924441.6701344475</v>
      </c>
      <c r="K63" s="22">
        <f>((K18*Constants!$H76*Constants!$H94*(1-Constants!$H112))+(K18*Constants!$H76*Constants!$H128))</f>
        <v>1923278.1624741489</v>
      </c>
      <c r="L63" s="22">
        <f>((L18*Constants!$H76*Constants!$H94*(1-Constants!$H112))+(L18*Constants!$H76*Constants!$H128))</f>
        <v>1826707.0266693365</v>
      </c>
      <c r="M63" s="22">
        <f>((M18*Constants!$H76*Constants!$H94*(1-Constants!$H112))+(M18*Constants!$H76*Constants!$H128))</f>
        <v>1844159.6415738207</v>
      </c>
      <c r="N63" s="22">
        <f>((N18*Constants!$H76*Constants!$H94*(1-Constants!$H112))+(N18*Constants!$H76*Constants!$H128))</f>
        <v>1986107.5761302917</v>
      </c>
      <c r="O63" s="22">
        <f>((O18*Constants!$H76*Constants!$H94*(1-Constants!$H112))+(O18*Constants!$H76*Constants!$H128))</f>
        <v>1976799.5148479</v>
      </c>
      <c r="P63" s="22">
        <f>((P18*Constants!$H76*Constants!$H94*(1-Constants!$H112))+(P18*Constants!$H76*Constants!$H128))</f>
        <v>2019849.2982789606</v>
      </c>
      <c r="Q63" s="22">
        <f>((Q18*Constants!$H76*Constants!$H94*(1-Constants!$H112))+(Q18*Constants!$H76*Constants!$H128))</f>
        <v>2071043.6353321141</v>
      </c>
      <c r="R63" s="22">
        <f>((R18*Constants!$H76*Constants!$H94*(1-Constants!$H112))+(R18*Constants!$H76*Constants!$H128))</f>
        <v>1916297.1165123552</v>
      </c>
      <c r="S63" s="22">
        <f>((S18*Constants!$H76*Constants!$H94*(1-Constants!$H112))+(S18*Constants!$H76*Constants!$H128))</f>
        <v>1952365.8539816223</v>
      </c>
      <c r="T63" s="22">
        <f>((T18*Constants!$H76*Constants!$H94*(1-Constants!$H112))+(T18*Constants!$H76*Constants!$H128))</f>
        <v>1989598.0991111884</v>
      </c>
      <c r="U63" s="22">
        <f>((U18*Constants!$H76*Constants!$H94*(1-Constants!$H112))+(U18*Constants!$H76*Constants!$H128))</f>
        <v>1934913.2390771382</v>
      </c>
      <c r="V63" s="22">
        <f>((V18*Constants!$H76*Constants!$H94*(1-Constants!$H112))+(V18*Constants!$H76*Constants!$H128))</f>
        <v>1934913.2390771382</v>
      </c>
      <c r="W63" s="22">
        <f>((W18*Constants!$H76*Constants!$H94*(1-Constants!$H112))+(W18*Constants!$H76*Constants!$H128))</f>
        <v>1920951.1471535508</v>
      </c>
      <c r="X63" s="22">
        <f>((X18*Constants!$H76*Constants!$H94*(1-Constants!$H112))+(X18*Constants!$H76*Constants!$H128))</f>
        <v>1887209.4250048813</v>
      </c>
      <c r="Y63" s="22">
        <f>((Y18*Constants!$H76*Constants!$H94*(1-Constants!$H112))+(Y18*Constants!$H76*Constants!$H128))</f>
        <v>1920951.1471535508</v>
      </c>
      <c r="Z63" s="22">
        <f>((Z18*Constants!$H76*Constants!$H94*(1-Constants!$H112))+(Z18*Constants!$H76*Constants!$H128))</f>
        <v>1879064.8713827892</v>
      </c>
      <c r="AA63" s="22">
        <f>((AA18*Constants!$H76*Constants!$H94*(1-Constants!$H112))+(AA18*Constants!$H76*Constants!$H128))</f>
        <v>1876737.8560621911</v>
      </c>
      <c r="AB63" s="22">
        <f>((AB18*Constants!$H76*Constants!$H94*(1-Constants!$H112))+(AB18*Constants!$H76*Constants!$H128))</f>
        <v>1854631.2105165115</v>
      </c>
      <c r="AC63" s="22">
        <f>((AC18*Constants!$H76*Constants!$H94*(1-Constants!$H112))+(AC18*Constants!$H76*Constants!$H128))</f>
        <v>1842996.1339135219</v>
      </c>
      <c r="AD63" s="22">
        <f>((AD18*Constants!$H76*Constants!$H94*(1-Constants!$H112))+(AD18*Constants!$H76*Constants!$H128))</f>
        <v>2012607.3338029003</v>
      </c>
      <c r="AE63" s="22">
        <f>((AE18*Constants!$H76*Constants!$H94*(1-Constants!$H112))+(AE18*Constants!$H76*Constants!$H128))</f>
        <v>2012455.8358561175</v>
      </c>
      <c r="AF63" s="22">
        <f>((AF18*Constants!$H76*Constants!$H94*(1-Constants!$H112))+(AF18*Constants!$H76*Constants!$H128))</f>
        <v>1998551.2837986292</v>
      </c>
      <c r="AG63" s="22">
        <f>((AG18*Constants!$H76*Constants!$H94*(1-Constants!$H112))+(AG18*Constants!$H76*Constants!$H128))</f>
        <v>1974973.0551045001</v>
      </c>
      <c r="AH63" s="22">
        <f>((AH18*Constants!$H76*Constants!$H94*(1-Constants!$H112))+(AH18*Constants!$H76*Constants!$H128))</f>
        <v>1941525.9715259043</v>
      </c>
      <c r="AI63" s="22">
        <f>((AI18*Constants!$H76*Constants!$H94*(1-Constants!$H112))+(AI18*Constants!$H76*Constants!$H128))</f>
        <v>1923405.3558559211</v>
      </c>
      <c r="AJ63" s="22">
        <f>((AJ18*Constants!$H76*Constants!$H94*(1-Constants!$H112))+(AJ18*Constants!$H76*Constants!$H128))</f>
        <v>1903332.006281971</v>
      </c>
      <c r="AK63" s="22">
        <f>((AK18*Constants!$H76*Constants!$H94*(1-Constants!$H112))+(AK18*Constants!$H76*Constants!$H128))</f>
        <v>1883132.8953925525</v>
      </c>
      <c r="AL63" s="22">
        <f>((AL18*Constants!$H76*Constants!$H94*(1-Constants!$H112))+(AL18*Constants!$H76*Constants!$H128))</f>
        <v>1655079.1924506163</v>
      </c>
      <c r="AM63" s="22">
        <f>((AM18*Constants!$H76*Constants!$H94*(1-Constants!$H112))+(AM18*Constants!$H76*Constants!$H128))</f>
        <v>1668768.820751149</v>
      </c>
      <c r="AN63" s="22">
        <f>((AN18*Constants!$H76*Constants!$H94*(1-Constants!$H112))+(AN18*Constants!$H76*Constants!$H128))</f>
        <v>1679534.0386874769</v>
      </c>
      <c r="AO63" s="22">
        <f>((AO18*Constants!$H76*Constants!$H94*(1-Constants!$H112))+(AO18*Constants!$H76*Constants!$H128))</f>
        <v>1690984.2434689503</v>
      </c>
      <c r="AP63" s="22">
        <f>((AP18*Constants!$H76*Constants!$H94*(1-Constants!$H112))+(AP18*Constants!$H76*Constants!$H128))</f>
        <v>1705566.495161681</v>
      </c>
      <c r="AQ63" s="22">
        <f>((AQ18*Constants!$H76*Constants!$H94*(1-Constants!$H112))+(AQ18*Constants!$H76*Constants!$H128))</f>
        <v>1724873.5152519159</v>
      </c>
      <c r="AR63" s="22">
        <f>((AR18*Constants!$H76*Constants!$H94*(1-Constants!$H112))+(AR18*Constants!$H76*Constants!$H128))</f>
        <v>1746067.0777187103</v>
      </c>
      <c r="AS63" s="22">
        <f>((AS18*Constants!$H76*Constants!$H94*(1-Constants!$H112))+(AS18*Constants!$H76*Constants!$H128))</f>
        <v>1769969.4600850123</v>
      </c>
      <c r="AT63" s="22">
        <f>((AT18*Constants!$H76*Constants!$H94*(1-Constants!$H112))+(AT18*Constants!$H76*Constants!$H128))</f>
        <v>1796825.6791603146</v>
      </c>
      <c r="AU63" s="22">
        <f>((AU18*Constants!$H76*Constants!$H94*(1-Constants!$H112))+(AU18*Constants!$H76*Constants!$H128))</f>
        <v>1829996.8081343512</v>
      </c>
      <c r="AV63" s="22">
        <f>((AV18*Constants!$H76*Constants!$H94*(1-Constants!$H112))+(AV18*Constants!$H76*Constants!$H128))</f>
        <v>1861543.0832830912</v>
      </c>
      <c r="AW63" s="22">
        <f>((AW18*Constants!$H76*Constants!$H94*(1-Constants!$H112))+(AW18*Constants!$H76*Constants!$H128))</f>
        <v>1902984.6301550914</v>
      </c>
      <c r="AX63" s="22">
        <f>((AX18*Constants!$H76*Constants!$H94*(1-Constants!$H112))+(AX18*Constants!$H76*Constants!$H128))</f>
        <v>1945532.3425108588</v>
      </c>
      <c r="AY63" s="22">
        <f>((AY18*Constants!$H76*Constants!$H94*(1-Constants!$H112))+(AY18*Constants!$H76*Constants!$H128))</f>
        <v>1988785.1606755538</v>
      </c>
      <c r="AZ63" s="22">
        <f>((AZ18*Constants!$H76*Constants!$H94*(1-Constants!$H112))+(AZ18*Constants!$H76*Constants!$H128))</f>
        <v>2032340.7626137508</v>
      </c>
      <c r="BA63" s="22">
        <f>((BA18*Constants!$H76*Constants!$H94*(1-Constants!$H112))+(BA18*Constants!$H76*Constants!$H128))</f>
        <v>2068879.3022555695</v>
      </c>
      <c r="BB63" s="22">
        <f>((BB18*Constants!$H76*Constants!$H94*(1-Constants!$H112))+(BB18*Constants!$H76*Constants!$H128))</f>
        <v>2107419.8757585883</v>
      </c>
      <c r="BC63" s="22">
        <f>((BC18*Constants!$H76*Constants!$H94*(1-Constants!$H112))+(BC18*Constants!$H76*Constants!$H128))</f>
        <v>2149486.111780365</v>
      </c>
      <c r="BD63" s="22">
        <f>((BD18*Constants!$H76*Constants!$H94*(1-Constants!$H112))+(BD18*Constants!$H76*Constants!$H128))</f>
        <v>2193500.8030656395</v>
      </c>
      <c r="BE63" s="22">
        <f>((BE18*Constants!$H76*Constants!$H94*(1-Constants!$H112))+(BE18*Constants!$H76*Constants!$H128))</f>
        <v>2234275.7679107417</v>
      </c>
      <c r="BF63" s="22">
        <f>((BF18*Constants!$H76*Constants!$H94*(1-Constants!$H112))+(BF18*Constants!$H76*Constants!$H128))</f>
        <v>2274648.6953212908</v>
      </c>
      <c r="BG63" s="22">
        <f>((BG18*Constants!$H76*Constants!$H94*(1-Constants!$H112))+(BG18*Constants!$H76*Constants!$H128))</f>
        <v>2316560.8714945018</v>
      </c>
      <c r="BH63" s="22">
        <f>((BH18*Constants!$H76*Constants!$H94*(1-Constants!$H112))+(BH18*Constants!$H76*Constants!$H128))</f>
        <v>2360553.0614757068</v>
      </c>
      <c r="BI63" s="22">
        <f>((BI18*Constants!$H76*Constants!$H94*(1-Constants!$H112))+(BI18*Constants!$H76*Constants!$H128))</f>
        <v>2407392.4616102981</v>
      </c>
      <c r="BJ63" s="22">
        <f>((BJ18*Constants!$H76*Constants!$H94*(1-Constants!$H112))+(BJ18*Constants!$H76*Constants!$H128))</f>
        <v>2456579.7584997737</v>
      </c>
      <c r="BK63" s="22">
        <f>((BK18*Constants!$H76*Constants!$H94*(1-Constants!$H112))+(BK18*Constants!$H76*Constants!$H128))</f>
        <v>2509804.8496515974</v>
      </c>
      <c r="BL63" s="22">
        <f>((BL18*Constants!$H76*Constants!$H94*(1-Constants!$H112))+(BL18*Constants!$H76*Constants!$H128))</f>
        <v>2566169.3411148135</v>
      </c>
      <c r="BM63" s="22">
        <f>((BM18*Constants!$H76*Constants!$H94*(1-Constants!$H112))+(BM18*Constants!$H76*Constants!$H128))</f>
        <v>2624418.5719291638</v>
      </c>
      <c r="BN63" s="22">
        <f>((BN18*Constants!$H76*Constants!$H94*(1-Constants!$H112))+(BN18*Constants!$H76*Constants!$H128))</f>
        <v>2680000.5005698772</v>
      </c>
      <c r="BO63" s="22">
        <f>((BO18*Constants!$H76*Constants!$H94*(1-Constants!$H112))+(BO18*Constants!$H76*Constants!$H128))</f>
        <v>2737701.054725511</v>
      </c>
      <c r="BP63" s="22">
        <f>((BP18*Constants!$H76*Constants!$H94*(1-Constants!$H112))+(BP18*Constants!$H76*Constants!$H128))</f>
        <v>2798454.771102808</v>
      </c>
    </row>
    <row r="64" spans="1:72" x14ac:dyDescent="0.25">
      <c r="A64" t="str">
        <f t="shared" si="20"/>
        <v>3C Aggregated and non-CO2 emissions on land</v>
      </c>
      <c r="B64" t="str">
        <f t="shared" si="21"/>
        <v>3C4 Direct N2O from managed soils (N2O)</v>
      </c>
      <c r="C64" t="s">
        <v>409</v>
      </c>
      <c r="D64" t="str">
        <f>Constants!D129</f>
        <v xml:space="preserve"> - Commercial layers</v>
      </c>
      <c r="E64" t="str">
        <f t="shared" si="23"/>
        <v>MM N available - Commercial layers</v>
      </c>
      <c r="F64" t="str">
        <f t="shared" si="24"/>
        <v>kg N</v>
      </c>
      <c r="H64" s="22">
        <f>((H19*Constants!$H77*Constants!$H95*(1-Constants!$H113))+(H19*Constants!$H77*Constants!$H129))</f>
        <v>6185488.2909675539</v>
      </c>
      <c r="I64" s="22">
        <f>((I19*Constants!$H77*Constants!$H95*(1-Constants!$H113))+(I19*Constants!$H77*Constants!$H129))</f>
        <v>6009109.2071274081</v>
      </c>
      <c r="J64" s="22">
        <f>((J19*Constants!$H77*Constants!$H95*(1-Constants!$H113))+(J19*Constants!$H77*Constants!$H129))</f>
        <v>5699222.0850570546</v>
      </c>
      <c r="K64" s="22">
        <f>((K19*Constants!$H77*Constants!$H95*(1-Constants!$H113))+(K19*Constants!$H77*Constants!$H129))</f>
        <v>5609611.8493190575</v>
      </c>
      <c r="L64" s="22">
        <f>((L19*Constants!$H77*Constants!$H95*(1-Constants!$H113))+(L19*Constants!$H77*Constants!$H129))</f>
        <v>5365613.9312671879</v>
      </c>
      <c r="M64" s="22">
        <f>((M19*Constants!$H77*Constants!$H95*(1-Constants!$H113))+(M19*Constants!$H77*Constants!$H129))</f>
        <v>5854552.6233854303</v>
      </c>
      <c r="N64" s="22">
        <f>((N19*Constants!$H77*Constants!$H95*(1-Constants!$H113))+(N19*Constants!$H77*Constants!$H129))</f>
        <v>6184194.3241279265</v>
      </c>
      <c r="O64" s="22">
        <f>((O19*Constants!$H77*Constants!$H95*(1-Constants!$H113))+(O19*Constants!$H77*Constants!$H129))</f>
        <v>6204530.2379142288</v>
      </c>
      <c r="P64" s="22">
        <f>((P19*Constants!$H77*Constants!$H95*(1-Constants!$H113))+(P19*Constants!$H77*Constants!$H129))</f>
        <v>6985777.5007305164</v>
      </c>
      <c r="Q64" s="22">
        <f>((Q19*Constants!$H77*Constants!$H95*(1-Constants!$H113))+(Q19*Constants!$H77*Constants!$H129))</f>
        <v>7489454.4973270632</v>
      </c>
      <c r="R64" s="22">
        <f>((R19*Constants!$H77*Constants!$H95*(1-Constants!$H113))+(R19*Constants!$H77*Constants!$H129))</f>
        <v>7330764.97378729</v>
      </c>
      <c r="S64" s="22">
        <f>((S19*Constants!$H77*Constants!$H95*(1-Constants!$H113))+(S19*Constants!$H77*Constants!$H129))</f>
        <v>7526323.6329122018</v>
      </c>
      <c r="T64" s="22">
        <f>((T19*Constants!$H77*Constants!$H95*(1-Constants!$H113))+(T19*Constants!$H77*Constants!$H129))</f>
        <v>7467252.7937713731</v>
      </c>
      <c r="U64" s="22">
        <f>((U19*Constants!$H77*Constants!$H95*(1-Constants!$H113))+(U19*Constants!$H77*Constants!$H129))</f>
        <v>7169141.381636614</v>
      </c>
      <c r="V64" s="22">
        <f>((V19*Constants!$H77*Constants!$H95*(1-Constants!$H113))+(V19*Constants!$H77*Constants!$H129))</f>
        <v>7429101.8801676938</v>
      </c>
      <c r="W64" s="22">
        <f>((W19*Constants!$H77*Constants!$H95*(1-Constants!$H113))+(W19*Constants!$H77*Constants!$H129))</f>
        <v>7877080.6206777897</v>
      </c>
      <c r="X64" s="22">
        <f>((X19*Constants!$H77*Constants!$H95*(1-Constants!$H113))+(X19*Constants!$H77*Constants!$H129))</f>
        <v>8693284.2187629454</v>
      </c>
      <c r="Y64" s="22">
        <f>((Y19*Constants!$H77*Constants!$H95*(1-Constants!$H113))+(Y19*Constants!$H77*Constants!$H129))</f>
        <v>9620616.8920187056</v>
      </c>
      <c r="Z64" s="22">
        <f>((Z19*Constants!$H77*Constants!$H95*(1-Constants!$H113))+(Z19*Constants!$H77*Constants!$H129))</f>
        <v>9747319.238270821</v>
      </c>
      <c r="AA64" s="22">
        <f>((AA19*Constants!$H77*Constants!$H95*(1-Constants!$H113))+(AA19*Constants!$H77*Constants!$H129))</f>
        <v>9387970.3735440131</v>
      </c>
      <c r="AB64" s="22">
        <f>((AB19*Constants!$H77*Constants!$H95*(1-Constants!$H113))+(AB19*Constants!$H77*Constants!$H129))</f>
        <v>9753664.2574823145</v>
      </c>
      <c r="AC64" s="22">
        <f>((AC19*Constants!$H77*Constants!$H95*(1-Constants!$H113))+(AC19*Constants!$H77*Constants!$H129))</f>
        <v>10203867.24700897</v>
      </c>
      <c r="AD64" s="22">
        <f>((AD19*Constants!$H77*Constants!$H95*(1-Constants!$H113))+(AD19*Constants!$H77*Constants!$H129))</f>
        <v>9992320.6537461691</v>
      </c>
      <c r="AE64" s="22">
        <f>((AE19*Constants!$H77*Constants!$H95*(1-Constants!$H113))+(AE19*Constants!$H77*Constants!$H129))</f>
        <v>10225816.302012896</v>
      </c>
      <c r="AF64" s="22">
        <f>((AF19*Constants!$H77*Constants!$H95*(1-Constants!$H113))+(AF19*Constants!$H77*Constants!$H129))</f>
        <v>10421176.783806378</v>
      </c>
      <c r="AG64" s="22">
        <f>((AG19*Constants!$H77*Constants!$H95*(1-Constants!$H113))+(AG19*Constants!$H77*Constants!$H129))</f>
        <v>10587707.807643997</v>
      </c>
      <c r="AH64" s="22">
        <f>((AH19*Constants!$H77*Constants!$H95*(1-Constants!$H113))+(AH19*Constants!$H77*Constants!$H129))</f>
        <v>10722928.341058196</v>
      </c>
      <c r="AI64" s="22">
        <f>((AI19*Constants!$H77*Constants!$H95*(1-Constants!$H113))+(AI19*Constants!$H77*Constants!$H129))</f>
        <v>10903769.379383985</v>
      </c>
      <c r="AJ64" s="22">
        <f>((AJ19*Constants!$H77*Constants!$H95*(1-Constants!$H113))+(AJ19*Constants!$H77*Constants!$H129))</f>
        <v>11076625.837244362</v>
      </c>
      <c r="AK64" s="22">
        <f>((AK19*Constants!$H77*Constants!$H95*(1-Constants!$H113))+(AK19*Constants!$H77*Constants!$H129))</f>
        <v>11247482.914875718</v>
      </c>
      <c r="AL64" s="22">
        <f>((AL19*Constants!$H77*Constants!$H95*(1-Constants!$H113))+(AL19*Constants!$H77*Constants!$H129))</f>
        <v>10717368.466842642</v>
      </c>
      <c r="AM64" s="22">
        <f>((AM19*Constants!$H77*Constants!$H95*(1-Constants!$H113))+(AM19*Constants!$H77*Constants!$H129))</f>
        <v>10959639.679796705</v>
      </c>
      <c r="AN64" s="22">
        <f>((AN19*Constants!$H77*Constants!$H95*(1-Constants!$H113))+(AN19*Constants!$H77*Constants!$H129))</f>
        <v>11195031.001314079</v>
      </c>
      <c r="AO64" s="22">
        <f>((AO19*Constants!$H77*Constants!$H95*(1-Constants!$H113))+(AO19*Constants!$H77*Constants!$H129))</f>
        <v>11435986.263514465</v>
      </c>
      <c r="AP64" s="22">
        <f>((AP19*Constants!$H77*Constants!$H95*(1-Constants!$H113))+(AP19*Constants!$H77*Constants!$H129))</f>
        <v>11691809.735288437</v>
      </c>
      <c r="AQ64" s="22">
        <f>((AQ19*Constants!$H77*Constants!$H95*(1-Constants!$H113))+(AQ19*Constants!$H77*Constants!$H129))</f>
        <v>11969376.092607412</v>
      </c>
      <c r="AR64" s="22">
        <f>((AR19*Constants!$H77*Constants!$H95*(1-Constants!$H113))+(AR19*Constants!$H77*Constants!$H129))</f>
        <v>12249092.459676646</v>
      </c>
      <c r="AS64" s="22">
        <f>((AS19*Constants!$H77*Constants!$H95*(1-Constants!$H113))+(AS19*Constants!$H77*Constants!$H129))</f>
        <v>12544537.689534573</v>
      </c>
      <c r="AT64" s="22">
        <f>((AT19*Constants!$H77*Constants!$H95*(1-Constants!$H113))+(AT19*Constants!$H77*Constants!$H129))</f>
        <v>12857503.274139849</v>
      </c>
      <c r="AU64" s="22">
        <f>((AU19*Constants!$H77*Constants!$H95*(1-Constants!$H113))+(AU19*Constants!$H77*Constants!$H129))</f>
        <v>13202617.835948406</v>
      </c>
      <c r="AV64" s="22">
        <f>((AV19*Constants!$H77*Constants!$H95*(1-Constants!$H113))+(AV19*Constants!$H77*Constants!$H129))</f>
        <v>13548495.366590569</v>
      </c>
      <c r="AW64" s="22">
        <f>((AW19*Constants!$H77*Constants!$H95*(1-Constants!$H113))+(AW19*Constants!$H77*Constants!$H129))</f>
        <v>13935714.198628247</v>
      </c>
      <c r="AX64" s="22">
        <f>((AX19*Constants!$H77*Constants!$H95*(1-Constants!$H113))+(AX19*Constants!$H77*Constants!$H129))</f>
        <v>14336904.823374581</v>
      </c>
      <c r="AY64" s="22">
        <f>((AY19*Constants!$H77*Constants!$H95*(1-Constants!$H113))+(AY19*Constants!$H77*Constants!$H129))</f>
        <v>14750791.015222911</v>
      </c>
      <c r="AZ64" s="22">
        <f>((AZ19*Constants!$H77*Constants!$H95*(1-Constants!$H113))+(AZ19*Constants!$H77*Constants!$H129))</f>
        <v>15175965.545546014</v>
      </c>
      <c r="BA64" s="22">
        <f>((BA19*Constants!$H77*Constants!$H95*(1-Constants!$H113))+(BA19*Constants!$H77*Constants!$H129))</f>
        <v>15579043.315142624</v>
      </c>
      <c r="BB64" s="22">
        <f>((BB19*Constants!$H77*Constants!$H95*(1-Constants!$H113))+(BB19*Constants!$H77*Constants!$H129))</f>
        <v>15992777.015178613</v>
      </c>
      <c r="BC64" s="22">
        <f>((BC19*Constants!$H77*Constants!$H95*(1-Constants!$H113))+(BC19*Constants!$H77*Constants!$H129))</f>
        <v>16433047.748940682</v>
      </c>
      <c r="BD64" s="22">
        <f>((BD19*Constants!$H77*Constants!$H95*(1-Constants!$H113))+(BD19*Constants!$H77*Constants!$H129))</f>
        <v>16893381.185289659</v>
      </c>
      <c r="BE64" s="22">
        <f>((BE19*Constants!$H77*Constants!$H95*(1-Constants!$H113))+(BE19*Constants!$H77*Constants!$H129))</f>
        <v>17348811.825564198</v>
      </c>
      <c r="BF64" s="22">
        <f>((BF19*Constants!$H77*Constants!$H95*(1-Constants!$H113))+(BF19*Constants!$H77*Constants!$H129))</f>
        <v>17813077.051745769</v>
      </c>
      <c r="BG64" s="22">
        <f>((BG19*Constants!$H77*Constants!$H95*(1-Constants!$H113))+(BG19*Constants!$H77*Constants!$H129))</f>
        <v>18288819.791517265</v>
      </c>
      <c r="BH64" s="22">
        <f>((BH19*Constants!$H77*Constants!$H95*(1-Constants!$H113))+(BH19*Constants!$H77*Constants!$H129))</f>
        <v>18787062.072295066</v>
      </c>
      <c r="BI64" s="22">
        <f>((BI19*Constants!$H77*Constants!$H95*(1-Constants!$H113))+(BI19*Constants!$H77*Constants!$H129))</f>
        <v>19312837.018503699</v>
      </c>
      <c r="BJ64" s="22">
        <f>((BJ19*Constants!$H77*Constants!$H95*(1-Constants!$H113))+(BJ19*Constants!$H77*Constants!$H129))</f>
        <v>19864609.201904558</v>
      </c>
      <c r="BK64" s="22">
        <f>((BK19*Constants!$H77*Constants!$H95*(1-Constants!$H113))+(BK19*Constants!$H77*Constants!$H129))</f>
        <v>20452841.667862598</v>
      </c>
      <c r="BL64" s="22">
        <f>((BL19*Constants!$H77*Constants!$H95*(1-Constants!$H113))+(BL19*Constants!$H77*Constants!$H129))</f>
        <v>21066339.338134684</v>
      </c>
      <c r="BM64" s="22">
        <f>((BM19*Constants!$H77*Constants!$H95*(1-Constants!$H113))+(BM19*Constants!$H77*Constants!$H129))</f>
        <v>21706945.063306246</v>
      </c>
      <c r="BN64" s="22">
        <f>((BN19*Constants!$H77*Constants!$H95*(1-Constants!$H113))+(BN19*Constants!$H77*Constants!$H129))</f>
        <v>22349003.669132188</v>
      </c>
      <c r="BO64" s="22">
        <f>((BO19*Constants!$H77*Constants!$H95*(1-Constants!$H113))+(BO19*Constants!$H77*Constants!$H129))</f>
        <v>23020745.431158271</v>
      </c>
      <c r="BP64" s="22">
        <f>((BP19*Constants!$H77*Constants!$H95*(1-Constants!$H113))+(BP19*Constants!$H77*Constants!$H129))</f>
        <v>23729056.151463762</v>
      </c>
    </row>
    <row r="65" spans="1:68" x14ac:dyDescent="0.25">
      <c r="A65" t="str">
        <f t="shared" si="20"/>
        <v>3C Aggregated and non-CO2 emissions on land</v>
      </c>
      <c r="B65" t="str">
        <f t="shared" si="21"/>
        <v>3C4 Direct N2O from managed soils (N2O)</v>
      </c>
      <c r="C65" t="s">
        <v>409</v>
      </c>
      <c r="D65" t="str">
        <f>Constants!D130</f>
        <v xml:space="preserve"> - Commercial broilers</v>
      </c>
      <c r="E65" t="str">
        <f t="shared" si="23"/>
        <v>MM N available - Commercial broilers</v>
      </c>
      <c r="F65" t="str">
        <f t="shared" si="24"/>
        <v>kg N</v>
      </c>
      <c r="H65" s="22">
        <f>((H20*Constants!$H78*Constants!$H96*(1-Constants!$H114))+(H20*Constants!$H78*Constants!$H130))</f>
        <v>21441987.682912666</v>
      </c>
      <c r="I65" s="22">
        <f>((I20*Constants!$H78*Constants!$H96*(1-Constants!$H114))+(I20*Constants!$H78*Constants!$H130))</f>
        <v>20155468.447952528</v>
      </c>
      <c r="J65" s="22">
        <f>((J20*Constants!$H78*Constants!$H96*(1-Constants!$H114))+(J20*Constants!$H78*Constants!$H130))</f>
        <v>19048359.503315844</v>
      </c>
      <c r="K65" s="22">
        <f>((K20*Constants!$H78*Constants!$H96*(1-Constants!$H114))+(K20*Constants!$H78*Constants!$H130))</f>
        <v>21422633.120275144</v>
      </c>
      <c r="L65" s="22">
        <f>((L20*Constants!$H78*Constants!$H96*(1-Constants!$H114))+(L20*Constants!$H78*Constants!$H130))</f>
        <v>21221715.835297149</v>
      </c>
      <c r="M65" s="22">
        <f>((M20*Constants!$H78*Constants!$H96*(1-Constants!$H114))+(M20*Constants!$H78*Constants!$H130))</f>
        <v>24291356.099595293</v>
      </c>
      <c r="N65" s="22">
        <f>((N20*Constants!$H78*Constants!$H96*(1-Constants!$H114))+(N20*Constants!$H78*Constants!$H130))</f>
        <v>28244585.878194444</v>
      </c>
      <c r="O65" s="22">
        <f>((O20*Constants!$H78*Constants!$H96*(1-Constants!$H114))+(O20*Constants!$H78*Constants!$H130))</f>
        <v>28749759.856221307</v>
      </c>
      <c r="P65" s="22">
        <f>((P20*Constants!$H78*Constants!$H96*(1-Constants!$H114))+(P20*Constants!$H78*Constants!$H130))</f>
        <v>31502057.979110736</v>
      </c>
      <c r="Q65" s="22">
        <f>((Q20*Constants!$H78*Constants!$H96*(1-Constants!$H114))+(Q20*Constants!$H78*Constants!$H130))</f>
        <v>32887795.163968969</v>
      </c>
      <c r="R65" s="22">
        <f>((R20*Constants!$H78*Constants!$H96*(1-Constants!$H114))+(R20*Constants!$H78*Constants!$H130))</f>
        <v>35384844.130992576</v>
      </c>
      <c r="S65" s="22">
        <f>((S20*Constants!$H78*Constants!$H96*(1-Constants!$H114))+(S20*Constants!$H78*Constants!$H130))</f>
        <v>34167785.103477322</v>
      </c>
      <c r="T65" s="22">
        <f>((T20*Constants!$H78*Constants!$H96*(1-Constants!$H114))+(T20*Constants!$H78*Constants!$H130))</f>
        <v>37868988.696657754</v>
      </c>
      <c r="U65" s="22">
        <f>((U20*Constants!$H78*Constants!$H96*(1-Constants!$H114))+(U20*Constants!$H78*Constants!$H130))</f>
        <v>36019125.033984229</v>
      </c>
      <c r="V65" s="22">
        <f>((V20*Constants!$H78*Constants!$H96*(1-Constants!$H114))+(V20*Constants!$H78*Constants!$H130))</f>
        <v>36888658.133678004</v>
      </c>
      <c r="W65" s="22">
        <f>((W20*Constants!$H78*Constants!$H96*(1-Constants!$H114))+(W20*Constants!$H78*Constants!$H130))</f>
        <v>40816366.920982771</v>
      </c>
      <c r="X65" s="22">
        <f>((X20*Constants!$H78*Constants!$H96*(1-Constants!$H114))+(X20*Constants!$H78*Constants!$H130))</f>
        <v>43656919.259428479</v>
      </c>
      <c r="Y65" s="22">
        <f>((Y20*Constants!$H78*Constants!$H96*(1-Constants!$H114))+(Y20*Constants!$H78*Constants!$H130))</f>
        <v>45677104.261495814</v>
      </c>
      <c r="Z65" s="22">
        <f>((Z20*Constants!$H78*Constants!$H96*(1-Constants!$H114))+(Z20*Constants!$H78*Constants!$H130))</f>
        <v>48633713.378493287</v>
      </c>
      <c r="AA65" s="22">
        <f>((AA20*Constants!$H78*Constants!$H96*(1-Constants!$H114))+(AA20*Constants!$H78*Constants!$H130))</f>
        <v>45891232.801865354</v>
      </c>
      <c r="AB65" s="22">
        <f>((AB20*Constants!$H78*Constants!$H96*(1-Constants!$H114))+(AB20*Constants!$H78*Constants!$H130))</f>
        <v>47045433.899453834</v>
      </c>
      <c r="AC65" s="22">
        <f>((AC20*Constants!$H78*Constants!$H96*(1-Constants!$H114))+(AC20*Constants!$H78*Constants!$H130))</f>
        <v>48657312.573355399</v>
      </c>
      <c r="AD65" s="22">
        <f>((AD20*Constants!$H78*Constants!$H96*(1-Constants!$H114))+(AD20*Constants!$H78*Constants!$H130))</f>
        <v>50057349.692589387</v>
      </c>
      <c r="AE65" s="22">
        <f>((AE20*Constants!$H78*Constants!$H96*(1-Constants!$H114))+(AE20*Constants!$H78*Constants!$H130))</f>
        <v>51113266.29734017</v>
      </c>
      <c r="AF65" s="22">
        <f>((AF20*Constants!$H78*Constants!$H96*(1-Constants!$H114))+(AF20*Constants!$H78*Constants!$H130))</f>
        <v>51626373.97508087</v>
      </c>
      <c r="AG65" s="22">
        <f>((AG20*Constants!$H78*Constants!$H96*(1-Constants!$H114))+(AG20*Constants!$H78*Constants!$H130))</f>
        <v>51731739.655263253</v>
      </c>
      <c r="AH65" s="22">
        <f>((AH20*Constants!$H78*Constants!$H96*(1-Constants!$H114))+(AH20*Constants!$H78*Constants!$H130))</f>
        <v>51408839.118774019</v>
      </c>
      <c r="AI65" s="22">
        <f>((AI20*Constants!$H78*Constants!$H96*(1-Constants!$H114))+(AI20*Constants!$H78*Constants!$H130))</f>
        <v>51625201.523946851</v>
      </c>
      <c r="AJ65" s="22">
        <f>((AJ20*Constants!$H78*Constants!$H96*(1-Constants!$H114))+(AJ20*Constants!$H78*Constants!$H130))</f>
        <v>51735082.751039639</v>
      </c>
      <c r="AK65" s="22">
        <f>((AK20*Constants!$H78*Constants!$H96*(1-Constants!$H114))+(AK20*Constants!$H78*Constants!$H130))</f>
        <v>51809221.218216322</v>
      </c>
      <c r="AL65" s="22">
        <f>((AL20*Constants!$H78*Constants!$H96*(1-Constants!$H114))+(AL20*Constants!$H78*Constants!$H130))</f>
        <v>43416311.459745891</v>
      </c>
      <c r="AM65" s="22">
        <f>((AM20*Constants!$H78*Constants!$H96*(1-Constants!$H114))+(AM20*Constants!$H78*Constants!$H130))</f>
        <v>44829912.369861349</v>
      </c>
      <c r="AN65" s="22">
        <f>((AN20*Constants!$H78*Constants!$H96*(1-Constants!$H114))+(AN20*Constants!$H78*Constants!$H130))</f>
        <v>46133155.162939146</v>
      </c>
      <c r="AO65" s="22">
        <f>((AO20*Constants!$H78*Constants!$H96*(1-Constants!$H114))+(AO20*Constants!$H78*Constants!$H130))</f>
        <v>47475042.291501343</v>
      </c>
      <c r="AP65" s="22">
        <f>((AP20*Constants!$H78*Constants!$H96*(1-Constants!$H114))+(AP20*Constants!$H78*Constants!$H130))</f>
        <v>48962756.620549962</v>
      </c>
      <c r="AQ65" s="22">
        <f>((AQ20*Constants!$H78*Constants!$H96*(1-Constants!$H114))+(AQ20*Constants!$H78*Constants!$H130))</f>
        <v>50671879.915484756</v>
      </c>
      <c r="AR65" s="22">
        <f>((AR20*Constants!$H78*Constants!$H96*(1-Constants!$H114))+(AR20*Constants!$H78*Constants!$H130))</f>
        <v>52529256.647853345</v>
      </c>
      <c r="AS65" s="22">
        <f>((AS20*Constants!$H78*Constants!$H96*(1-Constants!$H114))+(AS20*Constants!$H78*Constants!$H130))</f>
        <v>54533803.244411707</v>
      </c>
      <c r="AT65" s="22">
        <f>((AT20*Constants!$H78*Constants!$H96*(1-Constants!$H114))+(AT20*Constants!$H78*Constants!$H130))</f>
        <v>56702489.804669626</v>
      </c>
      <c r="AU65" s="22">
        <f>((AU20*Constants!$H78*Constants!$H96*(1-Constants!$H114))+(AU20*Constants!$H78*Constants!$H130))</f>
        <v>59195251.650519721</v>
      </c>
      <c r="AV65" s="22">
        <f>((AV20*Constants!$H78*Constants!$H96*(1-Constants!$H114))+(AV20*Constants!$H78*Constants!$H130))</f>
        <v>61657209.321978413</v>
      </c>
      <c r="AW65" s="22">
        <f>((AW20*Constants!$H78*Constants!$H96*(1-Constants!$H114))+(AW20*Constants!$H78*Constants!$H130))</f>
        <v>64660357.974169657</v>
      </c>
      <c r="AX65" s="22">
        <f>((AX20*Constants!$H78*Constants!$H96*(1-Constants!$H114))+(AX20*Constants!$H78*Constants!$H130))</f>
        <v>67773274.296531826</v>
      </c>
      <c r="AY65" s="22">
        <f>((AY20*Constants!$H78*Constants!$H96*(1-Constants!$H114))+(AY20*Constants!$H78*Constants!$H130))</f>
        <v>70980346.777791068</v>
      </c>
      <c r="AZ65" s="22">
        <f>((AZ20*Constants!$H78*Constants!$H96*(1-Constants!$H114))+(AZ20*Constants!$H78*Constants!$H130))</f>
        <v>74265006.56159611</v>
      </c>
      <c r="BA65" s="22">
        <f>((BA20*Constants!$H78*Constants!$H96*(1-Constants!$H114))+(BA20*Constants!$H78*Constants!$H130))</f>
        <v>77268798.188128933</v>
      </c>
      <c r="BB65" s="22">
        <f>((BB20*Constants!$H78*Constants!$H96*(1-Constants!$H114))+(BB20*Constants!$H78*Constants!$H130))</f>
        <v>80461970.090801507</v>
      </c>
      <c r="BC65" s="22">
        <f>((BC20*Constants!$H78*Constants!$H96*(1-Constants!$H114))+(BC20*Constants!$H78*Constants!$H130))</f>
        <v>83895774.062141433</v>
      </c>
      <c r="BD65" s="22">
        <f>((BD20*Constants!$H78*Constants!$H96*(1-Constants!$H114))+(BD20*Constants!$H78*Constants!$H130))</f>
        <v>87498105.413583159</v>
      </c>
      <c r="BE65" s="22">
        <f>((BE20*Constants!$H78*Constants!$H96*(1-Constants!$H114))+(BE20*Constants!$H78*Constants!$H130))</f>
        <v>91005763.739406198</v>
      </c>
      <c r="BF65" s="22">
        <f>((BF20*Constants!$H78*Constants!$H96*(1-Constants!$H114))+(BF20*Constants!$H78*Constants!$H130))</f>
        <v>94563430.386026472</v>
      </c>
      <c r="BG65" s="22">
        <f>((BG20*Constants!$H78*Constants!$H96*(1-Constants!$H114))+(BG20*Constants!$H78*Constants!$H130))</f>
        <v>98304513.980890527</v>
      </c>
      <c r="BH65" s="22">
        <f>((BH20*Constants!$H78*Constants!$H96*(1-Constants!$H114))+(BH20*Constants!$H78*Constants!$H130))</f>
        <v>102234578.50642249</v>
      </c>
      <c r="BI65" s="22">
        <f>((BI20*Constants!$H78*Constants!$H96*(1-Constants!$H114))+(BI20*Constants!$H78*Constants!$H130))</f>
        <v>106402059.7003455</v>
      </c>
      <c r="BJ65" s="22">
        <f>((BJ20*Constants!$H78*Constants!$H96*(1-Constants!$H114))+(BJ20*Constants!$H78*Constants!$H130))</f>
        <v>110787782.95662916</v>
      </c>
      <c r="BK65" s="22">
        <f>((BK20*Constants!$H78*Constants!$H96*(1-Constants!$H114))+(BK20*Constants!$H78*Constants!$H130))</f>
        <v>115493948.00876585</v>
      </c>
      <c r="BL65" s="22">
        <f>((BL20*Constants!$H78*Constants!$H96*(1-Constants!$H114))+(BL20*Constants!$H78*Constants!$H130))</f>
        <v>120510043.21767843</v>
      </c>
      <c r="BM65" s="22">
        <f>((BM20*Constants!$H78*Constants!$H96*(1-Constants!$H114))+(BM20*Constants!$H78*Constants!$H130))</f>
        <v>125745145.55795275</v>
      </c>
      <c r="BN65" s="22">
        <f>((BN20*Constants!$H78*Constants!$H96*(1-Constants!$H114))+(BN20*Constants!$H78*Constants!$H130))</f>
        <v>130941974.49518403</v>
      </c>
      <c r="BO65" s="22">
        <f>((BO20*Constants!$H78*Constants!$H96*(1-Constants!$H114))+(BO20*Constants!$H78*Constants!$H130))</f>
        <v>136379988.2973524</v>
      </c>
      <c r="BP65" s="22">
        <f>((BP20*Constants!$H78*Constants!$H96*(1-Constants!$H114))+(BP20*Constants!$H78*Constants!$H130))</f>
        <v>142123444.31111428</v>
      </c>
    </row>
    <row r="66" spans="1:68" x14ac:dyDescent="0.25">
      <c r="A66" t="str">
        <f t="shared" ref="A66:A81" si="25">A65</f>
        <v>3C Aggregated and non-CO2 emissions on land</v>
      </c>
      <c r="B66" t="str">
        <f t="shared" ref="B66:B82" si="26">B65</f>
        <v>3C4 Direct N2O from managed soils (N2O)</v>
      </c>
      <c r="C66" t="s">
        <v>410</v>
      </c>
      <c r="D66" t="str">
        <f>D50</f>
        <v xml:space="preserve"> - TMR</v>
      </c>
      <c r="E66" t="str">
        <f t="shared" si="23"/>
        <v>Urine &amp; dung - TMR</v>
      </c>
      <c r="F66" t="str">
        <f t="shared" si="24"/>
        <v>kg N</v>
      </c>
      <c r="H66" s="22">
        <f>H5*Constants!$H63*(1-Constants!$H81)</f>
        <v>0</v>
      </c>
      <c r="I66" s="22">
        <f>I5*Constants!$H63*(1-Constants!$H81)</f>
        <v>0</v>
      </c>
      <c r="J66" s="22">
        <f>J5*Constants!$H63*(1-Constants!$H81)</f>
        <v>0</v>
      </c>
      <c r="K66" s="22">
        <f>K5*Constants!$H63*(1-Constants!$H81)</f>
        <v>0</v>
      </c>
      <c r="L66" s="22">
        <f>L5*Constants!$H63*(1-Constants!$H81)</f>
        <v>0</v>
      </c>
      <c r="M66" s="22">
        <f>M5*Constants!$H63*(1-Constants!$H81)</f>
        <v>0</v>
      </c>
      <c r="N66" s="22">
        <f>N5*Constants!$H63*(1-Constants!$H81)</f>
        <v>0</v>
      </c>
      <c r="O66" s="22">
        <f>O5*Constants!$H63*(1-Constants!$H81)</f>
        <v>0</v>
      </c>
      <c r="P66" s="22">
        <f>P5*Constants!$H63*(1-Constants!$H81)</f>
        <v>0</v>
      </c>
      <c r="Q66" s="22">
        <f>Q5*Constants!$H63*(1-Constants!$H81)</f>
        <v>0</v>
      </c>
      <c r="R66" s="22">
        <f>R5*Constants!$H63*(1-Constants!$H81)</f>
        <v>0</v>
      </c>
      <c r="S66" s="22">
        <f>S5*Constants!$H63*(1-Constants!$H81)</f>
        <v>0</v>
      </c>
      <c r="T66" s="22">
        <f>T5*Constants!$H63*(1-Constants!$H81)</f>
        <v>0</v>
      </c>
      <c r="U66" s="22">
        <f>U5*Constants!$H63*(1-Constants!$H81)</f>
        <v>0</v>
      </c>
      <c r="V66" s="22">
        <f>V5*Constants!$H63*(1-Constants!$H81)</f>
        <v>0</v>
      </c>
      <c r="W66" s="22">
        <f>W5*Constants!$H63*(1-Constants!$H81)</f>
        <v>0</v>
      </c>
      <c r="X66" s="22">
        <f>X5*Constants!$H63*(1-Constants!$H81)</f>
        <v>0</v>
      </c>
      <c r="Y66" s="22">
        <f>Y5*Constants!$H63*(1-Constants!$H81)</f>
        <v>0</v>
      </c>
      <c r="Z66" s="22">
        <f>Z5*Constants!$H63*(1-Constants!$H81)</f>
        <v>0</v>
      </c>
      <c r="AA66" s="22">
        <f>AA5*Constants!$H63*(1-Constants!$H81)</f>
        <v>0</v>
      </c>
      <c r="AB66" s="22">
        <f>AB5*Constants!$H63*(1-Constants!$H81)</f>
        <v>0</v>
      </c>
      <c r="AC66" s="22">
        <f>AC5*Constants!$H63*(1-Constants!$H81)</f>
        <v>0</v>
      </c>
      <c r="AD66" s="22">
        <f>AD5*Constants!$H63*(1-Constants!$H81)</f>
        <v>0</v>
      </c>
      <c r="AE66" s="22">
        <f>AE5*Constants!$H63*(1-Constants!$H81)</f>
        <v>0</v>
      </c>
      <c r="AF66" s="22">
        <f>AF5*Constants!$H63*(1-Constants!$H81)</f>
        <v>0</v>
      </c>
      <c r="AG66" s="22">
        <f>AG5*Constants!$H63*(1-Constants!$H81)</f>
        <v>0</v>
      </c>
      <c r="AH66" s="22">
        <f>AH5*Constants!$H63*(1-Constants!$H81)</f>
        <v>0</v>
      </c>
      <c r="AI66" s="22">
        <f>AI5*Constants!$H63*(1-Constants!$H81)</f>
        <v>0</v>
      </c>
      <c r="AJ66" s="22">
        <f>AJ5*Constants!$H63*(1-Constants!$H81)</f>
        <v>0</v>
      </c>
      <c r="AK66" s="22">
        <f>AK5*Constants!$H63*(1-Constants!$H81)</f>
        <v>0</v>
      </c>
      <c r="AL66" s="22">
        <f>AL5*Constants!$H63*(1-Constants!$H81)</f>
        <v>0</v>
      </c>
      <c r="AM66" s="22">
        <f>AM5*Constants!$H63*(1-Constants!$H81)</f>
        <v>0</v>
      </c>
      <c r="AN66" s="22">
        <f>AN5*Constants!$H63*(1-Constants!$H81)</f>
        <v>0</v>
      </c>
      <c r="AO66" s="22">
        <f>AO5*Constants!$H63*(1-Constants!$H81)</f>
        <v>0</v>
      </c>
      <c r="AP66" s="22">
        <f>AP5*Constants!$H63*(1-Constants!$H81)</f>
        <v>0</v>
      </c>
      <c r="AQ66" s="22">
        <f>AQ5*Constants!$H63*(1-Constants!$H81)</f>
        <v>0</v>
      </c>
      <c r="AR66" s="22">
        <f>AR5*Constants!$H63*(1-Constants!$H81)</f>
        <v>0</v>
      </c>
      <c r="AS66" s="22">
        <f>AS5*Constants!$H63*(1-Constants!$H81)</f>
        <v>0</v>
      </c>
      <c r="AT66" s="22">
        <f>AT5*Constants!$H63*(1-Constants!$H81)</f>
        <v>0</v>
      </c>
      <c r="AU66" s="22">
        <f>AU5*Constants!$H63*(1-Constants!$H81)</f>
        <v>0</v>
      </c>
      <c r="AV66" s="22">
        <f>AV5*Constants!$H63*(1-Constants!$H81)</f>
        <v>0</v>
      </c>
      <c r="AW66" s="22">
        <f>AW5*Constants!$H63*(1-Constants!$H81)</f>
        <v>0</v>
      </c>
      <c r="AX66" s="22">
        <f>AX5*Constants!$H63*(1-Constants!$H81)</f>
        <v>0</v>
      </c>
      <c r="AY66" s="22">
        <f>AY5*Constants!$H63*(1-Constants!$H81)</f>
        <v>0</v>
      </c>
      <c r="AZ66" s="22">
        <f>AZ5*Constants!$H63*(1-Constants!$H81)</f>
        <v>0</v>
      </c>
      <c r="BA66" s="22">
        <f>BA5*Constants!$H63*(1-Constants!$H81)</f>
        <v>0</v>
      </c>
      <c r="BB66" s="22">
        <f>BB5*Constants!$H63*(1-Constants!$H81)</f>
        <v>0</v>
      </c>
      <c r="BC66" s="22">
        <f>BC5*Constants!$H63*(1-Constants!$H81)</f>
        <v>0</v>
      </c>
      <c r="BD66" s="22">
        <f>BD5*Constants!$H63*(1-Constants!$H81)</f>
        <v>0</v>
      </c>
      <c r="BE66" s="22">
        <f>BE5*Constants!$H63*(1-Constants!$H81)</f>
        <v>0</v>
      </c>
      <c r="BF66" s="22">
        <f>BF5*Constants!$H63*(1-Constants!$H81)</f>
        <v>0</v>
      </c>
      <c r="BG66" s="22">
        <f>BG5*Constants!$H63*(1-Constants!$H81)</f>
        <v>0</v>
      </c>
      <c r="BH66" s="22">
        <f>BH5*Constants!$H63*(1-Constants!$H81)</f>
        <v>0</v>
      </c>
      <c r="BI66" s="22">
        <f>BI5*Constants!$H63*(1-Constants!$H81)</f>
        <v>0</v>
      </c>
      <c r="BJ66" s="22">
        <f>BJ5*Constants!$H63*(1-Constants!$H81)</f>
        <v>0</v>
      </c>
      <c r="BK66" s="22">
        <f>BK5*Constants!$H63*(1-Constants!$H81)</f>
        <v>0</v>
      </c>
      <c r="BL66" s="22">
        <f>BL5*Constants!$H63*(1-Constants!$H81)</f>
        <v>0</v>
      </c>
      <c r="BM66" s="22">
        <f>BM5*Constants!$H63*(1-Constants!$H81)</f>
        <v>0</v>
      </c>
      <c r="BN66" s="22">
        <f>BN5*Constants!$H63*(1-Constants!$H81)</f>
        <v>0</v>
      </c>
      <c r="BO66" s="22">
        <f>BO5*Constants!$H63*(1-Constants!$H81)</f>
        <v>0</v>
      </c>
      <c r="BP66" s="22">
        <f>BP5*Constants!$H63*(1-Constants!$H81)</f>
        <v>0</v>
      </c>
    </row>
    <row r="67" spans="1:68" x14ac:dyDescent="0.25">
      <c r="A67" t="str">
        <f t="shared" si="25"/>
        <v>3C Aggregated and non-CO2 emissions on land</v>
      </c>
      <c r="B67" t="str">
        <f t="shared" si="26"/>
        <v>3C4 Direct N2O from managed soils (N2O)</v>
      </c>
      <c r="C67" t="s">
        <v>410</v>
      </c>
      <c r="D67" t="str">
        <f t="shared" ref="D67:D81" si="27">D51</f>
        <v xml:space="preserve"> - Pasture</v>
      </c>
      <c r="E67" t="str">
        <f t="shared" ref="E67:E79" si="28">C67&amp;D67</f>
        <v>Urine &amp; dung - Pasture</v>
      </c>
      <c r="F67" t="str">
        <f t="shared" ref="F67:F79" si="29">F66</f>
        <v>kg N</v>
      </c>
      <c r="H67" s="22">
        <f>H6*Constants!$H64*(1-Constants!$H82)</f>
        <v>28033004.557779469</v>
      </c>
      <c r="I67" s="22">
        <f>I6*Constants!$H64*(1-Constants!$H82)</f>
        <v>32273269.726387568</v>
      </c>
      <c r="J67" s="22">
        <f>J6*Constants!$H64*(1-Constants!$H82)</f>
        <v>27920554.140614353</v>
      </c>
      <c r="K67" s="22">
        <f>K6*Constants!$H64*(1-Constants!$H82)</f>
        <v>29612364.349424317</v>
      </c>
      <c r="L67" s="22">
        <f>L6*Constants!$H64*(1-Constants!$H82)</f>
        <v>27470752.471953906</v>
      </c>
      <c r="M67" s="22">
        <f>M6*Constants!$H64*(1-Constants!$H82)</f>
        <v>29387463.51509409</v>
      </c>
      <c r="N67" s="22">
        <f>N6*Constants!$H64*(1-Constants!$H82)</f>
        <v>29499913.932259206</v>
      </c>
      <c r="O67" s="22">
        <f>O6*Constants!$H64*(1-Constants!$H82)</f>
        <v>28439847.640107188</v>
      </c>
      <c r="P67" s="22">
        <f>P6*Constants!$H64*(1-Constants!$H82)</f>
        <v>28102496.388611846</v>
      </c>
      <c r="Q67" s="22">
        <f>Q6*Constants!$H64*(1-Constants!$H82)</f>
        <v>27604682.18228538</v>
      </c>
      <c r="R67" s="22">
        <f>R6*Constants!$H64*(1-Constants!$H82)</f>
        <v>35544439.726842389</v>
      </c>
      <c r="S67" s="22">
        <f>S6*Constants!$H64*(1-Constants!$H82)</f>
        <v>35431989.309677273</v>
      </c>
      <c r="T67" s="22">
        <f>T6*Constants!$H64*(1-Constants!$H82)</f>
        <v>30897331.47590657</v>
      </c>
      <c r="U67" s="22">
        <f>U6*Constants!$H64*(1-Constants!$H82)</f>
        <v>28102496.388611846</v>
      </c>
      <c r="V67" s="22">
        <f>V6*Constants!$H64*(1-Constants!$H82)</f>
        <v>27133401.22045856</v>
      </c>
      <c r="W67" s="22">
        <f>W6*Constants!$H64*(1-Constants!$H82)</f>
        <v>29050112.263598755</v>
      </c>
      <c r="X67" s="22">
        <f>X6*Constants!$H64*(1-Constants!$H82)</f>
        <v>28418368.346940812</v>
      </c>
      <c r="Y67" s="22">
        <f>Y6*Constants!$H64*(1-Constants!$H82)</f>
        <v>28214946.805776961</v>
      </c>
      <c r="Z67" s="22">
        <f>Z6*Constants!$H64*(1-Constants!$H82)</f>
        <v>34553865.265522733</v>
      </c>
      <c r="AA67" s="22">
        <f>AA6*Constants!$H64*(1-Constants!$H82)</f>
        <v>35410510.016510896</v>
      </c>
      <c r="AB67" s="22">
        <f>AB6*Constants!$H64*(1-Constants!$H82)</f>
        <v>35410510.016510896</v>
      </c>
      <c r="AC67" s="22">
        <f>AC6*Constants!$H64*(1-Constants!$H82)</f>
        <v>34125542.890028648</v>
      </c>
      <c r="AD67" s="22">
        <f>AD6*Constants!$H64*(1-Constants!$H82)</f>
        <v>34288613.632179588</v>
      </c>
      <c r="AE67" s="22">
        <f>AE6*Constants!$H64*(1-Constants!$H82)</f>
        <v>34540475.114126071</v>
      </c>
      <c r="AF67" s="22">
        <f>AF6*Constants!$H64*(1-Constants!$H82)</f>
        <v>34729148.477852613</v>
      </c>
      <c r="AG67" s="22">
        <f>AG6*Constants!$H64*(1-Constants!$H82)</f>
        <v>34873294.513003983</v>
      </c>
      <c r="AH67" s="22">
        <f>AH6*Constants!$H64*(1-Constants!$H82)</f>
        <v>34968247.125963099</v>
      </c>
      <c r="AI67" s="22">
        <f>AI6*Constants!$H64*(1-Constants!$H82)</f>
        <v>35162360.711051017</v>
      </c>
      <c r="AJ67" s="22">
        <f>AJ6*Constants!$H64*(1-Constants!$H82)</f>
        <v>35348427.716883704</v>
      </c>
      <c r="AK67" s="22">
        <f>AK6*Constants!$H64*(1-Constants!$H82)</f>
        <v>35537654.697245918</v>
      </c>
      <c r="AL67" s="22">
        <f>AL6*Constants!$H64*(1-Constants!$H82)</f>
        <v>34410071.251733623</v>
      </c>
      <c r="AM67" s="22">
        <f>AM6*Constants!$H64*(1-Constants!$H82)</f>
        <v>34726883.671119548</v>
      </c>
      <c r="AN67" s="22">
        <f>AN6*Constants!$H64*(1-Constants!$H82)</f>
        <v>35033978.926839441</v>
      </c>
      <c r="AO67" s="22">
        <f>AO6*Constants!$H64*(1-Constants!$H82)</f>
        <v>35354352.716280937</v>
      </c>
      <c r="AP67" s="22">
        <f>AP6*Constants!$H64*(1-Constants!$H82)</f>
        <v>35704736.643419847</v>
      </c>
      <c r="AQ67" s="22">
        <f>AQ6*Constants!$H64*(1-Constants!$H82)</f>
        <v>36097092.446633309</v>
      </c>
      <c r="AR67" s="22">
        <f>AR6*Constants!$H64*(1-Constants!$H82)</f>
        <v>36485050.419639595</v>
      </c>
      <c r="AS67" s="22">
        <f>AS6*Constants!$H64*(1-Constants!$H82)</f>
        <v>36902763.568922907</v>
      </c>
      <c r="AT67" s="22">
        <f>AT6*Constants!$H64*(1-Constants!$H82)</f>
        <v>37352934.813347362</v>
      </c>
      <c r="AU67" s="22">
        <f>AU6*Constants!$H64*(1-Constants!$H82)</f>
        <v>37861367.995784208</v>
      </c>
      <c r="AV67" s="22">
        <f>AV6*Constants!$H64*(1-Constants!$H82)</f>
        <v>38370935.201240271</v>
      </c>
      <c r="AW67" s="22">
        <f>AW6*Constants!$H64*(1-Constants!$H82)</f>
        <v>38946105.999408349</v>
      </c>
      <c r="AX67" s="22">
        <f>AX6*Constants!$H64*(1-Constants!$H82)</f>
        <v>39545076.589444883</v>
      </c>
      <c r="AY67" s="22">
        <f>AY6*Constants!$H64*(1-Constants!$H82)</f>
        <v>40165270.292076446</v>
      </c>
      <c r="AZ67" s="22">
        <f>AZ6*Constants!$H64*(1-Constants!$H82)</f>
        <v>40803936.416557483</v>
      </c>
      <c r="BA67" s="22">
        <f>BA6*Constants!$H64*(1-Constants!$H82)</f>
        <v>41402232.119784608</v>
      </c>
      <c r="BB67" s="22">
        <f>BB6*Constants!$H64*(1-Constants!$H82)</f>
        <v>42010446.089935847</v>
      </c>
      <c r="BC67" s="22">
        <f>BC6*Constants!$H64*(1-Constants!$H82)</f>
        <v>42663455.060356088</v>
      </c>
      <c r="BD67" s="22">
        <f>BD6*Constants!$H64*(1-Constants!$H82)</f>
        <v>43349518.633645758</v>
      </c>
      <c r="BE67" s="22">
        <f>BE6*Constants!$H64*(1-Constants!$H82)</f>
        <v>44025103.812392727</v>
      </c>
      <c r="BF67" s="22">
        <f>BF6*Constants!$H64*(1-Constants!$H82)</f>
        <v>44714012.893990062</v>
      </c>
      <c r="BG67" s="22">
        <f>BG6*Constants!$H64*(1-Constants!$H82)</f>
        <v>45413696.149554335</v>
      </c>
      <c r="BH67" s="22">
        <f>BH6*Constants!$H64*(1-Constants!$H82)</f>
        <v>46149766.881851025</v>
      </c>
      <c r="BI67" s="22">
        <f>BI6*Constants!$H64*(1-Constants!$H82)</f>
        <v>46930459.344125569</v>
      </c>
      <c r="BJ67" s="22">
        <f>BJ6*Constants!$H64*(1-Constants!$H82)</f>
        <v>47752742.889726229</v>
      </c>
      <c r="BK67" s="22">
        <f>BK6*Constants!$H64*(1-Constants!$H82)</f>
        <v>48633970.928276584</v>
      </c>
      <c r="BL67" s="22">
        <f>BL6*Constants!$H64*(1-Constants!$H82)</f>
        <v>49547665.490827583</v>
      </c>
      <c r="BM67" s="22">
        <f>BM6*Constants!$H64*(1-Constants!$H82)</f>
        <v>50503600.384222947</v>
      </c>
      <c r="BN67" s="22">
        <f>BN6*Constants!$H64*(1-Constants!$H82)</f>
        <v>51458361.792583577</v>
      </c>
      <c r="BO67" s="22">
        <f>BO6*Constants!$H64*(1-Constants!$H82)</f>
        <v>52459251.923630089</v>
      </c>
      <c r="BP67" s="22">
        <f>BP6*Constants!$H64*(1-Constants!$H82)</f>
        <v>53517391.956285425</v>
      </c>
    </row>
    <row r="68" spans="1:68" x14ac:dyDescent="0.25">
      <c r="A68" t="str">
        <f t="shared" si="25"/>
        <v>3C Aggregated and non-CO2 emissions on land</v>
      </c>
      <c r="B68" t="str">
        <f t="shared" si="26"/>
        <v>3C4 Direct N2O from managed soils (N2O)</v>
      </c>
      <c r="C68" t="s">
        <v>410</v>
      </c>
      <c r="D68" t="str">
        <f t="shared" si="27"/>
        <v xml:space="preserve"> - Non-lactating</v>
      </c>
      <c r="E68" t="str">
        <f t="shared" si="28"/>
        <v>Urine &amp; dung - Non-lactating</v>
      </c>
      <c r="F68" t="str">
        <f t="shared" si="29"/>
        <v>kg N</v>
      </c>
      <c r="H68" s="22">
        <f>H7*Constants!$H65*(1-Constants!$H83)</f>
        <v>22536672.502374578</v>
      </c>
      <c r="I68" s="22">
        <f>I7*Constants!$H65*(1-Constants!$H83)</f>
        <v>25616525.79063822</v>
      </c>
      <c r="J68" s="22">
        <f>J7*Constants!$H65*(1-Constants!$H83)</f>
        <v>22158361.515645087</v>
      </c>
      <c r="K68" s="22">
        <f>K7*Constants!$H65*(1-Constants!$H83)</f>
        <v>23189426.39460196</v>
      </c>
      <c r="L68" s="22">
        <f>L7*Constants!$H65*(1-Constants!$H83)</f>
        <v>20645117.568727165</v>
      </c>
      <c r="M68" s="22">
        <f>M7*Constants!$H65*(1-Constants!$H83)</f>
        <v>22432804.421142988</v>
      </c>
      <c r="N68" s="22">
        <f>N7*Constants!$H65*(1-Constants!$H83)</f>
        <v>22811115.407872468</v>
      </c>
      <c r="O68" s="22">
        <f>O7*Constants!$H65*(1-Constants!$H83)</f>
        <v>22041152.085806556</v>
      </c>
      <c r="P68" s="22">
        <f>P7*Constants!$H65*(1-Constants!$H83)</f>
        <v>20906219.125618115</v>
      </c>
      <c r="Q68" s="22">
        <f>Q7*Constants!$H65*(1-Constants!$H83)</f>
        <v>22027810.737199616</v>
      </c>
      <c r="R68" s="22">
        <f>R7*Constants!$H65*(1-Constants!$H83)</f>
        <v>27300344.561822459</v>
      </c>
      <c r="S68" s="22">
        <f>S7*Constants!$H65*(1-Constants!$H83)</f>
        <v>26922033.575092979</v>
      </c>
      <c r="T68" s="22">
        <f>T7*Constants!$H65*(1-Constants!$H83)</f>
        <v>24716011.690126833</v>
      </c>
      <c r="U68" s="22">
        <f>U7*Constants!$H65*(1-Constants!$H83)</f>
        <v>20906219.125618115</v>
      </c>
      <c r="V68" s="22">
        <f>V7*Constants!$H65*(1-Constants!$H83)</f>
        <v>19510184.608538713</v>
      </c>
      <c r="W68" s="22">
        <f>W7*Constants!$H65*(1-Constants!$H83)</f>
        <v>21297871.460954543</v>
      </c>
      <c r="X68" s="22">
        <f>X7*Constants!$H65*(1-Constants!$H83)</f>
        <v>21036769.90406359</v>
      </c>
      <c r="Y68" s="22">
        <f>Y7*Constants!$H65*(1-Constants!$H83)</f>
        <v>21284530.112347595</v>
      </c>
      <c r="Z68" s="22">
        <f>Z7*Constants!$H65*(1-Constants!$H83)</f>
        <v>24899927.863000095</v>
      </c>
      <c r="AA68" s="22">
        <f>AA7*Constants!$H65*(1-Constants!$H83)</f>
        <v>25917651.393350005</v>
      </c>
      <c r="AB68" s="22">
        <f>AB7*Constants!$H65*(1-Constants!$H83)</f>
        <v>25917651.393350005</v>
      </c>
      <c r="AC68" s="22">
        <f>AC7*Constants!$H65*(1-Constants!$H83)</f>
        <v>24391066.097825136</v>
      </c>
      <c r="AD68" s="22">
        <f>AD7*Constants!$H65*(1-Constants!$H83)</f>
        <v>23350780.489217918</v>
      </c>
      <c r="AE68" s="22">
        <f>AE7*Constants!$H65*(1-Constants!$H83)</f>
        <v>23522299.881681837</v>
      </c>
      <c r="AF68" s="22">
        <f>AF7*Constants!$H65*(1-Constants!$H83)</f>
        <v>23650787.733299322</v>
      </c>
      <c r="AG68" s="22">
        <f>AG7*Constants!$H65*(1-Constants!$H83)</f>
        <v>23748952.169497225</v>
      </c>
      <c r="AH68" s="22">
        <f>AH7*Constants!$H65*(1-Constants!$H83)</f>
        <v>23813615.548596498</v>
      </c>
      <c r="AI68" s="22">
        <f>AI7*Constants!$H65*(1-Constants!$H83)</f>
        <v>23945808.228183556</v>
      </c>
      <c r="AJ68" s="22">
        <f>AJ7*Constants!$H65*(1-Constants!$H83)</f>
        <v>24072521.1322424</v>
      </c>
      <c r="AK68" s="22">
        <f>AK7*Constants!$H65*(1-Constants!$H83)</f>
        <v>24201386.000576675</v>
      </c>
      <c r="AL68" s="22">
        <f>AL7*Constants!$H65*(1-Constants!$H83)</f>
        <v>23433493.959157914</v>
      </c>
      <c r="AM68" s="22">
        <f>AM7*Constants!$H65*(1-Constants!$H83)</f>
        <v>23649245.384418096</v>
      </c>
      <c r="AN68" s="22">
        <f>AN7*Constants!$H65*(1-Constants!$H83)</f>
        <v>23858379.354736041</v>
      </c>
      <c r="AO68" s="22">
        <f>AO7*Constants!$H65*(1-Constants!$H83)</f>
        <v>24076556.09737128</v>
      </c>
      <c r="AP68" s="22">
        <f>AP7*Constants!$H65*(1-Constants!$H83)</f>
        <v>24315169.949110456</v>
      </c>
      <c r="AQ68" s="22">
        <f>AQ7*Constants!$H65*(1-Constants!$H83)</f>
        <v>24582366.935631663</v>
      </c>
      <c r="AR68" s="22">
        <f>AR7*Constants!$H65*(1-Constants!$H83)</f>
        <v>24846568.96969144</v>
      </c>
      <c r="AS68" s="22">
        <f>AS7*Constants!$H65*(1-Constants!$H83)</f>
        <v>25131034.4823834</v>
      </c>
      <c r="AT68" s="22">
        <f>AT7*Constants!$H65*(1-Constants!$H83)</f>
        <v>25437604.179947618</v>
      </c>
      <c r="AU68" s="22">
        <f>AU7*Constants!$H65*(1-Constants!$H83)</f>
        <v>25783850.655931562</v>
      </c>
      <c r="AV68" s="22">
        <f>AV7*Constants!$H65*(1-Constants!$H83)</f>
        <v>26130869.409350682</v>
      </c>
      <c r="AW68" s="22">
        <f>AW7*Constants!$H65*(1-Constants!$H83)</f>
        <v>26522564.658272218</v>
      </c>
      <c r="AX68" s="22">
        <f>AX7*Constants!$H65*(1-Constants!$H83)</f>
        <v>26930467.72829644</v>
      </c>
      <c r="AY68" s="22">
        <f>AY7*Constants!$H65*(1-Constants!$H83)</f>
        <v>27352823.883208282</v>
      </c>
      <c r="AZ68" s="22">
        <f>AZ7*Constants!$H65*(1-Constants!$H83)</f>
        <v>27787759.883789539</v>
      </c>
      <c r="BA68" s="22">
        <f>BA7*Constants!$H65*(1-Constants!$H83)</f>
        <v>28195203.351278916</v>
      </c>
      <c r="BB68" s="22">
        <f>BB7*Constants!$H65*(1-Constants!$H83)</f>
        <v>28609401.22640527</v>
      </c>
      <c r="BC68" s="22">
        <f>BC7*Constants!$H65*(1-Constants!$H83)</f>
        <v>29054104.803206138</v>
      </c>
      <c r="BD68" s="22">
        <f>BD7*Constants!$H65*(1-Constants!$H83)</f>
        <v>29521318.790723577</v>
      </c>
      <c r="BE68" s="22">
        <f>BE7*Constants!$H65*(1-Constants!$H83)</f>
        <v>29981396.919863343</v>
      </c>
      <c r="BF68" s="22">
        <f>BF7*Constants!$H65*(1-Constants!$H83)</f>
        <v>30450548.718007524</v>
      </c>
      <c r="BG68" s="22">
        <f>BG7*Constants!$H65*(1-Constants!$H83)</f>
        <v>30927037.802341033</v>
      </c>
      <c r="BH68" s="22">
        <f>BH7*Constants!$H65*(1-Constants!$H83)</f>
        <v>31428307.007295627</v>
      </c>
      <c r="BI68" s="22">
        <f>BI7*Constants!$H65*(1-Constants!$H83)</f>
        <v>31959963.915670935</v>
      </c>
      <c r="BJ68" s="22">
        <f>BJ7*Constants!$H65*(1-Constants!$H83)</f>
        <v>32519944.636361163</v>
      </c>
      <c r="BK68" s="22">
        <f>BK7*Constants!$H65*(1-Constants!$H83)</f>
        <v>33120066.96005353</v>
      </c>
      <c r="BL68" s="22">
        <f>BL7*Constants!$H65*(1-Constants!$H83)</f>
        <v>33742299.208729148</v>
      </c>
      <c r="BM68" s="22">
        <f>BM7*Constants!$H65*(1-Constants!$H83)</f>
        <v>34393297.411721818</v>
      </c>
      <c r="BN68" s="22">
        <f>BN7*Constants!$H65*(1-Constants!$H83)</f>
        <v>35043496.463376753</v>
      </c>
      <c r="BO68" s="22">
        <f>BO7*Constants!$H65*(1-Constants!$H83)</f>
        <v>35725109.490797542</v>
      </c>
      <c r="BP68" s="22">
        <f>BP7*Constants!$H65*(1-Constants!$H83)</f>
        <v>36445710.092922784</v>
      </c>
    </row>
    <row r="69" spans="1:68" x14ac:dyDescent="0.25">
      <c r="A69" t="str">
        <f t="shared" si="25"/>
        <v>3C Aggregated and non-CO2 emissions on land</v>
      </c>
      <c r="B69" t="str">
        <f t="shared" si="26"/>
        <v>3C4 Direct N2O from managed soils (N2O)</v>
      </c>
      <c r="C69" t="s">
        <v>410</v>
      </c>
      <c r="D69" t="str">
        <f t="shared" si="27"/>
        <v xml:space="preserve"> - Commercial cattle</v>
      </c>
      <c r="E69" t="str">
        <f t="shared" si="28"/>
        <v>Urine &amp; dung - Commercial cattle</v>
      </c>
      <c r="F69" t="str">
        <f t="shared" si="29"/>
        <v>kg N</v>
      </c>
      <c r="H69" s="22">
        <f>H8*Constants!$H66*(1-Constants!$H84)</f>
        <v>559255370.31703663</v>
      </c>
      <c r="I69" s="22">
        <f>I8*Constants!$H66*(1-Constants!$H84)</f>
        <v>535116762.9675647</v>
      </c>
      <c r="J69" s="22">
        <f>J8*Constants!$H66*(1-Constants!$H84)</f>
        <v>534922334.95159727</v>
      </c>
      <c r="K69" s="22">
        <f>K8*Constants!$H66*(1-Constants!$H84)</f>
        <v>500438844.55845898</v>
      </c>
      <c r="L69" s="22">
        <f>L8*Constants!$H66*(1-Constants!$H84)</f>
        <v>515525474.15187901</v>
      </c>
      <c r="M69" s="22">
        <f>M8*Constants!$H66*(1-Constants!$H84)</f>
        <v>527246940.36344963</v>
      </c>
      <c r="N69" s="22">
        <f>N8*Constants!$H66*(1-Constants!$H84)</f>
        <v>549118861.60271931</v>
      </c>
      <c r="O69" s="22">
        <f>O8*Constants!$H66*(1-Constants!$H84)</f>
        <v>569920198.19710505</v>
      </c>
      <c r="P69" s="22">
        <f>P8*Constants!$H66*(1-Constants!$H84)</f>
        <v>574856372.76282609</v>
      </c>
      <c r="Q69" s="22">
        <f>Q8*Constants!$H66*(1-Constants!$H84)</f>
        <v>565554181.73728025</v>
      </c>
      <c r="R69" s="22">
        <f>R8*Constants!$H66*(1-Constants!$H84)</f>
        <v>527135369.85639662</v>
      </c>
      <c r="S69" s="22">
        <f>S8*Constants!$H66*(1-Constants!$H84)</f>
        <v>529874589.8788234</v>
      </c>
      <c r="T69" s="22">
        <f>T8*Constants!$H66*(1-Constants!$H84)</f>
        <v>493847980.92857671</v>
      </c>
      <c r="U69" s="22">
        <f>U8*Constants!$H66*(1-Constants!$H84)</f>
        <v>506765548.60546583</v>
      </c>
      <c r="V69" s="22">
        <f>V8*Constants!$H66*(1-Constants!$H84)</f>
        <v>511437563.5883112</v>
      </c>
      <c r="W69" s="22">
        <f>W8*Constants!$H66*(1-Constants!$H84)</f>
        <v>515775687.42137289</v>
      </c>
      <c r="X69" s="22">
        <f>X8*Constants!$H66*(1-Constants!$H84)</f>
        <v>504026328.58303899</v>
      </c>
      <c r="Y69" s="22">
        <f>Y8*Constants!$H66*(1-Constants!$H84)</f>
        <v>518793013.34005684</v>
      </c>
      <c r="Z69" s="22">
        <f>Z8*Constants!$H66*(1-Constants!$H84)</f>
        <v>504376811.74388993</v>
      </c>
      <c r="AA69" s="22">
        <f>AA8*Constants!$H66*(1-Constants!$H84)</f>
        <v>495907981.30717754</v>
      </c>
      <c r="AB69" s="22">
        <f>AB8*Constants!$H66*(1-Constants!$H84)</f>
        <v>494349036.41895235</v>
      </c>
      <c r="AC69" s="22">
        <f>AC8*Constants!$H66*(1-Constants!$H84)</f>
        <v>492573930.50973994</v>
      </c>
      <c r="AD69" s="22">
        <f>AD8*Constants!$H66*(1-Constants!$H84)</f>
        <v>488621602.29495442</v>
      </c>
      <c r="AE69" s="22">
        <f>AE8*Constants!$H66*(1-Constants!$H84)</f>
        <v>486972985.63178474</v>
      </c>
      <c r="AF69" s="22">
        <f>AF8*Constants!$H66*(1-Constants!$H84)</f>
        <v>481788443.19502276</v>
      </c>
      <c r="AG69" s="22">
        <f>AG8*Constants!$H66*(1-Constants!$H84)</f>
        <v>474120425.14897513</v>
      </c>
      <c r="AH69" s="22">
        <f>AH8*Constants!$H66*(1-Constants!$H84)</f>
        <v>463990500.31850326</v>
      </c>
      <c r="AI69" s="22">
        <f>AI8*Constants!$H66*(1-Constants!$H84)</f>
        <v>457357837.14718461</v>
      </c>
      <c r="AJ69" s="22">
        <f>AJ8*Constants!$H66*(1-Constants!$H84)</f>
        <v>450110544.11857349</v>
      </c>
      <c r="AK69" s="22">
        <f>AK8*Constants!$H66*(1-Constants!$H84)</f>
        <v>442696779.43858653</v>
      </c>
      <c r="AL69" s="22">
        <f>AL8*Constants!$H66*(1-Constants!$H84)</f>
        <v>387863169.04148805</v>
      </c>
      <c r="AM69" s="22">
        <f>AM8*Constants!$H66*(1-Constants!$H84)</f>
        <v>392472371.26849359</v>
      </c>
      <c r="AN69" s="22">
        <f>AN8*Constants!$H66*(1-Constants!$H84)</f>
        <v>396362028.81441921</v>
      </c>
      <c r="AO69" s="22">
        <f>AO8*Constants!$H66*(1-Constants!$H84)</f>
        <v>400357182.15001297</v>
      </c>
      <c r="AP69" s="22">
        <f>AP8*Constants!$H66*(1-Constants!$H84)</f>
        <v>405022007.11847258</v>
      </c>
      <c r="AQ69" s="22">
        <f>AQ8*Constants!$H66*(1-Constants!$H84)</f>
        <v>410727702.66958433</v>
      </c>
      <c r="AR69" s="22">
        <f>AR8*Constants!$H66*(1-Constants!$H84)</f>
        <v>416691751.28756982</v>
      </c>
      <c r="AS69" s="22">
        <f>AS8*Constants!$H66*(1-Constants!$H84)</f>
        <v>423245877.75414926</v>
      </c>
      <c r="AT69" s="22">
        <f>AT8*Constants!$H66*(1-Constants!$H84)</f>
        <v>430450101.16647273</v>
      </c>
      <c r="AU69" s="22">
        <f>AU8*Constants!$H66*(1-Constants!$H84)</f>
        <v>439083381.66794926</v>
      </c>
      <c r="AV69" s="22">
        <f>AV8*Constants!$H66*(1-Constants!$H84)</f>
        <v>447317215.76453388</v>
      </c>
      <c r="AW69" s="22">
        <f>AW8*Constants!$H66*(1-Constants!$H84)</f>
        <v>453865977.0547362</v>
      </c>
      <c r="AX69" s="22">
        <f>AX8*Constants!$H66*(1-Constants!$H84)</f>
        <v>460407884.16811651</v>
      </c>
      <c r="AY69" s="22">
        <f>AY8*Constants!$H66*(1-Constants!$H84)</f>
        <v>466840587.9689579</v>
      </c>
      <c r="AZ69" s="22">
        <f>AZ8*Constants!$H66*(1-Constants!$H84)</f>
        <v>473063890.13980979</v>
      </c>
      <c r="BA69" s="22">
        <f>BA8*Constants!$H66*(1-Constants!$H84)</f>
        <v>477444230.9995628</v>
      </c>
      <c r="BB69" s="22">
        <f>BB8*Constants!$H66*(1-Constants!$H84)</f>
        <v>481915439.08845264</v>
      </c>
      <c r="BC69" s="22">
        <f>BC8*Constants!$H66*(1-Constants!$H84)</f>
        <v>486880847.31069142</v>
      </c>
      <c r="BD69" s="22">
        <f>BD8*Constants!$H66*(1-Constants!$H84)</f>
        <v>491971547.32570374</v>
      </c>
      <c r="BE69" s="22">
        <f>BE8*Constants!$H66*(1-Constants!$H84)</f>
        <v>496058014.69049555</v>
      </c>
      <c r="BF69" s="22">
        <f>BF8*Constants!$H66*(1-Constants!$H84)</f>
        <v>499754401.86615717</v>
      </c>
      <c r="BG69" s="22">
        <f>BG8*Constants!$H66*(1-Constants!$H84)</f>
        <v>505960719.24019772</v>
      </c>
      <c r="BH69" s="22">
        <f>BH8*Constants!$H66*(1-Constants!$H84)</f>
        <v>512422096.45890892</v>
      </c>
      <c r="BI69" s="22">
        <f>BI8*Constants!$H66*(1-Constants!$H84)</f>
        <v>519286276.92850894</v>
      </c>
      <c r="BJ69" s="22">
        <f>BJ8*Constants!$H66*(1-Constants!$H84)</f>
        <v>526434427.07508504</v>
      </c>
      <c r="BK69" s="22">
        <f>BK8*Constants!$H66*(1-Constants!$H84)</f>
        <v>534199994.83489293</v>
      </c>
      <c r="BL69" s="22">
        <f>BL8*Constants!$H66*(1-Constants!$H84)</f>
        <v>542313479.4560138</v>
      </c>
      <c r="BM69" s="22">
        <f>BM8*Constants!$H66*(1-Constants!$H84)</f>
        <v>550567798.35434651</v>
      </c>
      <c r="BN69" s="22">
        <f>BN8*Constants!$H66*(1-Constants!$H84)</f>
        <v>558029889.98928511</v>
      </c>
      <c r="BO69" s="22">
        <f>BO8*Constants!$H66*(1-Constants!$H84)</f>
        <v>565662535.71824121</v>
      </c>
      <c r="BP69" s="22">
        <f>BP8*Constants!$H66*(1-Constants!$H84)</f>
        <v>573635160.02443254</v>
      </c>
    </row>
    <row r="70" spans="1:68" x14ac:dyDescent="0.25">
      <c r="A70" t="str">
        <f t="shared" si="25"/>
        <v>3C Aggregated and non-CO2 emissions on land</v>
      </c>
      <c r="B70" t="str">
        <f t="shared" si="26"/>
        <v>3C4 Direct N2O from managed soils (N2O)</v>
      </c>
      <c r="C70" t="s">
        <v>410</v>
      </c>
      <c r="D70" t="str">
        <f t="shared" si="27"/>
        <v xml:space="preserve"> - Subsistence cattle</v>
      </c>
      <c r="E70" t="str">
        <f t="shared" si="28"/>
        <v>Urine &amp; dung - Subsistence cattle</v>
      </c>
      <c r="F70" t="str">
        <f t="shared" si="29"/>
        <v>kg N</v>
      </c>
      <c r="H70" s="22">
        <f>H9*Constants!$H67*(1-Constants!$H85)</f>
        <v>267001859.90719384</v>
      </c>
      <c r="I70" s="22">
        <f>I9*Constants!$H67*(1-Constants!$H85)</f>
        <v>283289555.06493115</v>
      </c>
      <c r="J70" s="22">
        <f>J9*Constants!$H67*(1-Constants!$H85)</f>
        <v>296668733.23021537</v>
      </c>
      <c r="K70" s="22">
        <f>K9*Constants!$H67*(1-Constants!$H85)</f>
        <v>293178512.83927161</v>
      </c>
      <c r="L70" s="22">
        <f>L9*Constants!$H67*(1-Constants!$H85)</f>
        <v>255367791.93738148</v>
      </c>
      <c r="M70" s="22">
        <f>M9*Constants!$H67*(1-Constants!$H85)</f>
        <v>246642240.96002218</v>
      </c>
      <c r="N70" s="22">
        <f>N9*Constants!$H67*(1-Constants!$H85)</f>
        <v>253622681.74190959</v>
      </c>
      <c r="O70" s="22">
        <f>O9*Constants!$H67*(1-Constants!$H85)</f>
        <v>265256749.71172196</v>
      </c>
      <c r="P70" s="22">
        <f>P9*Constants!$H67*(1-Constants!$H85)</f>
        <v>281544444.86945933</v>
      </c>
      <c r="Q70" s="22">
        <f>Q9*Constants!$H67*(1-Constants!$H85)</f>
        <v>293178512.83927161</v>
      </c>
      <c r="R70" s="22">
        <f>R9*Constants!$H67*(1-Constants!$H85)</f>
        <v>286198072.05738419</v>
      </c>
      <c r="S70" s="22">
        <f>S9*Constants!$H67*(1-Constants!$H85)</f>
        <v>279217631.27549684</v>
      </c>
      <c r="T70" s="22">
        <f>T9*Constants!$H67*(1-Constants!$H85)</f>
        <v>316446648.77889633</v>
      </c>
      <c r="U70" s="22">
        <f>U9*Constants!$H67*(1-Constants!$H85)</f>
        <v>324008792.95927441</v>
      </c>
      <c r="V70" s="22">
        <f>V9*Constants!$H67*(1-Constants!$H85)</f>
        <v>318773462.37285882</v>
      </c>
      <c r="W70" s="22">
        <f>W9*Constants!$H67*(1-Constants!$H85)</f>
        <v>309466207.99700898</v>
      </c>
      <c r="X70" s="22">
        <f>X9*Constants!$H67*(1-Constants!$H85)</f>
        <v>319355165.77134943</v>
      </c>
      <c r="Y70" s="22">
        <f>Y9*Constants!$H67*(1-Constants!$H85)</f>
        <v>332152640.5381431</v>
      </c>
      <c r="Z70" s="22">
        <f>Z9*Constants!$H67*(1-Constants!$H85)</f>
        <v>326917309.95172751</v>
      </c>
      <c r="AA70" s="22">
        <f>AA9*Constants!$H67*(1-Constants!$H85)</f>
        <v>323427089.5607838</v>
      </c>
      <c r="AB70" s="22">
        <f>AB9*Constants!$H67*(1-Constants!$H85)</f>
        <v>318773462.37285882</v>
      </c>
      <c r="AC70" s="22">
        <f>AC9*Constants!$H67*(1-Constants!$H85)</f>
        <v>321100275.96682131</v>
      </c>
      <c r="AD70" s="22">
        <f>AD9*Constants!$H67*(1-Constants!$H85)</f>
        <v>307245658.24708176</v>
      </c>
      <c r="AE70" s="22">
        <f>AE9*Constants!$H67*(1-Constants!$H85)</f>
        <v>306209006.75747585</v>
      </c>
      <c r="AF70" s="22">
        <f>AF9*Constants!$H67*(1-Constants!$H85)</f>
        <v>302948962.28500235</v>
      </c>
      <c r="AG70" s="22">
        <f>AG9*Constants!$H67*(1-Constants!$H85)</f>
        <v>298127306.34317964</v>
      </c>
      <c r="AH70" s="22">
        <f>AH9*Constants!$H67*(1-Constants!$H85)</f>
        <v>291757601.42650461</v>
      </c>
      <c r="AI70" s="22">
        <f>AI9*Constants!$H67*(1-Constants!$H85)</f>
        <v>287586977.46630394</v>
      </c>
      <c r="AJ70" s="22">
        <f>AJ9*Constants!$H67*(1-Constants!$H85)</f>
        <v>283029873.75532031</v>
      </c>
      <c r="AK70" s="22">
        <f>AK9*Constants!$H67*(1-Constants!$H85)</f>
        <v>278368092.53547043</v>
      </c>
      <c r="AL70" s="22">
        <f>AL9*Constants!$H67*(1-Constants!$H85)</f>
        <v>243888674.02144682</v>
      </c>
      <c r="AM70" s="22">
        <f>AM9*Constants!$H67*(1-Constants!$H85)</f>
        <v>246786944.1052475</v>
      </c>
      <c r="AN70" s="22">
        <f>AN9*Constants!$H67*(1-Constants!$H85)</f>
        <v>249232763.91231412</v>
      </c>
      <c r="AO70" s="22">
        <f>AO9*Constants!$H67*(1-Constants!$H85)</f>
        <v>251744919.55714694</v>
      </c>
      <c r="AP70" s="22">
        <f>AP9*Constants!$H67*(1-Constants!$H85)</f>
        <v>254678165.26570779</v>
      </c>
      <c r="AQ70" s="22">
        <f>AQ9*Constants!$H67*(1-Constants!$H85)</f>
        <v>258265911.23748857</v>
      </c>
      <c r="AR70" s="22">
        <f>AR9*Constants!$H67*(1-Constants!$H85)</f>
        <v>262016109.82642528</v>
      </c>
      <c r="AS70" s="22">
        <f>AS9*Constants!$H67*(1-Constants!$H85)</f>
        <v>266137349.84324154</v>
      </c>
      <c r="AT70" s="22">
        <f>AT9*Constants!$H67*(1-Constants!$H85)</f>
        <v>270667371.34471047</v>
      </c>
      <c r="AU70" s="22">
        <f>AU9*Constants!$H67*(1-Constants!$H85)</f>
        <v>276095985.09827656</v>
      </c>
      <c r="AV70" s="22">
        <f>AV9*Constants!$H67*(1-Constants!$H85)</f>
        <v>281273426.62976098</v>
      </c>
      <c r="AW70" s="22">
        <f>AW9*Constants!$H67*(1-Constants!$H85)</f>
        <v>285391293.01933712</v>
      </c>
      <c r="AX70" s="22">
        <f>AX9*Constants!$H67*(1-Constants!$H85)</f>
        <v>289504849.4969905</v>
      </c>
      <c r="AY70" s="22">
        <f>AY9*Constants!$H67*(1-Constants!$H85)</f>
        <v>293549738.84350163</v>
      </c>
      <c r="AZ70" s="22">
        <f>AZ9*Constants!$H67*(1-Constants!$H85)</f>
        <v>297462956.27591401</v>
      </c>
      <c r="BA70" s="22">
        <f>BA9*Constants!$H67*(1-Constants!$H85)</f>
        <v>300217318.14710486</v>
      </c>
      <c r="BB70" s="22">
        <f>BB9*Constants!$H67*(1-Constants!$H85)</f>
        <v>303028817.40538228</v>
      </c>
      <c r="BC70" s="22">
        <f>BC9*Constants!$H67*(1-Constants!$H85)</f>
        <v>306151070.10674018</v>
      </c>
      <c r="BD70" s="22">
        <f>BD9*Constants!$H67*(1-Constants!$H85)</f>
        <v>309352106.38860875</v>
      </c>
      <c r="BE70" s="22">
        <f>BE9*Constants!$H67*(1-Constants!$H85)</f>
        <v>311921680.36876756</v>
      </c>
      <c r="BF70" s="22">
        <f>BF9*Constants!$H67*(1-Constants!$H85)</f>
        <v>314245971.61088234</v>
      </c>
      <c r="BG70" s="22">
        <f>BG9*Constants!$H67*(1-Constants!$H85)</f>
        <v>318148508.98933887</v>
      </c>
      <c r="BH70" s="22">
        <f>BH9*Constants!$H67*(1-Constants!$H85)</f>
        <v>322211428.20416975</v>
      </c>
      <c r="BI70" s="22">
        <f>BI9*Constants!$H67*(1-Constants!$H85)</f>
        <v>326527630.4285568</v>
      </c>
      <c r="BJ70" s="22">
        <f>BJ9*Constants!$H67*(1-Constants!$H85)</f>
        <v>331022393.01522607</v>
      </c>
      <c r="BK70" s="22">
        <f>BK9*Constants!$H67*(1-Constants!$H85)</f>
        <v>335905388.29586506</v>
      </c>
      <c r="BL70" s="22">
        <f>BL9*Constants!$H67*(1-Constants!$H85)</f>
        <v>341007153.97995573</v>
      </c>
      <c r="BM70" s="22">
        <f>BM9*Constants!$H67*(1-Constants!$H85)</f>
        <v>346197476.37132776</v>
      </c>
      <c r="BN70" s="22">
        <f>BN9*Constants!$H67*(1-Constants!$H85)</f>
        <v>350889645.61949122</v>
      </c>
      <c r="BO70" s="22">
        <f>BO9*Constants!$H67*(1-Constants!$H85)</f>
        <v>355689059.41975194</v>
      </c>
      <c r="BP70" s="22">
        <f>BP9*Constants!$H67*(1-Constants!$H85)</f>
        <v>360702252.02402359</v>
      </c>
    </row>
    <row r="71" spans="1:68" x14ac:dyDescent="0.25">
      <c r="A71" t="str">
        <f t="shared" si="25"/>
        <v>3C Aggregated and non-CO2 emissions on land</v>
      </c>
      <c r="B71" t="str">
        <f t="shared" si="26"/>
        <v>3C4 Direct N2O from managed soils (N2O)</v>
      </c>
      <c r="C71" t="s">
        <v>410</v>
      </c>
      <c r="D71" t="str">
        <f t="shared" si="27"/>
        <v xml:space="preserve"> - Feedlot</v>
      </c>
      <c r="E71" t="str">
        <f t="shared" si="28"/>
        <v>Urine &amp; dung - Feedlot</v>
      </c>
      <c r="F71" t="str">
        <f t="shared" si="29"/>
        <v>kg N</v>
      </c>
      <c r="H71" s="22">
        <f>H10*Constants!$H68*(1-Constants!$H86)</f>
        <v>0</v>
      </c>
      <c r="I71" s="22">
        <f>I10*Constants!$H68*(1-Constants!$H86)</f>
        <v>0</v>
      </c>
      <c r="J71" s="22">
        <f>J10*Constants!$H68*(1-Constants!$H86)</f>
        <v>0</v>
      </c>
      <c r="K71" s="22">
        <f>K10*Constants!$H68*(1-Constants!$H86)</f>
        <v>0</v>
      </c>
      <c r="L71" s="22">
        <f>L10*Constants!$H68*(1-Constants!$H86)</f>
        <v>0</v>
      </c>
      <c r="M71" s="22">
        <f>M10*Constants!$H68*(1-Constants!$H86)</f>
        <v>0</v>
      </c>
      <c r="N71" s="22">
        <f>N10*Constants!$H68*(1-Constants!$H86)</f>
        <v>0</v>
      </c>
      <c r="O71" s="22">
        <f>O10*Constants!$H68*(1-Constants!$H86)</f>
        <v>0</v>
      </c>
      <c r="P71" s="22">
        <f>P10*Constants!$H68*(1-Constants!$H86)</f>
        <v>0</v>
      </c>
      <c r="Q71" s="22">
        <f>Q10*Constants!$H68*(1-Constants!$H86)</f>
        <v>0</v>
      </c>
      <c r="R71" s="22">
        <f>R10*Constants!$H68*(1-Constants!$H86)</f>
        <v>0</v>
      </c>
      <c r="S71" s="22">
        <f>S10*Constants!$H68*(1-Constants!$H86)</f>
        <v>0</v>
      </c>
      <c r="T71" s="22">
        <f>T10*Constants!$H68*(1-Constants!$H86)</f>
        <v>0</v>
      </c>
      <c r="U71" s="22">
        <f>U10*Constants!$H68*(1-Constants!$H86)</f>
        <v>0</v>
      </c>
      <c r="V71" s="22">
        <f>V10*Constants!$H68*(1-Constants!$H86)</f>
        <v>0</v>
      </c>
      <c r="W71" s="22">
        <f>W10*Constants!$H68*(1-Constants!$H86)</f>
        <v>0</v>
      </c>
      <c r="X71" s="22">
        <f>X10*Constants!$H68*(1-Constants!$H86)</f>
        <v>0</v>
      </c>
      <c r="Y71" s="22">
        <f>Y10*Constants!$H68*(1-Constants!$H86)</f>
        <v>0</v>
      </c>
      <c r="Z71" s="22">
        <f>Z10*Constants!$H68*(1-Constants!$H86)</f>
        <v>0</v>
      </c>
      <c r="AA71" s="22">
        <f>AA10*Constants!$H68*(1-Constants!$H86)</f>
        <v>0</v>
      </c>
      <c r="AB71" s="22">
        <f>AB10*Constants!$H68*(1-Constants!$H86)</f>
        <v>0</v>
      </c>
      <c r="AC71" s="22">
        <f>AC10*Constants!$H68*(1-Constants!$H86)</f>
        <v>0</v>
      </c>
      <c r="AD71" s="22">
        <f>AD10*Constants!$H68*(1-Constants!$H86)</f>
        <v>0</v>
      </c>
      <c r="AE71" s="22">
        <f>AE10*Constants!$H68*(1-Constants!$H86)</f>
        <v>0</v>
      </c>
      <c r="AF71" s="22">
        <f>AF10*Constants!$H68*(1-Constants!$H86)</f>
        <v>0</v>
      </c>
      <c r="AG71" s="22">
        <f>AG10*Constants!$H68*(1-Constants!$H86)</f>
        <v>0</v>
      </c>
      <c r="AH71" s="22">
        <f>AH10*Constants!$H68*(1-Constants!$H86)</f>
        <v>0</v>
      </c>
      <c r="AI71" s="22">
        <f>AI10*Constants!$H68*(1-Constants!$H86)</f>
        <v>0</v>
      </c>
      <c r="AJ71" s="22">
        <f>AJ10*Constants!$H68*(1-Constants!$H86)</f>
        <v>0</v>
      </c>
      <c r="AK71" s="22">
        <f>AK10*Constants!$H68*(1-Constants!$H86)</f>
        <v>0</v>
      </c>
      <c r="AL71" s="22">
        <f>AL10*Constants!$H68*(1-Constants!$H86)</f>
        <v>0</v>
      </c>
      <c r="AM71" s="22">
        <f>AM10*Constants!$H68*(1-Constants!$H86)</f>
        <v>0</v>
      </c>
      <c r="AN71" s="22">
        <f>AN10*Constants!$H68*(1-Constants!$H86)</f>
        <v>0</v>
      </c>
      <c r="AO71" s="22">
        <f>AO10*Constants!$H68*(1-Constants!$H86)</f>
        <v>0</v>
      </c>
      <c r="AP71" s="22">
        <f>AP10*Constants!$H68*(1-Constants!$H86)</f>
        <v>0</v>
      </c>
      <c r="AQ71" s="22">
        <f>AQ10*Constants!$H68*(1-Constants!$H86)</f>
        <v>0</v>
      </c>
      <c r="AR71" s="22">
        <f>AR10*Constants!$H68*(1-Constants!$H86)</f>
        <v>0</v>
      </c>
      <c r="AS71" s="22">
        <f>AS10*Constants!$H68*(1-Constants!$H86)</f>
        <v>0</v>
      </c>
      <c r="AT71" s="22">
        <f>AT10*Constants!$H68*(1-Constants!$H86)</f>
        <v>0</v>
      </c>
      <c r="AU71" s="22">
        <f>AU10*Constants!$H68*(1-Constants!$H86)</f>
        <v>0</v>
      </c>
      <c r="AV71" s="22">
        <f>AV10*Constants!$H68*(1-Constants!$H86)</f>
        <v>0</v>
      </c>
      <c r="AW71" s="22">
        <f>AW10*Constants!$H68*(1-Constants!$H86)</f>
        <v>0</v>
      </c>
      <c r="AX71" s="22">
        <f>AX10*Constants!$H68*(1-Constants!$H86)</f>
        <v>0</v>
      </c>
      <c r="AY71" s="22">
        <f>AY10*Constants!$H68*(1-Constants!$H86)</f>
        <v>0</v>
      </c>
      <c r="AZ71" s="22">
        <f>AZ10*Constants!$H68*(1-Constants!$H86)</f>
        <v>0</v>
      </c>
      <c r="BA71" s="22">
        <f>BA10*Constants!$H68*(1-Constants!$H86)</f>
        <v>0</v>
      </c>
      <c r="BB71" s="22">
        <f>BB10*Constants!$H68*(1-Constants!$H86)</f>
        <v>0</v>
      </c>
      <c r="BC71" s="22">
        <f>BC10*Constants!$H68*(1-Constants!$H86)</f>
        <v>0</v>
      </c>
      <c r="BD71" s="22">
        <f>BD10*Constants!$H68*(1-Constants!$H86)</f>
        <v>0</v>
      </c>
      <c r="BE71" s="22">
        <f>BE10*Constants!$H68*(1-Constants!$H86)</f>
        <v>0</v>
      </c>
      <c r="BF71" s="22">
        <f>BF10*Constants!$H68*(1-Constants!$H86)</f>
        <v>0</v>
      </c>
      <c r="BG71" s="22">
        <f>BG10*Constants!$H68*(1-Constants!$H86)</f>
        <v>0</v>
      </c>
      <c r="BH71" s="22">
        <f>BH10*Constants!$H68*(1-Constants!$H86)</f>
        <v>0</v>
      </c>
      <c r="BI71" s="22">
        <f>BI10*Constants!$H68*(1-Constants!$H86)</f>
        <v>0</v>
      </c>
      <c r="BJ71" s="22">
        <f>BJ10*Constants!$H68*(1-Constants!$H86)</f>
        <v>0</v>
      </c>
      <c r="BK71" s="22">
        <f>BK10*Constants!$H68*(1-Constants!$H86)</f>
        <v>0</v>
      </c>
      <c r="BL71" s="22">
        <f>BL10*Constants!$H68*(1-Constants!$H86)</f>
        <v>0</v>
      </c>
      <c r="BM71" s="22">
        <f>BM10*Constants!$H68*(1-Constants!$H86)</f>
        <v>0</v>
      </c>
      <c r="BN71" s="22">
        <f>BN10*Constants!$H68*(1-Constants!$H86)</f>
        <v>0</v>
      </c>
      <c r="BO71" s="22">
        <f>BO10*Constants!$H68*(1-Constants!$H86)</f>
        <v>0</v>
      </c>
      <c r="BP71" s="22">
        <f>BP10*Constants!$H68*(1-Constants!$H86)</f>
        <v>0</v>
      </c>
    </row>
    <row r="72" spans="1:68" x14ac:dyDescent="0.25">
      <c r="A72" t="str">
        <f t="shared" si="25"/>
        <v>3C Aggregated and non-CO2 emissions on land</v>
      </c>
      <c r="B72" t="str">
        <f t="shared" si="26"/>
        <v>3C4 Direct N2O from managed soils (N2O)</v>
      </c>
      <c r="C72" t="s">
        <v>410</v>
      </c>
      <c r="D72" t="str">
        <f t="shared" si="27"/>
        <v xml:space="preserve"> - Commercial sheep</v>
      </c>
      <c r="E72" t="str">
        <f t="shared" si="28"/>
        <v>Urine &amp; dung - Commercial sheep</v>
      </c>
      <c r="F72" t="str">
        <f t="shared" si="29"/>
        <v>kg N</v>
      </c>
      <c r="H72" s="22">
        <f>H11*Constants!$H69*(1-Constants!$H87)</f>
        <v>581876225.33466685</v>
      </c>
      <c r="I72" s="22">
        <f>I11*Constants!$H69*(1-Constants!$H87)</f>
        <v>555712272.17575133</v>
      </c>
      <c r="J72" s="22">
        <f>J11*Constants!$H69*(1-Constants!$H87)</f>
        <v>532750880.04889882</v>
      </c>
      <c r="K72" s="22">
        <f>K11*Constants!$H69*(1-Constants!$H87)</f>
        <v>498240858.74581867</v>
      </c>
      <c r="L72" s="22">
        <f>L11*Constants!$H69*(1-Constants!$H87)</f>
        <v>501753971.15068793</v>
      </c>
      <c r="M72" s="22">
        <f>M11*Constants!$H69*(1-Constants!$H87)</f>
        <v>494572470.65454638</v>
      </c>
      <c r="N72" s="22">
        <f>N11*Constants!$H69*(1-Constants!$H87)</f>
        <v>496222274.82257891</v>
      </c>
      <c r="O72" s="22">
        <f>O11*Constants!$H69*(1-Constants!$H87)</f>
        <v>485430614.61756623</v>
      </c>
      <c r="P72" s="22">
        <f>P11*Constants!$H69*(1-Constants!$H87)</f>
        <v>486769867.41279262</v>
      </c>
      <c r="Q72" s="22">
        <f>Q11*Constants!$H69*(1-Constants!$H87)</f>
        <v>474813639.55975699</v>
      </c>
      <c r="R72" s="22">
        <f>R11*Constants!$H69*(1-Constants!$H87)</f>
        <v>457791542.43782157</v>
      </c>
      <c r="S72" s="22">
        <f>S11*Constants!$H69*(1-Constants!$H87)</f>
        <v>446378779.48719668</v>
      </c>
      <c r="T72" s="22">
        <f>T11*Constants!$H69*(1-Constants!$H87)</f>
        <v>438925546.53984982</v>
      </c>
      <c r="U72" s="22">
        <f>U11*Constants!$H69*(1-Constants!$H87)</f>
        <v>440458893.94308001</v>
      </c>
      <c r="V72" s="22">
        <f>V11*Constants!$H69*(1-Constants!$H87)</f>
        <v>432617471.77972549</v>
      </c>
      <c r="W72" s="22">
        <f>W11*Constants!$H69*(1-Constants!$H87)</f>
        <v>431588770.35730517</v>
      </c>
      <c r="X72" s="22">
        <f>X11*Constants!$H69*(1-Constants!$H87)</f>
        <v>425940617.26439387</v>
      </c>
      <c r="Y72" s="22">
        <f>Y11*Constants!$H69*(1-Constants!$H87)</f>
        <v>425533018.58758587</v>
      </c>
      <c r="Z72" s="22">
        <f>Z11*Constants!$H69*(1-Constants!$H87)</f>
        <v>426911090.30441302</v>
      </c>
      <c r="AA72" s="22">
        <f>AA11*Constants!$H69*(1-Constants!$H87)</f>
        <v>425397152.36198318</v>
      </c>
      <c r="AB72" s="22">
        <f>AB11*Constants!$H69*(1-Constants!$H87)</f>
        <v>417167540.98262095</v>
      </c>
      <c r="AC72" s="22">
        <f>AC11*Constants!$H69*(1-Constants!$H87)</f>
        <v>413906751.56815672</v>
      </c>
      <c r="AD72" s="22">
        <f>AD11*Constants!$H69*(1-Constants!$H87)</f>
        <v>369072380.20402229</v>
      </c>
      <c r="AE72" s="22">
        <f>AE11*Constants!$H69*(1-Constants!$H87)</f>
        <v>369272374.46557516</v>
      </c>
      <c r="AF72" s="22">
        <f>AF11*Constants!$H69*(1-Constants!$H87)</f>
        <v>369727273.88650143</v>
      </c>
      <c r="AG72" s="22">
        <f>AG11*Constants!$H69*(1-Constants!$H87)</f>
        <v>370423911.17146182</v>
      </c>
      <c r="AH72" s="22">
        <f>AH11*Constants!$H69*(1-Constants!$H87)</f>
        <v>371349381.40489209</v>
      </c>
      <c r="AI72" s="22">
        <f>AI11*Constants!$H69*(1-Constants!$H87)</f>
        <v>372513572.89750785</v>
      </c>
      <c r="AJ72" s="22">
        <f>AJ11*Constants!$H69*(1-Constants!$H87)</f>
        <v>373803921.59349871</v>
      </c>
      <c r="AK72" s="22">
        <f>AK11*Constants!$H69*(1-Constants!$H87)</f>
        <v>375223864.13124335</v>
      </c>
      <c r="AL72" s="22">
        <f>AL11*Constants!$H69*(1-Constants!$H87)</f>
        <v>376592786.80171955</v>
      </c>
      <c r="AM72" s="22">
        <f>AM11*Constants!$H69*(1-Constants!$H87)</f>
        <v>377135455.53680795</v>
      </c>
      <c r="AN72" s="22">
        <f>AN11*Constants!$H69*(1-Constants!$H87)</f>
        <v>377769268.94473267</v>
      </c>
      <c r="AO72" s="22">
        <f>AO11*Constants!$H69*(1-Constants!$H87)</f>
        <v>378491664.42512912</v>
      </c>
      <c r="AP72" s="22">
        <f>AP11*Constants!$H69*(1-Constants!$H87)</f>
        <v>379299928.24522185</v>
      </c>
      <c r="AQ72" s="22">
        <f>AQ11*Constants!$H69*(1-Constants!$H87)</f>
        <v>380191293.95346671</v>
      </c>
      <c r="AR72" s="22">
        <f>AR11*Constants!$H69*(1-Constants!$H87)</f>
        <v>380738685.64194393</v>
      </c>
      <c r="AS72" s="22">
        <f>AS11*Constants!$H69*(1-Constants!$H87)</f>
        <v>381355699.29777306</v>
      </c>
      <c r="AT72" s="22">
        <f>AT11*Constants!$H69*(1-Constants!$H87)</f>
        <v>382039425.41180414</v>
      </c>
      <c r="AU72" s="22">
        <f>AU11*Constants!$H69*(1-Constants!$H87)</f>
        <v>382790312.31557637</v>
      </c>
      <c r="AV72" s="22">
        <f>AV11*Constants!$H69*(1-Constants!$H87)</f>
        <v>383598238.22138512</v>
      </c>
      <c r="AW72" s="22">
        <f>AW11*Constants!$H69*(1-Constants!$H87)</f>
        <v>384132781.50265676</v>
      </c>
      <c r="AX72" s="22">
        <f>AX11*Constants!$H69*(1-Constants!$H87)</f>
        <v>384719631.74371195</v>
      </c>
      <c r="AY72" s="22">
        <f>AY11*Constants!$H69*(1-Constants!$H87)</f>
        <v>385356365.86501944</v>
      </c>
      <c r="AZ72" s="22">
        <f>AZ11*Constants!$H69*(1-Constants!$H87)</f>
        <v>386040722.24089974</v>
      </c>
      <c r="BA72" s="22">
        <f>BA11*Constants!$H69*(1-Constants!$H87)</f>
        <v>386763266.86273062</v>
      </c>
      <c r="BB72" s="22">
        <f>BB11*Constants!$H69*(1-Constants!$H87)</f>
        <v>387211249.75071543</v>
      </c>
      <c r="BC72" s="22">
        <f>BC11*Constants!$H69*(1-Constants!$H87)</f>
        <v>387703020.43606091</v>
      </c>
      <c r="BD72" s="22">
        <f>BD11*Constants!$H69*(1-Constants!$H87)</f>
        <v>388235608.07336068</v>
      </c>
      <c r="BE72" s="22">
        <f>BE11*Constants!$H69*(1-Constants!$H87)</f>
        <v>388801998.53522497</v>
      </c>
      <c r="BF72" s="22">
        <f>BF11*Constants!$H69*(1-Constants!$H87)</f>
        <v>389404081.30728835</v>
      </c>
      <c r="BG72" s="22">
        <f>BG11*Constants!$H69*(1-Constants!$H87)</f>
        <v>389744506.76356852</v>
      </c>
      <c r="BH72" s="22">
        <f>BH11*Constants!$H69*(1-Constants!$H87)</f>
        <v>390119594.39952302</v>
      </c>
      <c r="BI72" s="22">
        <f>BI11*Constants!$H69*(1-Constants!$H87)</f>
        <v>390529376.26662266</v>
      </c>
      <c r="BJ72" s="22">
        <f>BJ11*Constants!$H69*(1-Constants!$H87)</f>
        <v>390972483.989537</v>
      </c>
      <c r="BK72" s="22">
        <f>BK11*Constants!$H69*(1-Constants!$H87)</f>
        <v>391450276.14895368</v>
      </c>
      <c r="BL72" s="22">
        <f>BL11*Constants!$H69*(1-Constants!$H87)</f>
        <v>391659631.13218039</v>
      </c>
      <c r="BM72" s="22">
        <f>BM11*Constants!$H69*(1-Constants!$H87)</f>
        <v>391898444.41883802</v>
      </c>
      <c r="BN72" s="22">
        <f>BN11*Constants!$H69*(1-Constants!$H87)</f>
        <v>392160254.56169206</v>
      </c>
      <c r="BO72" s="22">
        <f>BO11*Constants!$H69*(1-Constants!$H87)</f>
        <v>392450488.66443449</v>
      </c>
      <c r="BP72" s="22">
        <f>BP11*Constants!$H69*(1-Constants!$H87)</f>
        <v>392769894.59787518</v>
      </c>
    </row>
    <row r="73" spans="1:68" x14ac:dyDescent="0.25">
      <c r="A73" t="str">
        <f t="shared" si="25"/>
        <v>3C Aggregated and non-CO2 emissions on land</v>
      </c>
      <c r="B73" t="str">
        <f t="shared" si="26"/>
        <v>3C4 Direct N2O from managed soils (N2O)</v>
      </c>
      <c r="C73" t="s">
        <v>410</v>
      </c>
      <c r="D73" t="str">
        <f t="shared" si="27"/>
        <v xml:space="preserve"> - Subsistence sheep</v>
      </c>
      <c r="E73" t="str">
        <f t="shared" si="28"/>
        <v>Urine &amp; dung - Subsistence sheep</v>
      </c>
      <c r="F73" t="str">
        <f t="shared" si="29"/>
        <v>kg N</v>
      </c>
      <c r="H73" s="22">
        <f>H12*Constants!$H70*(1-Constants!$H88)</f>
        <v>60666073.386478163</v>
      </c>
      <c r="I73" s="22">
        <f>I12*Constants!$H70*(1-Constants!$H88)</f>
        <v>57938235.002110019</v>
      </c>
      <c r="J73" s="22">
        <f>J12*Constants!$H70*(1-Constants!$H88)</f>
        <v>55544293.74935963</v>
      </c>
      <c r="K73" s="22">
        <f>K12*Constants!$H70*(1-Constants!$H88)</f>
        <v>51946299.203805812</v>
      </c>
      <c r="L73" s="22">
        <f>L12*Constants!$H70*(1-Constants!$H88)</f>
        <v>52312574.239095598</v>
      </c>
      <c r="M73" s="22">
        <f>M12*Constants!$H70*(1-Constants!$H88)</f>
        <v>51563835.216680013</v>
      </c>
      <c r="N73" s="22">
        <f>N12*Constants!$H70*(1-Constants!$H88)</f>
        <v>51735842.829937644</v>
      </c>
      <c r="O73" s="22">
        <f>O12*Constants!$H70*(1-Constants!$H88)</f>
        <v>50610710.677334763</v>
      </c>
      <c r="P73" s="22">
        <f>P12*Constants!$H70*(1-Constants!$H88)</f>
        <v>50750340.386920534</v>
      </c>
      <c r="Q73" s="22">
        <f>Q12*Constants!$H70*(1-Constants!$H88)</f>
        <v>49503791.095547549</v>
      </c>
      <c r="R73" s="22">
        <f>R12*Constants!$H70*(1-Constants!$H88)</f>
        <v>47729077.250524655</v>
      </c>
      <c r="S73" s="22">
        <f>S12*Constants!$H70*(1-Constants!$H88)</f>
        <v>46539189.29057771</v>
      </c>
      <c r="T73" s="22">
        <f>T12*Constants!$H70*(1-Constants!$H88)</f>
        <v>45762119.602449097</v>
      </c>
      <c r="U73" s="22">
        <f>U12*Constants!$H70*(1-Constants!$H88)</f>
        <v>45921985.501829728</v>
      </c>
      <c r="V73" s="22">
        <f>V12*Constants!$H70*(1-Constants!$H88)</f>
        <v>45104443.434111074</v>
      </c>
      <c r="W73" s="22">
        <f>W12*Constants!$H70*(1-Constants!$H88)</f>
        <v>44997191.628197499</v>
      </c>
      <c r="X73" s="22">
        <f>X12*Constants!$H70*(1-Constants!$H88)</f>
        <v>44408318.50516253</v>
      </c>
      <c r="Y73" s="22">
        <f>Y12*Constants!$H70*(1-Constants!$H88)</f>
        <v>44365822.506592996</v>
      </c>
      <c r="Z73" s="22">
        <f>Z12*Constants!$H70*(1-Constants!$H88)</f>
        <v>44509499.454137608</v>
      </c>
      <c r="AA73" s="22">
        <f>AA12*Constants!$H70*(1-Constants!$H88)</f>
        <v>44351657.173736483</v>
      </c>
      <c r="AB73" s="22">
        <f>AB12*Constants!$H70*(1-Constants!$H88)</f>
        <v>43493642.726427816</v>
      </c>
      <c r="AC73" s="22">
        <f>AC12*Constants!$H70*(1-Constants!$H88)</f>
        <v>43153674.737871543</v>
      </c>
      <c r="AD73" s="22">
        <f>AD12*Constants!$H70*(1-Constants!$H88)</f>
        <v>41199375.199358411</v>
      </c>
      <c r="AE73" s="22">
        <f>AE12*Constants!$H70*(1-Constants!$H88)</f>
        <v>41221700.464161165</v>
      </c>
      <c r="AF73" s="22">
        <f>AF12*Constants!$H70*(1-Constants!$H88)</f>
        <v>41272480.671312816</v>
      </c>
      <c r="AG73" s="22">
        <f>AG12*Constants!$H70*(1-Constants!$H88)</f>
        <v>41350245.96186389</v>
      </c>
      <c r="AH73" s="22">
        <f>AH12*Constants!$H70*(1-Constants!$H88)</f>
        <v>41453555.766195104</v>
      </c>
      <c r="AI73" s="22">
        <f>AI12*Constants!$H70*(1-Constants!$H88)</f>
        <v>41583513.91175361</v>
      </c>
      <c r="AJ73" s="22">
        <f>AJ12*Constants!$H70*(1-Constants!$H88)</f>
        <v>41727554.926241718</v>
      </c>
      <c r="AK73" s="22">
        <f>AK12*Constants!$H70*(1-Constants!$H88)</f>
        <v>41886062.439975835</v>
      </c>
      <c r="AL73" s="22">
        <f>AL12*Constants!$H70*(1-Constants!$H88)</f>
        <v>42038874.630063534</v>
      </c>
      <c r="AM73" s="22">
        <f>AM12*Constants!$H70*(1-Constants!$H88)</f>
        <v>42099452.484232709</v>
      </c>
      <c r="AN73" s="22">
        <f>AN12*Constants!$H70*(1-Constants!$H88)</f>
        <v>42170204.77511137</v>
      </c>
      <c r="AO73" s="22">
        <f>AO12*Constants!$H70*(1-Constants!$H88)</f>
        <v>42250845.440833136</v>
      </c>
      <c r="AP73" s="22">
        <f>AP12*Constants!$H70*(1-Constants!$H88)</f>
        <v>42341071.548692152</v>
      </c>
      <c r="AQ73" s="22">
        <f>AQ12*Constants!$H70*(1-Constants!$H88)</f>
        <v>42440574.281011261</v>
      </c>
      <c r="AR73" s="22">
        <f>AR12*Constants!$H70*(1-Constants!$H88)</f>
        <v>42501679.356232874</v>
      </c>
      <c r="AS73" s="22">
        <f>AS12*Constants!$H70*(1-Constants!$H88)</f>
        <v>42570556.298732817</v>
      </c>
      <c r="AT73" s="22">
        <f>AT12*Constants!$H70*(1-Constants!$H88)</f>
        <v>42646880.321381159</v>
      </c>
      <c r="AU73" s="22">
        <f>AU12*Constants!$H70*(1-Constants!$H88)</f>
        <v>42730701.471215494</v>
      </c>
      <c r="AV73" s="22">
        <f>AV12*Constants!$H70*(1-Constants!$H88)</f>
        <v>42820889.85786283</v>
      </c>
      <c r="AW73" s="22">
        <f>AW12*Constants!$H70*(1-Constants!$H88)</f>
        <v>42880560.671466485</v>
      </c>
      <c r="AX73" s="22">
        <f>AX12*Constants!$H70*(1-Constants!$H88)</f>
        <v>42946070.486245096</v>
      </c>
      <c r="AY73" s="22">
        <f>AY12*Constants!$H70*(1-Constants!$H88)</f>
        <v>43017148.814976931</v>
      </c>
      <c r="AZ73" s="22">
        <f>AZ12*Constants!$H70*(1-Constants!$H88)</f>
        <v>43093543.19345732</v>
      </c>
      <c r="BA73" s="22">
        <f>BA12*Constants!$H70*(1-Constants!$H88)</f>
        <v>43174200.507766865</v>
      </c>
      <c r="BB73" s="22">
        <f>BB12*Constants!$H70*(1-Constants!$H88)</f>
        <v>43224208.625618368</v>
      </c>
      <c r="BC73" s="22">
        <f>BC12*Constants!$H70*(1-Constants!$H88)</f>
        <v>43279104.754573867</v>
      </c>
      <c r="BD73" s="22">
        <f>BD12*Constants!$H70*(1-Constants!$H88)</f>
        <v>43338557.260566115</v>
      </c>
      <c r="BE73" s="22">
        <f>BE12*Constants!$H70*(1-Constants!$H88)</f>
        <v>43401783.159872867</v>
      </c>
      <c r="BF73" s="22">
        <f>BF12*Constants!$H70*(1-Constants!$H88)</f>
        <v>43468993.374881648</v>
      </c>
      <c r="BG73" s="22">
        <f>BG12*Constants!$H70*(1-Constants!$H88)</f>
        <v>43506994.907515831</v>
      </c>
      <c r="BH73" s="22">
        <f>BH12*Constants!$H70*(1-Constants!$H88)</f>
        <v>43548865.762868881</v>
      </c>
      <c r="BI73" s="22">
        <f>BI12*Constants!$H70*(1-Constants!$H88)</f>
        <v>43594609.518831328</v>
      </c>
      <c r="BJ73" s="22">
        <f>BJ12*Constants!$H70*(1-Constants!$H88)</f>
        <v>43644073.424312383</v>
      </c>
      <c r="BK73" s="22">
        <f>BK12*Constants!$H70*(1-Constants!$H88)</f>
        <v>43697409.137031496</v>
      </c>
      <c r="BL73" s="22">
        <f>BL12*Constants!$H70*(1-Constants!$H88)</f>
        <v>43720779.334766269</v>
      </c>
      <c r="BM73" s="22">
        <f>BM12*Constants!$H70*(1-Constants!$H88)</f>
        <v>43747437.94897674</v>
      </c>
      <c r="BN73" s="22">
        <f>BN12*Constants!$H70*(1-Constants!$H88)</f>
        <v>43776663.691364937</v>
      </c>
      <c r="BO73" s="22">
        <f>BO12*Constants!$H70*(1-Constants!$H88)</f>
        <v>43809062.386948511</v>
      </c>
      <c r="BP73" s="22">
        <f>BP12*Constants!$H70*(1-Constants!$H88)</f>
        <v>43844717.520192161</v>
      </c>
    </row>
    <row r="74" spans="1:68" x14ac:dyDescent="0.25">
      <c r="A74" t="str">
        <f t="shared" si="25"/>
        <v>3C Aggregated and non-CO2 emissions on land</v>
      </c>
      <c r="B74" t="str">
        <f t="shared" si="26"/>
        <v>3C4 Direct N2O from managed soils (N2O)</v>
      </c>
      <c r="C74" t="s">
        <v>410</v>
      </c>
      <c r="D74" t="str">
        <f t="shared" si="27"/>
        <v xml:space="preserve"> - Commercial goats</v>
      </c>
      <c r="E74" t="str">
        <f t="shared" si="28"/>
        <v>Urine &amp; dung - Commercial goats</v>
      </c>
      <c r="F74" t="str">
        <f t="shared" si="29"/>
        <v>kg N</v>
      </c>
      <c r="H74" s="22">
        <f>H13*Constants!$H71*(1-Constants!$H89)</f>
        <v>61206867.799308397</v>
      </c>
      <c r="I74" s="22">
        <f>I13*Constants!$H71*(1-Constants!$H89)</f>
        <v>54124169.686987571</v>
      </c>
      <c r="J74" s="22">
        <f>J13*Constants!$H71*(1-Constants!$H89)</f>
        <v>50417337.030071966</v>
      </c>
      <c r="K74" s="22">
        <f>K13*Constants!$H71*(1-Constants!$H89)</f>
        <v>47637212.537385285</v>
      </c>
      <c r="L74" s="22">
        <f>L13*Constants!$H71*(1-Constants!$H89)</f>
        <v>51564689.995307736</v>
      </c>
      <c r="M74" s="22">
        <f>M13*Constants!$H71*(1-Constants!$H89)</f>
        <v>52270753.358529769</v>
      </c>
      <c r="N74" s="22">
        <f>N13*Constants!$H71*(1-Constants!$H89)</f>
        <v>53087139.122255206</v>
      </c>
      <c r="O74" s="22">
        <f>O13*Constants!$H71*(1-Constants!$H89)</f>
        <v>52822365.361046962</v>
      </c>
      <c r="P74" s="22">
        <f>P13*Constants!$H71*(1-Constants!$H89)</f>
        <v>52072173.037623577</v>
      </c>
      <c r="Q74" s="22">
        <f>Q13*Constants!$H71*(1-Constants!$H89)</f>
        <v>51299916.234099507</v>
      </c>
      <c r="R74" s="22">
        <f>R13*Constants!$H71*(1-Constants!$H89)</f>
        <v>51961850.637120128</v>
      </c>
      <c r="S74" s="22">
        <f>S13*Constants!$H71*(1-Constants!$H89)</f>
        <v>53550493.204369679</v>
      </c>
      <c r="T74" s="22">
        <f>T13*Constants!$H71*(1-Constants!$H89)</f>
        <v>48894887.903124519</v>
      </c>
      <c r="U74" s="22">
        <f>U13*Constants!$H71*(1-Constants!$H89)</f>
        <v>47659277.017485984</v>
      </c>
      <c r="V74" s="22">
        <f>V13*Constants!$H71*(1-Constants!$H89)</f>
        <v>47747534.937888749</v>
      </c>
      <c r="W74" s="22">
        <f>W13*Constants!$H71*(1-Constants!$H89)</f>
        <v>47129729.495069467</v>
      </c>
      <c r="X74" s="22">
        <f>X13*Constants!$H71*(1-Constants!$H89)</f>
        <v>48122631.099600427</v>
      </c>
      <c r="Y74" s="22">
        <f>Y13*Constants!$H71*(1-Constants!$H89)</f>
        <v>46688439.893055715</v>
      </c>
      <c r="Z74" s="22">
        <f>Z13*Constants!$H71*(1-Constants!$H89)</f>
        <v>46644310.932854347</v>
      </c>
      <c r="AA74" s="22">
        <f>AA13*Constants!$H71*(1-Constants!$H89)</f>
        <v>45827925.16912888</v>
      </c>
      <c r="AB74" s="22">
        <f>AB13*Constants!$H71*(1-Constants!$H89)</f>
        <v>45276313.166611686</v>
      </c>
      <c r="AC74" s="22">
        <f>AC13*Constants!$H71*(1-Constants!$H89)</f>
        <v>44857088.044698618</v>
      </c>
      <c r="AD74" s="22">
        <f>AD13*Constants!$H71*(1-Constants!$H89)</f>
        <v>45617406.539534286</v>
      </c>
      <c r="AE74" s="22">
        <f>AE13*Constants!$H71*(1-Constants!$H89)</f>
        <v>45736151.621964499</v>
      </c>
      <c r="AF74" s="22">
        <f>AF13*Constants!$H71*(1-Constants!$H89)</f>
        <v>45895475.088297777</v>
      </c>
      <c r="AG74" s="22">
        <f>AG13*Constants!$H71*(1-Constants!$H89)</f>
        <v>46093511.279922485</v>
      </c>
      <c r="AH74" s="22">
        <f>AH13*Constants!$H71*(1-Constants!$H89)</f>
        <v>46328313.102001429</v>
      </c>
      <c r="AI74" s="22">
        <f>AI13*Constants!$H71*(1-Constants!$H89)</f>
        <v>46602238.827654578</v>
      </c>
      <c r="AJ74" s="22">
        <f>AJ13*Constants!$H71*(1-Constants!$H89)</f>
        <v>46893930.330875523</v>
      </c>
      <c r="AK74" s="22">
        <f>AK13*Constants!$H71*(1-Constants!$H89)</f>
        <v>47204476.893457368</v>
      </c>
      <c r="AL74" s="22">
        <f>AL13*Constants!$H71*(1-Constants!$H89)</f>
        <v>47499616.787611216</v>
      </c>
      <c r="AM74" s="22">
        <f>AM13*Constants!$H71*(1-Constants!$H89)</f>
        <v>47631737.557360463</v>
      </c>
      <c r="AN74" s="22">
        <f>AN13*Constants!$H71*(1-Constants!$H89)</f>
        <v>47777352.875499442</v>
      </c>
      <c r="AO74" s="22">
        <f>AO13*Constants!$H71*(1-Constants!$H89)</f>
        <v>47936180.23730395</v>
      </c>
      <c r="AP74" s="22">
        <f>AP13*Constants!$H71*(1-Constants!$H89)</f>
        <v>48107879.811524659</v>
      </c>
      <c r="AQ74" s="22">
        <f>AQ13*Constants!$H71*(1-Constants!$H89)</f>
        <v>48292078.468038395</v>
      </c>
      <c r="AR74" s="22">
        <f>AR13*Constants!$H71*(1-Constants!$H89)</f>
        <v>48408257.309527241</v>
      </c>
      <c r="AS74" s="22">
        <f>AS13*Constants!$H71*(1-Constants!$H89)</f>
        <v>48534997.246587537</v>
      </c>
      <c r="AT74" s="22">
        <f>AT13*Constants!$H71*(1-Constants!$H89)</f>
        <v>48671847.679348558</v>
      </c>
      <c r="AU74" s="22">
        <f>AU13*Constants!$H71*(1-Constants!$H89)</f>
        <v>48818977.835682765</v>
      </c>
      <c r="AV74" s="22">
        <f>AV13*Constants!$H71*(1-Constants!$H89)</f>
        <v>48974564.593902692</v>
      </c>
      <c r="AW74" s="22">
        <f>AW13*Constants!$H71*(1-Constants!$H89)</f>
        <v>49076953.222286537</v>
      </c>
      <c r="AX74" s="22">
        <f>AX13*Constants!$H71*(1-Constants!$H89)</f>
        <v>49187301.957300328</v>
      </c>
      <c r="AY74" s="22">
        <f>AY13*Constants!$H71*(1-Constants!$H89)</f>
        <v>49305211.204071306</v>
      </c>
      <c r="AZ74" s="22">
        <f>AZ13*Constants!$H71*(1-Constants!$H89)</f>
        <v>49430307.408253193</v>
      </c>
      <c r="BA74" s="22">
        <f>BA13*Constants!$H71*(1-Constants!$H89)</f>
        <v>49560884.29484681</v>
      </c>
      <c r="BB74" s="22">
        <f>BB13*Constants!$H71*(1-Constants!$H89)</f>
        <v>49639134.538763069</v>
      </c>
      <c r="BC74" s="22">
        <f>BC13*Constants!$H71*(1-Constants!$H89)</f>
        <v>49724202.725105114</v>
      </c>
      <c r="BD74" s="22">
        <f>BD13*Constants!$H71*(1-Constants!$H89)</f>
        <v>49815565.688281946</v>
      </c>
      <c r="BE74" s="22">
        <f>BE13*Constants!$H71*(1-Constants!$H89)</f>
        <v>49911956.485382512</v>
      </c>
      <c r="BF74" s="22">
        <f>BF13*Constants!$H71*(1-Constants!$H89)</f>
        <v>50013748.802409075</v>
      </c>
      <c r="BG74" s="22">
        <f>BG13*Constants!$H71*(1-Constants!$H89)</f>
        <v>50066457.442451477</v>
      </c>
      <c r="BH74" s="22">
        <f>BH13*Constants!$H71*(1-Constants!$H89)</f>
        <v>50124608.810993589</v>
      </c>
      <c r="BI74" s="22">
        <f>BI13*Constants!$H71*(1-Constants!$H89)</f>
        <v>50188221.182870232</v>
      </c>
      <c r="BJ74" s="22">
        <f>BJ13*Constants!$H71*(1-Constants!$H89)</f>
        <v>50257055.154805511</v>
      </c>
      <c r="BK74" s="22">
        <f>BK13*Constants!$H71*(1-Constants!$H89)</f>
        <v>50331367.442522533</v>
      </c>
      <c r="BL74" s="22">
        <f>BL13*Constants!$H71*(1-Constants!$H89)</f>
        <v>50356069.50751733</v>
      </c>
      <c r="BM74" s="22">
        <f>BM13*Constants!$H71*(1-Constants!$H89)</f>
        <v>50385492.569040954</v>
      </c>
      <c r="BN74" s="22">
        <f>BN13*Constants!$H71*(1-Constants!$H89)</f>
        <v>50418470.178466462</v>
      </c>
      <c r="BO74" s="22">
        <f>BO13*Constants!$H71*(1-Constants!$H89)</f>
        <v>50455992.459780566</v>
      </c>
      <c r="BP74" s="22">
        <f>BP13*Constants!$H71*(1-Constants!$H89)</f>
        <v>50498196.990286544</v>
      </c>
    </row>
    <row r="75" spans="1:68" x14ac:dyDescent="0.25">
      <c r="A75" t="str">
        <f t="shared" si="25"/>
        <v>3C Aggregated and non-CO2 emissions on land</v>
      </c>
      <c r="B75" t="str">
        <f t="shared" si="26"/>
        <v>3C4 Direct N2O from managed soils (N2O)</v>
      </c>
      <c r="C75" t="s">
        <v>410</v>
      </c>
      <c r="D75" t="str">
        <f t="shared" si="27"/>
        <v xml:space="preserve"> - Subsistence goats</v>
      </c>
      <c r="E75" t="str">
        <f t="shared" si="28"/>
        <v>Urine &amp; dung - Subsistence goats</v>
      </c>
      <c r="F75" t="str">
        <f t="shared" si="29"/>
        <v>kg N</v>
      </c>
      <c r="H75" s="22">
        <f>H14*Constants!$H72*(1-Constants!$H90)</f>
        <v>103073074.7293009</v>
      </c>
      <c r="I75" s="22">
        <f>I14*Constants!$H72*(1-Constants!$H90)</f>
        <v>91145729.023422912</v>
      </c>
      <c r="J75" s="22">
        <f>J14*Constants!$H72*(1-Constants!$H90)</f>
        <v>84903379.868944705</v>
      </c>
      <c r="K75" s="22">
        <f>K14*Constants!$H72*(1-Constants!$H90)</f>
        <v>80221618.003086045</v>
      </c>
      <c r="L75" s="22">
        <f>L14*Constants!$H72*(1-Constants!$H90)</f>
        <v>86835535.559616521</v>
      </c>
      <c r="M75" s="22">
        <f>M14*Constants!$H72*(1-Constants!$H90)</f>
        <v>88024554.446183816</v>
      </c>
      <c r="N75" s="22">
        <f>N14*Constants!$H72*(1-Constants!$H90)</f>
        <v>89399357.533777222</v>
      </c>
      <c r="O75" s="22">
        <f>O14*Constants!$H72*(1-Constants!$H90)</f>
        <v>88953475.451314494</v>
      </c>
      <c r="P75" s="22">
        <f>P14*Constants!$H72*(1-Constants!$H90)</f>
        <v>87690142.884336755</v>
      </c>
      <c r="Q75" s="22">
        <f>Q14*Constants!$H72*(1-Constants!$H90)</f>
        <v>86389653.477153808</v>
      </c>
      <c r="R75" s="22">
        <f>R14*Constants!$H72*(1-Constants!$H90)</f>
        <v>87504358.683310628</v>
      </c>
      <c r="S75" s="22">
        <f>S14*Constants!$H72*(1-Constants!$H90)</f>
        <v>90179651.178086996</v>
      </c>
      <c r="T75" s="22">
        <f>T14*Constants!$H72*(1-Constants!$H90)</f>
        <v>82339557.894784003</v>
      </c>
      <c r="U75" s="22">
        <f>U14*Constants!$H72*(1-Constants!$H90)</f>
        <v>80258774.843291268</v>
      </c>
      <c r="V75" s="22">
        <f>V14*Constants!$H72*(1-Constants!$H90)</f>
        <v>80407402.204112172</v>
      </c>
      <c r="W75" s="22">
        <f>W14*Constants!$H72*(1-Constants!$H90)</f>
        <v>79367010.678365812</v>
      </c>
      <c r="X75" s="22">
        <f>X14*Constants!$H72*(1-Constants!$H90)</f>
        <v>81039068.487601057</v>
      </c>
      <c r="Y75" s="22">
        <f>Y14*Constants!$H72*(1-Constants!$H90)</f>
        <v>78623873.874261275</v>
      </c>
      <c r="Z75" s="22">
        <f>Z14*Constants!$H72*(1-Constants!$H90)</f>
        <v>78549560.1938508</v>
      </c>
      <c r="AA75" s="22">
        <f>AA14*Constants!$H72*(1-Constants!$H90)</f>
        <v>77174757.106257394</v>
      </c>
      <c r="AB75" s="22">
        <f>AB14*Constants!$H72*(1-Constants!$H90)</f>
        <v>76245836.101126716</v>
      </c>
      <c r="AC75" s="22">
        <f>AC14*Constants!$H72*(1-Constants!$H90)</f>
        <v>75539856.137227386</v>
      </c>
      <c r="AD75" s="22">
        <f>AD14*Constants!$H72*(1-Constants!$H90)</f>
        <v>75495881.213719472</v>
      </c>
      <c r="AE75" s="22">
        <f>AE14*Constants!$H72*(1-Constants!$H90)</f>
        <v>75692401.913117304</v>
      </c>
      <c r="AF75" s="22">
        <f>AF14*Constants!$H72*(1-Constants!$H90)</f>
        <v>75956079.013621271</v>
      </c>
      <c r="AG75" s="22">
        <f>AG14*Constants!$H72*(1-Constants!$H90)</f>
        <v>76283824.888125554</v>
      </c>
      <c r="AH75" s="22">
        <f>AH14*Constants!$H72*(1-Constants!$H90)</f>
        <v>76672417.13422516</v>
      </c>
      <c r="AI75" s="22">
        <f>AI14*Constants!$H72*(1-Constants!$H90)</f>
        <v>77125758.646030962</v>
      </c>
      <c r="AJ75" s="22">
        <f>AJ14*Constants!$H72*(1-Constants!$H90)</f>
        <v>77608502.158841893</v>
      </c>
      <c r="AK75" s="22">
        <f>AK14*Constants!$H72*(1-Constants!$H90)</f>
        <v>78122450.411899388</v>
      </c>
      <c r="AL75" s="22">
        <f>AL14*Constants!$H72*(1-Constants!$H90)</f>
        <v>78610900.941658422</v>
      </c>
      <c r="AM75" s="22">
        <f>AM14*Constants!$H72*(1-Constants!$H90)</f>
        <v>78829558.13187398</v>
      </c>
      <c r="AN75" s="22">
        <f>AN14*Constants!$H72*(1-Constants!$H90)</f>
        <v>79070548.525564849</v>
      </c>
      <c r="AO75" s="22">
        <f>AO14*Constants!$H72*(1-Constants!$H90)</f>
        <v>79333404.583150864</v>
      </c>
      <c r="AP75" s="22">
        <f>AP14*Constants!$H72*(1-Constants!$H90)</f>
        <v>79617563.890817314</v>
      </c>
      <c r="AQ75" s="22">
        <f>AQ14*Constants!$H72*(1-Constants!$H90)</f>
        <v>79922408.92578958</v>
      </c>
      <c r="AR75" s="22">
        <f>AR14*Constants!$H72*(1-Constants!$H90)</f>
        <v>80114682.548556536</v>
      </c>
      <c r="AS75" s="22">
        <f>AS14*Constants!$H72*(1-Constants!$H90)</f>
        <v>80324434.569970667</v>
      </c>
      <c r="AT75" s="22">
        <f>AT14*Constants!$H72*(1-Constants!$H90)</f>
        <v>80550919.256398827</v>
      </c>
      <c r="AU75" s="22">
        <f>AU14*Constants!$H72*(1-Constants!$H90)</f>
        <v>80794416.676532462</v>
      </c>
      <c r="AV75" s="22">
        <f>AV14*Constants!$H72*(1-Constants!$H90)</f>
        <v>81051909.601011172</v>
      </c>
      <c r="AW75" s="22">
        <f>AW14*Constants!$H72*(1-Constants!$H90)</f>
        <v>81221360.701204762</v>
      </c>
      <c r="AX75" s="22">
        <f>AX14*Constants!$H72*(1-Constants!$H90)</f>
        <v>81403985.616180271</v>
      </c>
      <c r="AY75" s="22">
        <f>AY14*Constants!$H72*(1-Constants!$H90)</f>
        <v>81599123.024540097</v>
      </c>
      <c r="AZ75" s="22">
        <f>AZ14*Constants!$H72*(1-Constants!$H90)</f>
        <v>81806154.701428995</v>
      </c>
      <c r="BA75" s="22">
        <f>BA14*Constants!$H72*(1-Constants!$H90)</f>
        <v>82022256.796382278</v>
      </c>
      <c r="BB75" s="22">
        <f>BB14*Constants!$H72*(1-Constants!$H90)</f>
        <v>82151759.360595956</v>
      </c>
      <c r="BC75" s="22">
        <f>BC14*Constants!$H72*(1-Constants!$H90)</f>
        <v>82292545.481033966</v>
      </c>
      <c r="BD75" s="22">
        <f>BD14*Constants!$H72*(1-Constants!$H90)</f>
        <v>82443749.329270139</v>
      </c>
      <c r="BE75" s="22">
        <f>BE14*Constants!$H72*(1-Constants!$H90)</f>
        <v>82603274.140521601</v>
      </c>
      <c r="BF75" s="22">
        <f>BF14*Constants!$H72*(1-Constants!$H90)</f>
        <v>82771738.357531533</v>
      </c>
      <c r="BG75" s="22">
        <f>BG14*Constants!$H72*(1-Constants!$H90)</f>
        <v>82858970.086150944</v>
      </c>
      <c r="BH75" s="22">
        <f>BH14*Constants!$H72*(1-Constants!$H90)</f>
        <v>82955209.419881299</v>
      </c>
      <c r="BI75" s="22">
        <f>BI14*Constants!$H72*(1-Constants!$H90)</f>
        <v>83060486.603202954</v>
      </c>
      <c r="BJ75" s="22">
        <f>BJ14*Constants!$H72*(1-Constants!$H90)</f>
        <v>83174405.428557277</v>
      </c>
      <c r="BK75" s="22">
        <f>BK14*Constants!$H72*(1-Constants!$H90)</f>
        <v>83297390.755251408</v>
      </c>
      <c r="BL75" s="22">
        <f>BL14*Constants!$H72*(1-Constants!$H90)</f>
        <v>83338272.17105405</v>
      </c>
      <c r="BM75" s="22">
        <f>BM14*Constants!$H72*(1-Constants!$H90)</f>
        <v>83386966.740216061</v>
      </c>
      <c r="BN75" s="22">
        <f>BN14*Constants!$H72*(1-Constants!$H90)</f>
        <v>83441544.013953537</v>
      </c>
      <c r="BO75" s="22">
        <f>BO14*Constants!$H72*(1-Constants!$H90)</f>
        <v>83503642.627352402</v>
      </c>
      <c r="BP75" s="22">
        <f>BP14*Constants!$H72*(1-Constants!$H90)</f>
        <v>83573490.268055052</v>
      </c>
    </row>
    <row r="76" spans="1:68" x14ac:dyDescent="0.25">
      <c r="A76" t="str">
        <f t="shared" si="25"/>
        <v>3C Aggregated and non-CO2 emissions on land</v>
      </c>
      <c r="B76" t="str">
        <f t="shared" si="26"/>
        <v>3C4 Direct N2O from managed soils (N2O)</v>
      </c>
      <c r="C76" t="s">
        <v>410</v>
      </c>
      <c r="D76" t="str">
        <f t="shared" si="27"/>
        <v xml:space="preserve"> - Horses</v>
      </c>
      <c r="E76" t="str">
        <f t="shared" si="28"/>
        <v>Urine &amp; dung - Horses</v>
      </c>
      <c r="F76" t="str">
        <f t="shared" si="29"/>
        <v>kg N</v>
      </c>
      <c r="H76" s="22">
        <f>H15*Constants!$H73*(1-Constants!$H91)</f>
        <v>9085000</v>
      </c>
      <c r="I76" s="22">
        <f>I15*Constants!$H73*(1-Constants!$H91)</f>
        <v>9085000</v>
      </c>
      <c r="J76" s="22">
        <f>J15*Constants!$H73*(1-Constants!$H91)</f>
        <v>9085000</v>
      </c>
      <c r="K76" s="22">
        <f>K15*Constants!$H73*(1-Constants!$H91)</f>
        <v>9282500</v>
      </c>
      <c r="L76" s="22">
        <f>L15*Constants!$H73*(1-Constants!$H91)</f>
        <v>9480000</v>
      </c>
      <c r="M76" s="22">
        <f>M15*Constants!$H73*(1-Constants!$H91)</f>
        <v>9677500</v>
      </c>
      <c r="N76" s="22">
        <f>N15*Constants!$H73*(1-Constants!$H91)</f>
        <v>9875000</v>
      </c>
      <c r="O76" s="22">
        <f>O15*Constants!$H73*(1-Constants!$H91)</f>
        <v>10072500</v>
      </c>
      <c r="P76" s="22">
        <f>P15*Constants!$H73*(1-Constants!$H91)</f>
        <v>10270000</v>
      </c>
      <c r="Q76" s="22">
        <f>Q15*Constants!$H73*(1-Constants!$H91)</f>
        <v>10191000</v>
      </c>
      <c r="R76" s="22">
        <f>R15*Constants!$H73*(1-Constants!$H91)</f>
        <v>10665000</v>
      </c>
      <c r="S76" s="22">
        <f>S15*Constants!$H73*(1-Constants!$H91)</f>
        <v>10665000</v>
      </c>
      <c r="T76" s="22">
        <f>T15*Constants!$H73*(1-Constants!$H91)</f>
        <v>10665000</v>
      </c>
      <c r="U76" s="22">
        <f>U15*Constants!$H73*(1-Constants!$H91)</f>
        <v>10665000</v>
      </c>
      <c r="V76" s="22">
        <f>V15*Constants!$H73*(1-Constants!$H91)</f>
        <v>10665000</v>
      </c>
      <c r="W76" s="22">
        <f>W15*Constants!$H73*(1-Constants!$H91)</f>
        <v>10665000</v>
      </c>
      <c r="X76" s="22">
        <f>X15*Constants!$H73*(1-Constants!$H91)</f>
        <v>11060000</v>
      </c>
      <c r="Y76" s="22">
        <f>Y15*Constants!$H73*(1-Constants!$H91)</f>
        <v>11455000</v>
      </c>
      <c r="Z76" s="22">
        <f>Z15*Constants!$H73*(1-Constants!$H91)</f>
        <v>11771000</v>
      </c>
      <c r="AA76" s="22">
        <f>AA15*Constants!$H73*(1-Constants!$H91)</f>
        <v>11850000</v>
      </c>
      <c r="AB76" s="22">
        <f>AB15*Constants!$H73*(1-Constants!$H91)</f>
        <v>11850000</v>
      </c>
      <c r="AC76" s="22">
        <f>AC15*Constants!$H73*(1-Constants!$H91)</f>
        <v>12047500</v>
      </c>
      <c r="AD76" s="22">
        <f>AD15*Constants!$H73*(1-Constants!$H91)</f>
        <v>12186719.739831941</v>
      </c>
      <c r="AE76" s="22">
        <f>AE15*Constants!$H73*(1-Constants!$H91)</f>
        <v>12280563.306301063</v>
      </c>
      <c r="AF76" s="22">
        <f>AF15*Constants!$H73*(1-Constants!$H91)</f>
        <v>12322240.528607784</v>
      </c>
      <c r="AG76" s="22">
        <f>AG15*Constants!$H73*(1-Constants!$H91)</f>
        <v>12324088.455885062</v>
      </c>
      <c r="AH76" s="22">
        <f>AH15*Constants!$H73*(1-Constants!$H91)</f>
        <v>12284942.78283993</v>
      </c>
      <c r="AI76" s="22">
        <f>AI15*Constants!$H73*(1-Constants!$H91)</f>
        <v>12289256.547815358</v>
      </c>
      <c r="AJ76" s="22">
        <f>AJ15*Constants!$H73*(1-Constants!$H91)</f>
        <v>12282493.530511597</v>
      </c>
      <c r="AK76" s="22">
        <f>AK15*Constants!$H73*(1-Constants!$H91)</f>
        <v>12270855.880018599</v>
      </c>
      <c r="AL76" s="22">
        <f>AL15*Constants!$H73*(1-Constants!$H91)</f>
        <v>11538065.909895303</v>
      </c>
      <c r="AM76" s="22">
        <f>AM15*Constants!$H73*(1-Constants!$H91)</f>
        <v>11656365.349759333</v>
      </c>
      <c r="AN76" s="22">
        <f>AN15*Constants!$H73*(1-Constants!$H91)</f>
        <v>11763634.341165176</v>
      </c>
      <c r="AO76" s="22">
        <f>AO15*Constants!$H73*(1-Constants!$H91)</f>
        <v>11872511.106099414</v>
      </c>
      <c r="AP76" s="22">
        <f>AP15*Constants!$H73*(1-Constants!$H91)</f>
        <v>11991991.089588193</v>
      </c>
      <c r="AQ76" s="22">
        <f>AQ15*Constants!$H73*(1-Constants!$H91)</f>
        <v>12128305.712558679</v>
      </c>
      <c r="AR76" s="22">
        <f>AR15*Constants!$H73*(1-Constants!$H91)</f>
        <v>12281672.684558554</v>
      </c>
      <c r="AS76" s="22">
        <f>AS15*Constants!$H73*(1-Constants!$H91)</f>
        <v>12445857.382946638</v>
      </c>
      <c r="AT76" s="22">
        <f>AT15*Constants!$H73*(1-Constants!$H91)</f>
        <v>12622171.359858416</v>
      </c>
      <c r="AU76" s="22">
        <f>AU15*Constants!$H73*(1-Constants!$H91)</f>
        <v>12823814.185466405</v>
      </c>
      <c r="AV76" s="22">
        <f>AV15*Constants!$H73*(1-Constants!$H91)</f>
        <v>13021059.629889075</v>
      </c>
      <c r="AW76" s="22">
        <f>AW15*Constants!$H73*(1-Constants!$H91)</f>
        <v>13267726.795829717</v>
      </c>
      <c r="AX76" s="22">
        <f>AX15*Constants!$H73*(1-Constants!$H91)</f>
        <v>13521965.843805647</v>
      </c>
      <c r="AY76" s="22">
        <f>AY15*Constants!$H73*(1-Constants!$H91)</f>
        <v>13782377.001287213</v>
      </c>
      <c r="AZ76" s="22">
        <f>AZ15*Constants!$H73*(1-Constants!$H91)</f>
        <v>14047487.399052095</v>
      </c>
      <c r="BA76" s="22">
        <f>BA15*Constants!$H73*(1-Constants!$H91)</f>
        <v>14287631.874134088</v>
      </c>
      <c r="BB76" s="22">
        <f>BB15*Constants!$H73*(1-Constants!$H91)</f>
        <v>14549088.340806475</v>
      </c>
      <c r="BC76" s="22">
        <f>BC15*Constants!$H73*(1-Constants!$H91)</f>
        <v>14829097.982626686</v>
      </c>
      <c r="BD76" s="22">
        <f>BD15*Constants!$H73*(1-Constants!$H91)</f>
        <v>15121615.218476843</v>
      </c>
      <c r="BE76" s="22">
        <f>BE15*Constants!$H73*(1-Constants!$H91)</f>
        <v>15404905.827087075</v>
      </c>
      <c r="BF76" s="22">
        <f>BF15*Constants!$H73*(1-Constants!$H91)</f>
        <v>15690815.179206118</v>
      </c>
      <c r="BG76" s="22">
        <f>BG15*Constants!$H73*(1-Constants!$H91)</f>
        <v>15998671.331565576</v>
      </c>
      <c r="BH76" s="22">
        <f>BH15*Constants!$H73*(1-Constants!$H91)</f>
        <v>16321056.358541036</v>
      </c>
      <c r="BI76" s="22">
        <f>BI15*Constants!$H73*(1-Constants!$H91)</f>
        <v>16661867.799153496</v>
      </c>
      <c r="BJ76" s="22">
        <f>BJ15*Constants!$H73*(1-Constants!$H91)</f>
        <v>17019447.921701033</v>
      </c>
      <c r="BK76" s="22">
        <f>BK15*Constants!$H73*(1-Constants!$H91)</f>
        <v>17402078.587649021</v>
      </c>
      <c r="BL76" s="22">
        <f>BL15*Constants!$H73*(1-Constants!$H91)</f>
        <v>17819225.532750987</v>
      </c>
      <c r="BM76" s="22">
        <f>BM15*Constants!$H73*(1-Constants!$H91)</f>
        <v>18253834.043925758</v>
      </c>
      <c r="BN76" s="22">
        <f>BN15*Constants!$H73*(1-Constants!$H91)</f>
        <v>18684749.91217611</v>
      </c>
      <c r="BO76" s="22">
        <f>BO15*Constants!$H73*(1-Constants!$H91)</f>
        <v>19134822.885359906</v>
      </c>
      <c r="BP76" s="22">
        <f>BP15*Constants!$H73*(1-Constants!$H91)</f>
        <v>19609264.723195903</v>
      </c>
    </row>
    <row r="77" spans="1:68" x14ac:dyDescent="0.25">
      <c r="A77" t="str">
        <f t="shared" si="25"/>
        <v>3C Aggregated and non-CO2 emissions on land</v>
      </c>
      <c r="B77" t="str">
        <f t="shared" si="26"/>
        <v>3C4 Direct N2O from managed soils (N2O)</v>
      </c>
      <c r="C77" t="s">
        <v>410</v>
      </c>
      <c r="D77" t="str">
        <f t="shared" si="27"/>
        <v xml:space="preserve"> - Mules &amp; Asses</v>
      </c>
      <c r="E77" t="str">
        <f t="shared" si="28"/>
        <v>Urine &amp; dung - Mules &amp; Asses</v>
      </c>
      <c r="F77" t="str">
        <f t="shared" si="29"/>
        <v>kg N</v>
      </c>
      <c r="H77" s="22">
        <f>H16*Constants!$H74*(1-Constants!$H92)</f>
        <v>2956800</v>
      </c>
      <c r="I77" s="22">
        <f>I16*Constants!$H74*(1-Constants!$H92)</f>
        <v>2956800</v>
      </c>
      <c r="J77" s="22">
        <f>J16*Constants!$H74*(1-Constants!$H92)</f>
        <v>2956800</v>
      </c>
      <c r="K77" s="22">
        <f>K16*Constants!$H74*(1-Constants!$H92)</f>
        <v>2956800</v>
      </c>
      <c r="L77" s="22">
        <f>L16*Constants!$H74*(1-Constants!$H92)</f>
        <v>2956800</v>
      </c>
      <c r="M77" s="22">
        <f>M16*Constants!$H74*(1-Constants!$H92)</f>
        <v>2956800</v>
      </c>
      <c r="N77" s="22">
        <f>N16*Constants!$H74*(1-Constants!$H92)</f>
        <v>2956800</v>
      </c>
      <c r="O77" s="22">
        <f>O16*Constants!$H74*(1-Constants!$H92)</f>
        <v>2956800</v>
      </c>
      <c r="P77" s="22">
        <f>P16*Constants!$H74*(1-Constants!$H92)</f>
        <v>2956800</v>
      </c>
      <c r="Q77" s="22">
        <f>Q16*Constants!$H74*(1-Constants!$H92)</f>
        <v>2956800</v>
      </c>
      <c r="R77" s="22">
        <f>R16*Constants!$H74*(1-Constants!$H92)</f>
        <v>2164800</v>
      </c>
      <c r="S77" s="22">
        <f>S16*Constants!$H74*(1-Constants!$H92)</f>
        <v>2164800</v>
      </c>
      <c r="T77" s="22">
        <f>T16*Constants!$H74*(1-Constants!$H92)</f>
        <v>2164800</v>
      </c>
      <c r="U77" s="22">
        <f>U16*Constants!$H74*(1-Constants!$H92)</f>
        <v>2164800</v>
      </c>
      <c r="V77" s="22">
        <f>V16*Constants!$H74*(1-Constants!$H92)</f>
        <v>2164800</v>
      </c>
      <c r="W77" s="22">
        <f>W16*Constants!$H74*(1-Constants!$H92)</f>
        <v>2164800</v>
      </c>
      <c r="X77" s="22">
        <f>X16*Constants!$H74*(1-Constants!$H92)</f>
        <v>2165460</v>
      </c>
      <c r="Y77" s="22">
        <f>Y16*Constants!$H74*(1-Constants!$H92)</f>
        <v>2172720</v>
      </c>
      <c r="Z77" s="22">
        <f>Z16*Constants!$H74*(1-Constants!$H92)</f>
        <v>2174040</v>
      </c>
      <c r="AA77" s="22">
        <f>AA16*Constants!$H74*(1-Constants!$H92)</f>
        <v>2175360</v>
      </c>
      <c r="AB77" s="22">
        <f>AB16*Constants!$H74*(1-Constants!$H92)</f>
        <v>2195160</v>
      </c>
      <c r="AC77" s="22">
        <f>AC16*Constants!$H74*(1-Constants!$H92)</f>
        <v>2204400</v>
      </c>
      <c r="AD77" s="22">
        <f>AD16*Constants!$H74*(1-Constants!$H92)</f>
        <v>2204400</v>
      </c>
      <c r="AE77" s="22">
        <f>AE16*Constants!$H74*(1-Constants!$H92)</f>
        <v>2204400</v>
      </c>
      <c r="AF77" s="22">
        <f>AF16*Constants!$H74*(1-Constants!$H92)</f>
        <v>2204400</v>
      </c>
      <c r="AG77" s="22">
        <f>AG16*Constants!$H74*(1-Constants!$H92)</f>
        <v>2204400</v>
      </c>
      <c r="AH77" s="22">
        <f>AH16*Constants!$H74*(1-Constants!$H92)</f>
        <v>2204400</v>
      </c>
      <c r="AI77" s="22">
        <f>AI16*Constants!$H74*(1-Constants!$H92)</f>
        <v>2204400</v>
      </c>
      <c r="AJ77" s="22">
        <f>AJ16*Constants!$H74*(1-Constants!$H92)</f>
        <v>2204400</v>
      </c>
      <c r="AK77" s="22">
        <f>AK16*Constants!$H74*(1-Constants!$H92)</f>
        <v>2204400</v>
      </c>
      <c r="AL77" s="22">
        <f>AL16*Constants!$H74*(1-Constants!$H92)</f>
        <v>2204400</v>
      </c>
      <c r="AM77" s="22">
        <f>AM16*Constants!$H74*(1-Constants!$H92)</f>
        <v>2204400</v>
      </c>
      <c r="AN77" s="22">
        <f>AN16*Constants!$H74*(1-Constants!$H92)</f>
        <v>2204400</v>
      </c>
      <c r="AO77" s="22">
        <f>AO16*Constants!$H74*(1-Constants!$H92)</f>
        <v>2204400</v>
      </c>
      <c r="AP77" s="22">
        <f>AP16*Constants!$H74*(1-Constants!$H92)</f>
        <v>2204400</v>
      </c>
      <c r="AQ77" s="22">
        <f>AQ16*Constants!$H74*(1-Constants!$H92)</f>
        <v>2204400</v>
      </c>
      <c r="AR77" s="22">
        <f>AR16*Constants!$H74*(1-Constants!$H92)</f>
        <v>2204400</v>
      </c>
      <c r="AS77" s="22">
        <f>AS16*Constants!$H74*(1-Constants!$H92)</f>
        <v>2204400</v>
      </c>
      <c r="AT77" s="22">
        <f>AT16*Constants!$H74*(1-Constants!$H92)</f>
        <v>2204400</v>
      </c>
      <c r="AU77" s="22">
        <f>AU16*Constants!$H74*(1-Constants!$H92)</f>
        <v>2204400</v>
      </c>
      <c r="AV77" s="22">
        <f>AV16*Constants!$H74*(1-Constants!$H92)</f>
        <v>2204400</v>
      </c>
      <c r="AW77" s="22">
        <f>AW16*Constants!$H74*(1-Constants!$H92)</f>
        <v>2204400</v>
      </c>
      <c r="AX77" s="22">
        <f>AX16*Constants!$H74*(1-Constants!$H92)</f>
        <v>2204400</v>
      </c>
      <c r="AY77" s="22">
        <f>AY16*Constants!$H74*(1-Constants!$H92)</f>
        <v>2204400</v>
      </c>
      <c r="AZ77" s="22">
        <f>AZ16*Constants!$H74*(1-Constants!$H92)</f>
        <v>2204400</v>
      </c>
      <c r="BA77" s="22">
        <f>BA16*Constants!$H74*(1-Constants!$H92)</f>
        <v>2204400</v>
      </c>
      <c r="BB77" s="22">
        <f>BB16*Constants!$H74*(1-Constants!$H92)</f>
        <v>2204400</v>
      </c>
      <c r="BC77" s="22">
        <f>BC16*Constants!$H74*(1-Constants!$H92)</f>
        <v>2204400</v>
      </c>
      <c r="BD77" s="22">
        <f>BD16*Constants!$H74*(1-Constants!$H92)</f>
        <v>2204400</v>
      </c>
      <c r="BE77" s="22">
        <f>BE16*Constants!$H74*(1-Constants!$H92)</f>
        <v>2204400</v>
      </c>
      <c r="BF77" s="22">
        <f>BF16*Constants!$H74*(1-Constants!$H92)</f>
        <v>2204400</v>
      </c>
      <c r="BG77" s="22">
        <f>BG16*Constants!$H74*(1-Constants!$H92)</f>
        <v>2204400</v>
      </c>
      <c r="BH77" s="22">
        <f>BH16*Constants!$H74*(1-Constants!$H92)</f>
        <v>2204400</v>
      </c>
      <c r="BI77" s="22">
        <f>BI16*Constants!$H74*(1-Constants!$H92)</f>
        <v>2204400</v>
      </c>
      <c r="BJ77" s="22">
        <f>BJ16*Constants!$H74*(1-Constants!$H92)</f>
        <v>2204400</v>
      </c>
      <c r="BK77" s="22">
        <f>BK16*Constants!$H74*(1-Constants!$H92)</f>
        <v>2204400</v>
      </c>
      <c r="BL77" s="22">
        <f>BL16*Constants!$H74*(1-Constants!$H92)</f>
        <v>2204400</v>
      </c>
      <c r="BM77" s="22">
        <f>BM16*Constants!$H74*(1-Constants!$H92)</f>
        <v>2204400</v>
      </c>
      <c r="BN77" s="22">
        <f>BN16*Constants!$H74*(1-Constants!$H92)</f>
        <v>2204400</v>
      </c>
      <c r="BO77" s="22">
        <f>BO16*Constants!$H74*(1-Constants!$H92)</f>
        <v>2204400</v>
      </c>
      <c r="BP77" s="22">
        <f>BP16*Constants!$H74*(1-Constants!$H92)</f>
        <v>2204400</v>
      </c>
    </row>
    <row r="78" spans="1:68" x14ac:dyDescent="0.25">
      <c r="A78" t="str">
        <f t="shared" si="25"/>
        <v>3C Aggregated and non-CO2 emissions on land</v>
      </c>
      <c r="B78" t="str">
        <f t="shared" si="26"/>
        <v>3C4 Direct N2O from managed soils (N2O)</v>
      </c>
      <c r="C78" t="s">
        <v>410</v>
      </c>
      <c r="D78" t="str">
        <f t="shared" si="27"/>
        <v xml:space="preserve"> - Commercial swine</v>
      </c>
      <c r="E78" t="str">
        <f t="shared" si="28"/>
        <v>Urine &amp; dung - Commercial swine</v>
      </c>
      <c r="F78" t="str">
        <f t="shared" si="29"/>
        <v>kg N</v>
      </c>
      <c r="H78" s="22">
        <f>H17*Constants!$H75*(1-Constants!$H93)</f>
        <v>0</v>
      </c>
      <c r="I78" s="22">
        <f>I17*Constants!$H75*(1-Constants!$H93)</f>
        <v>0</v>
      </c>
      <c r="J78" s="22">
        <f>J17*Constants!$H75*(1-Constants!$H93)</f>
        <v>0</v>
      </c>
      <c r="K78" s="22">
        <f>K17*Constants!$H75*(1-Constants!$H93)</f>
        <v>0</v>
      </c>
      <c r="L78" s="22">
        <f>L17*Constants!$H75*(1-Constants!$H93)</f>
        <v>0</v>
      </c>
      <c r="M78" s="22">
        <f>M17*Constants!$H75*(1-Constants!$H93)</f>
        <v>0</v>
      </c>
      <c r="N78" s="22">
        <f>N17*Constants!$H75*(1-Constants!$H93)</f>
        <v>0</v>
      </c>
      <c r="O78" s="22">
        <f>O17*Constants!$H75*(1-Constants!$H93)</f>
        <v>0</v>
      </c>
      <c r="P78" s="22">
        <f>P17*Constants!$H75*(1-Constants!$H93)</f>
        <v>0</v>
      </c>
      <c r="Q78" s="22">
        <f>Q17*Constants!$H75*(1-Constants!$H93)</f>
        <v>0</v>
      </c>
      <c r="R78" s="22">
        <f>R17*Constants!$H75*(1-Constants!$H93)</f>
        <v>0</v>
      </c>
      <c r="S78" s="22">
        <f>S17*Constants!$H75*(1-Constants!$H93)</f>
        <v>0</v>
      </c>
      <c r="T78" s="22">
        <f>T17*Constants!$H75*(1-Constants!$H93)</f>
        <v>0</v>
      </c>
      <c r="U78" s="22">
        <f>U17*Constants!$H75*(1-Constants!$H93)</f>
        <v>0</v>
      </c>
      <c r="V78" s="22">
        <f>V17*Constants!$H75*(1-Constants!$H93)</f>
        <v>0</v>
      </c>
      <c r="W78" s="22">
        <f>W17*Constants!$H75*(1-Constants!$H93)</f>
        <v>0</v>
      </c>
      <c r="X78" s="22">
        <f>X17*Constants!$H75*(1-Constants!$H93)</f>
        <v>0</v>
      </c>
      <c r="Y78" s="22">
        <f>Y17*Constants!$H75*(1-Constants!$H93)</f>
        <v>0</v>
      </c>
      <c r="Z78" s="22">
        <f>Z17*Constants!$H75*(1-Constants!$H93)</f>
        <v>0</v>
      </c>
      <c r="AA78" s="22">
        <f>AA17*Constants!$H75*(1-Constants!$H93)</f>
        <v>0</v>
      </c>
      <c r="AB78" s="22">
        <f>AB17*Constants!$H75*(1-Constants!$H93)</f>
        <v>0</v>
      </c>
      <c r="AC78" s="22">
        <f>AC17*Constants!$H75*(1-Constants!$H93)</f>
        <v>0</v>
      </c>
      <c r="AD78" s="22">
        <f>AD17*Constants!$H75*(1-Constants!$H93)</f>
        <v>0</v>
      </c>
      <c r="AE78" s="22">
        <f>AE17*Constants!$H75*(1-Constants!$H93)</f>
        <v>0</v>
      </c>
      <c r="AF78" s="22">
        <f>AF17*Constants!$H75*(1-Constants!$H93)</f>
        <v>0</v>
      </c>
      <c r="AG78" s="22">
        <f>AG17*Constants!$H75*(1-Constants!$H93)</f>
        <v>0</v>
      </c>
      <c r="AH78" s="22">
        <f>AH17*Constants!$H75*(1-Constants!$H93)</f>
        <v>0</v>
      </c>
      <c r="AI78" s="22">
        <f>AI17*Constants!$H75*(1-Constants!$H93)</f>
        <v>0</v>
      </c>
      <c r="AJ78" s="22">
        <f>AJ17*Constants!$H75*(1-Constants!$H93)</f>
        <v>0</v>
      </c>
      <c r="AK78" s="22">
        <f>AK17*Constants!$H75*(1-Constants!$H93)</f>
        <v>0</v>
      </c>
      <c r="AL78" s="22">
        <f>AL17*Constants!$H75*(1-Constants!$H93)</f>
        <v>0</v>
      </c>
      <c r="AM78" s="22">
        <f>AM17*Constants!$H75*(1-Constants!$H93)</f>
        <v>0</v>
      </c>
      <c r="AN78" s="22">
        <f>AN17*Constants!$H75*(1-Constants!$H93)</f>
        <v>0</v>
      </c>
      <c r="AO78" s="22">
        <f>AO17*Constants!$H75*(1-Constants!$H93)</f>
        <v>0</v>
      </c>
      <c r="AP78" s="22">
        <f>AP17*Constants!$H75*(1-Constants!$H93)</f>
        <v>0</v>
      </c>
      <c r="AQ78" s="22">
        <f>AQ17*Constants!$H75*(1-Constants!$H93)</f>
        <v>0</v>
      </c>
      <c r="AR78" s="22">
        <f>AR17*Constants!$H75*(1-Constants!$H93)</f>
        <v>0</v>
      </c>
      <c r="AS78" s="22">
        <f>AS17*Constants!$H75*(1-Constants!$H93)</f>
        <v>0</v>
      </c>
      <c r="AT78" s="22">
        <f>AT17*Constants!$H75*(1-Constants!$H93)</f>
        <v>0</v>
      </c>
      <c r="AU78" s="22">
        <f>AU17*Constants!$H75*(1-Constants!$H93)</f>
        <v>0</v>
      </c>
      <c r="AV78" s="22">
        <f>AV17*Constants!$H75*(1-Constants!$H93)</f>
        <v>0</v>
      </c>
      <c r="AW78" s="22">
        <f>AW17*Constants!$H75*(1-Constants!$H93)</f>
        <v>0</v>
      </c>
      <c r="AX78" s="22">
        <f>AX17*Constants!$H75*(1-Constants!$H93)</f>
        <v>0</v>
      </c>
      <c r="AY78" s="22">
        <f>AY17*Constants!$H75*(1-Constants!$H93)</f>
        <v>0</v>
      </c>
      <c r="AZ78" s="22">
        <f>AZ17*Constants!$H75*(1-Constants!$H93)</f>
        <v>0</v>
      </c>
      <c r="BA78" s="22">
        <f>BA17*Constants!$H75*(1-Constants!$H93)</f>
        <v>0</v>
      </c>
      <c r="BB78" s="22">
        <f>BB17*Constants!$H75*(1-Constants!$H93)</f>
        <v>0</v>
      </c>
      <c r="BC78" s="22">
        <f>BC17*Constants!$H75*(1-Constants!$H93)</f>
        <v>0</v>
      </c>
      <c r="BD78" s="22">
        <f>BD17*Constants!$H75*(1-Constants!$H93)</f>
        <v>0</v>
      </c>
      <c r="BE78" s="22">
        <f>BE17*Constants!$H75*(1-Constants!$H93)</f>
        <v>0</v>
      </c>
      <c r="BF78" s="22">
        <f>BF17*Constants!$H75*(1-Constants!$H93)</f>
        <v>0</v>
      </c>
      <c r="BG78" s="22">
        <f>BG17*Constants!$H75*(1-Constants!$H93)</f>
        <v>0</v>
      </c>
      <c r="BH78" s="22">
        <f>BH17*Constants!$H75*(1-Constants!$H93)</f>
        <v>0</v>
      </c>
      <c r="BI78" s="22">
        <f>BI17*Constants!$H75*(1-Constants!$H93)</f>
        <v>0</v>
      </c>
      <c r="BJ78" s="22">
        <f>BJ17*Constants!$H75*(1-Constants!$H93)</f>
        <v>0</v>
      </c>
      <c r="BK78" s="22">
        <f>BK17*Constants!$H75*(1-Constants!$H93)</f>
        <v>0</v>
      </c>
      <c r="BL78" s="22">
        <f>BL17*Constants!$H75*(1-Constants!$H93)</f>
        <v>0</v>
      </c>
      <c r="BM78" s="22">
        <f>BM17*Constants!$H75*(1-Constants!$H93)</f>
        <v>0</v>
      </c>
      <c r="BN78" s="22">
        <f>BN17*Constants!$H75*(1-Constants!$H93)</f>
        <v>0</v>
      </c>
      <c r="BO78" s="22">
        <f>BO17*Constants!$H75*(1-Constants!$H93)</f>
        <v>0</v>
      </c>
      <c r="BP78" s="22">
        <f>BP17*Constants!$H75*(1-Constants!$H93)</f>
        <v>0</v>
      </c>
    </row>
    <row r="79" spans="1:68" x14ac:dyDescent="0.25">
      <c r="A79" t="str">
        <f t="shared" si="25"/>
        <v>3C Aggregated and non-CO2 emissions on land</v>
      </c>
      <c r="B79" t="str">
        <f t="shared" si="26"/>
        <v>3C4 Direct N2O from managed soils (N2O)</v>
      </c>
      <c r="C79" t="s">
        <v>410</v>
      </c>
      <c r="D79" t="str">
        <f>D63</f>
        <v xml:space="preserve"> - Subsistence swine</v>
      </c>
      <c r="E79" t="str">
        <f t="shared" si="28"/>
        <v>Urine &amp; dung - Subsistence swine</v>
      </c>
      <c r="F79" t="str">
        <f t="shared" si="29"/>
        <v>kg N</v>
      </c>
      <c r="H79" s="22">
        <f>H18*Constants!$H76*(1-Constants!$H94)</f>
        <v>0</v>
      </c>
      <c r="I79" s="22">
        <f>I18*Constants!$H76*(1-Constants!$H94)</f>
        <v>0</v>
      </c>
      <c r="J79" s="22">
        <f>J18*Constants!$H76*(1-Constants!$H94)</f>
        <v>0</v>
      </c>
      <c r="K79" s="22">
        <f>K18*Constants!$H76*(1-Constants!$H94)</f>
        <v>0</v>
      </c>
      <c r="L79" s="22">
        <f>L18*Constants!$H76*(1-Constants!$H94)</f>
        <v>0</v>
      </c>
      <c r="M79" s="22">
        <f>M18*Constants!$H76*(1-Constants!$H94)</f>
        <v>0</v>
      </c>
      <c r="N79" s="22">
        <f>N18*Constants!$H76*(1-Constants!$H94)</f>
        <v>0</v>
      </c>
      <c r="O79" s="22">
        <f>O18*Constants!$H76*(1-Constants!$H94)</f>
        <v>0</v>
      </c>
      <c r="P79" s="22">
        <f>P18*Constants!$H76*(1-Constants!$H94)</f>
        <v>0</v>
      </c>
      <c r="Q79" s="22">
        <f>Q18*Constants!$H76*(1-Constants!$H94)</f>
        <v>0</v>
      </c>
      <c r="R79" s="22">
        <f>R18*Constants!$H76*(1-Constants!$H94)</f>
        <v>0</v>
      </c>
      <c r="S79" s="22">
        <f>S18*Constants!$H76*(1-Constants!$H94)</f>
        <v>0</v>
      </c>
      <c r="T79" s="22">
        <f>T18*Constants!$H76*(1-Constants!$H94)</f>
        <v>0</v>
      </c>
      <c r="U79" s="22">
        <f>U18*Constants!$H76*(1-Constants!$H94)</f>
        <v>0</v>
      </c>
      <c r="V79" s="22">
        <f>V18*Constants!$H76*(1-Constants!$H94)</f>
        <v>0</v>
      </c>
      <c r="W79" s="22">
        <f>W18*Constants!$H76*(1-Constants!$H94)</f>
        <v>0</v>
      </c>
      <c r="X79" s="22">
        <f>X18*Constants!$H76*(1-Constants!$H94)</f>
        <v>0</v>
      </c>
      <c r="Y79" s="22">
        <f>Y18*Constants!$H76*(1-Constants!$H94)</f>
        <v>0</v>
      </c>
      <c r="Z79" s="22">
        <f>Z18*Constants!$H76*(1-Constants!$H94)</f>
        <v>0</v>
      </c>
      <c r="AA79" s="22">
        <f>AA18*Constants!$H76*(1-Constants!$H94)</f>
        <v>0</v>
      </c>
      <c r="AB79" s="22">
        <f>AB18*Constants!$H76*(1-Constants!$H94)</f>
        <v>0</v>
      </c>
      <c r="AC79" s="22">
        <f>AC18*Constants!$H76*(1-Constants!$H94)</f>
        <v>0</v>
      </c>
      <c r="AD79" s="22">
        <f>AD18*Constants!$H76*(1-Constants!$H94)</f>
        <v>0</v>
      </c>
      <c r="AE79" s="22">
        <f>AE18*Constants!$H76*(1-Constants!$H94)</f>
        <v>0</v>
      </c>
      <c r="AF79" s="22">
        <f>AF18*Constants!$H76*(1-Constants!$H94)</f>
        <v>0</v>
      </c>
      <c r="AG79" s="22">
        <f>AG18*Constants!$H76*(1-Constants!$H94)</f>
        <v>0</v>
      </c>
      <c r="AH79" s="22">
        <f>AH18*Constants!$H76*(1-Constants!$H94)</f>
        <v>0</v>
      </c>
      <c r="AI79" s="22">
        <f>AI18*Constants!$H76*(1-Constants!$H94)</f>
        <v>0</v>
      </c>
      <c r="AJ79" s="22">
        <f>AJ18*Constants!$H76*(1-Constants!$H94)</f>
        <v>0</v>
      </c>
      <c r="AK79" s="22">
        <f>AK18*Constants!$H76*(1-Constants!$H94)</f>
        <v>0</v>
      </c>
      <c r="AL79" s="22">
        <f>AL18*Constants!$H76*(1-Constants!$H94)</f>
        <v>0</v>
      </c>
      <c r="AM79" s="22">
        <f>AM18*Constants!$H76*(1-Constants!$H94)</f>
        <v>0</v>
      </c>
      <c r="AN79" s="22">
        <f>AN18*Constants!$H76*(1-Constants!$H94)</f>
        <v>0</v>
      </c>
      <c r="AO79" s="22">
        <f>AO18*Constants!$H76*(1-Constants!$H94)</f>
        <v>0</v>
      </c>
      <c r="AP79" s="22">
        <f>AP18*Constants!$H76*(1-Constants!$H94)</f>
        <v>0</v>
      </c>
      <c r="AQ79" s="22">
        <f>AQ18*Constants!$H76*(1-Constants!$H94)</f>
        <v>0</v>
      </c>
      <c r="AR79" s="22">
        <f>AR18*Constants!$H76*(1-Constants!$H94)</f>
        <v>0</v>
      </c>
      <c r="AS79" s="22">
        <f>AS18*Constants!$H76*(1-Constants!$H94)</f>
        <v>0</v>
      </c>
      <c r="AT79" s="22">
        <f>AT18*Constants!$H76*(1-Constants!$H94)</f>
        <v>0</v>
      </c>
      <c r="AU79" s="22">
        <f>AU18*Constants!$H76*(1-Constants!$H94)</f>
        <v>0</v>
      </c>
      <c r="AV79" s="22">
        <f>AV18*Constants!$H76*(1-Constants!$H94)</f>
        <v>0</v>
      </c>
      <c r="AW79" s="22">
        <f>AW18*Constants!$H76*(1-Constants!$H94)</f>
        <v>0</v>
      </c>
      <c r="AX79" s="22">
        <f>AX18*Constants!$H76*(1-Constants!$H94)</f>
        <v>0</v>
      </c>
      <c r="AY79" s="22">
        <f>AY18*Constants!$H76*(1-Constants!$H94)</f>
        <v>0</v>
      </c>
      <c r="AZ79" s="22">
        <f>AZ18*Constants!$H76*(1-Constants!$H94)</f>
        <v>0</v>
      </c>
      <c r="BA79" s="22">
        <f>BA18*Constants!$H76*(1-Constants!$H94)</f>
        <v>0</v>
      </c>
      <c r="BB79" s="22">
        <f>BB18*Constants!$H76*(1-Constants!$H94)</f>
        <v>0</v>
      </c>
      <c r="BC79" s="22">
        <f>BC18*Constants!$H76*(1-Constants!$H94)</f>
        <v>0</v>
      </c>
      <c r="BD79" s="22">
        <f>BD18*Constants!$H76*(1-Constants!$H94)</f>
        <v>0</v>
      </c>
      <c r="BE79" s="22">
        <f>BE18*Constants!$H76*(1-Constants!$H94)</f>
        <v>0</v>
      </c>
      <c r="BF79" s="22">
        <f>BF18*Constants!$H76*(1-Constants!$H94)</f>
        <v>0</v>
      </c>
      <c r="BG79" s="22">
        <f>BG18*Constants!$H76*(1-Constants!$H94)</f>
        <v>0</v>
      </c>
      <c r="BH79" s="22">
        <f>BH18*Constants!$H76*(1-Constants!$H94)</f>
        <v>0</v>
      </c>
      <c r="BI79" s="22">
        <f>BI18*Constants!$H76*(1-Constants!$H94)</f>
        <v>0</v>
      </c>
      <c r="BJ79" s="22">
        <f>BJ18*Constants!$H76*(1-Constants!$H94)</f>
        <v>0</v>
      </c>
      <c r="BK79" s="22">
        <f>BK18*Constants!$H76*(1-Constants!$H94)</f>
        <v>0</v>
      </c>
      <c r="BL79" s="22">
        <f>BL18*Constants!$H76*(1-Constants!$H94)</f>
        <v>0</v>
      </c>
      <c r="BM79" s="22">
        <f>BM18*Constants!$H76*(1-Constants!$H94)</f>
        <v>0</v>
      </c>
      <c r="BN79" s="22">
        <f>BN18*Constants!$H76*(1-Constants!$H94)</f>
        <v>0</v>
      </c>
      <c r="BO79" s="22">
        <f>BO18*Constants!$H76*(1-Constants!$H94)</f>
        <v>0</v>
      </c>
      <c r="BP79" s="22">
        <f>BP18*Constants!$H76*(1-Constants!$H94)</f>
        <v>0</v>
      </c>
    </row>
    <row r="80" spans="1:68" x14ac:dyDescent="0.25">
      <c r="A80" t="str">
        <f t="shared" si="25"/>
        <v>3C Aggregated and non-CO2 emissions on land</v>
      </c>
      <c r="B80" t="str">
        <f t="shared" si="26"/>
        <v>3C4 Direct N2O from managed soils (N2O)</v>
      </c>
      <c r="C80" t="s">
        <v>410</v>
      </c>
      <c r="D80" t="str">
        <f t="shared" si="27"/>
        <v xml:space="preserve"> - Commercial layers</v>
      </c>
      <c r="E80" t="str">
        <f t="shared" ref="E80:E81" si="30">C80&amp;D80</f>
        <v>Urine &amp; dung - Commercial layers</v>
      </c>
      <c r="F80" t="str">
        <f t="shared" ref="F80:F81" si="31">F79</f>
        <v>kg N</v>
      </c>
      <c r="H80" s="22">
        <f>H19*Constants!$H77*(1-Constants!$H95)</f>
        <v>0</v>
      </c>
      <c r="I80" s="22">
        <f>I19*Constants!$H77*(1-Constants!$H95)</f>
        <v>0</v>
      </c>
      <c r="J80" s="22">
        <f>J19*Constants!$H77*(1-Constants!$H95)</f>
        <v>0</v>
      </c>
      <c r="K80" s="22">
        <f>K19*Constants!$H77*(1-Constants!$H95)</f>
        <v>0</v>
      </c>
      <c r="L80" s="22">
        <f>L19*Constants!$H77*(1-Constants!$H95)</f>
        <v>0</v>
      </c>
      <c r="M80" s="22">
        <f>M19*Constants!$H77*(1-Constants!$H95)</f>
        <v>0</v>
      </c>
      <c r="N80" s="22">
        <f>N19*Constants!$H77*(1-Constants!$H95)</f>
        <v>0</v>
      </c>
      <c r="O80" s="22">
        <f>O19*Constants!$H77*(1-Constants!$H95)</f>
        <v>0</v>
      </c>
      <c r="P80" s="22">
        <f>P19*Constants!$H77*(1-Constants!$H95)</f>
        <v>0</v>
      </c>
      <c r="Q80" s="22">
        <f>Q19*Constants!$H77*(1-Constants!$H95)</f>
        <v>0</v>
      </c>
      <c r="R80" s="22">
        <f>R19*Constants!$H77*(1-Constants!$H95)</f>
        <v>0</v>
      </c>
      <c r="S80" s="22">
        <f>S19*Constants!$H77*(1-Constants!$H95)</f>
        <v>0</v>
      </c>
      <c r="T80" s="22">
        <f>T19*Constants!$H77*(1-Constants!$H95)</f>
        <v>0</v>
      </c>
      <c r="U80" s="22">
        <f>U19*Constants!$H77*(1-Constants!$H95)</f>
        <v>0</v>
      </c>
      <c r="V80" s="22">
        <f>V19*Constants!$H77*(1-Constants!$H95)</f>
        <v>0</v>
      </c>
      <c r="W80" s="22">
        <f>W19*Constants!$H77*(1-Constants!$H95)</f>
        <v>0</v>
      </c>
      <c r="X80" s="22">
        <f>X19*Constants!$H77*(1-Constants!$H95)</f>
        <v>0</v>
      </c>
      <c r="Y80" s="22">
        <f>Y19*Constants!$H77*(1-Constants!$H95)</f>
        <v>0</v>
      </c>
      <c r="Z80" s="22">
        <f>Z19*Constants!$H77*(1-Constants!$H95)</f>
        <v>0</v>
      </c>
      <c r="AA80" s="22">
        <f>AA19*Constants!$H77*(1-Constants!$H95)</f>
        <v>0</v>
      </c>
      <c r="AB80" s="22">
        <f>AB19*Constants!$H77*(1-Constants!$H95)</f>
        <v>0</v>
      </c>
      <c r="AC80" s="22">
        <f>AC19*Constants!$H77*(1-Constants!$H95)</f>
        <v>0</v>
      </c>
      <c r="AD80" s="22">
        <f>AD19*Constants!$H77*(1-Constants!$H95)</f>
        <v>0</v>
      </c>
      <c r="AE80" s="22">
        <f>AE19*Constants!$H77*(1-Constants!$H95)</f>
        <v>0</v>
      </c>
      <c r="AF80" s="22">
        <f>AF19*Constants!$H77*(1-Constants!$H95)</f>
        <v>0</v>
      </c>
      <c r="AG80" s="22">
        <f>AG19*Constants!$H77*(1-Constants!$H95)</f>
        <v>0</v>
      </c>
      <c r="AH80" s="22">
        <f>AH19*Constants!$H77*(1-Constants!$H95)</f>
        <v>0</v>
      </c>
      <c r="AI80" s="22">
        <f>AI19*Constants!$H77*(1-Constants!$H95)</f>
        <v>0</v>
      </c>
      <c r="AJ80" s="22">
        <f>AJ19*Constants!$H77*(1-Constants!$H95)</f>
        <v>0</v>
      </c>
      <c r="AK80" s="22">
        <f>AK19*Constants!$H77*(1-Constants!$H95)</f>
        <v>0</v>
      </c>
      <c r="AL80" s="22">
        <f>AL19*Constants!$H77*(1-Constants!$H95)</f>
        <v>0</v>
      </c>
      <c r="AM80" s="22">
        <f>AM19*Constants!$H77*(1-Constants!$H95)</f>
        <v>0</v>
      </c>
      <c r="AN80" s="22">
        <f>AN19*Constants!$H77*(1-Constants!$H95)</f>
        <v>0</v>
      </c>
      <c r="AO80" s="22">
        <f>AO19*Constants!$H77*(1-Constants!$H95)</f>
        <v>0</v>
      </c>
      <c r="AP80" s="22">
        <f>AP19*Constants!$H77*(1-Constants!$H95)</f>
        <v>0</v>
      </c>
      <c r="AQ80" s="22">
        <f>AQ19*Constants!$H77*(1-Constants!$H95)</f>
        <v>0</v>
      </c>
      <c r="AR80" s="22">
        <f>AR19*Constants!$H77*(1-Constants!$H95)</f>
        <v>0</v>
      </c>
      <c r="AS80" s="22">
        <f>AS19*Constants!$H77*(1-Constants!$H95)</f>
        <v>0</v>
      </c>
      <c r="AT80" s="22">
        <f>AT19*Constants!$H77*(1-Constants!$H95)</f>
        <v>0</v>
      </c>
      <c r="AU80" s="22">
        <f>AU19*Constants!$H77*(1-Constants!$H95)</f>
        <v>0</v>
      </c>
      <c r="AV80" s="22">
        <f>AV19*Constants!$H77*(1-Constants!$H95)</f>
        <v>0</v>
      </c>
      <c r="AW80" s="22">
        <f>AW19*Constants!$H77*(1-Constants!$H95)</f>
        <v>0</v>
      </c>
      <c r="AX80" s="22">
        <f>AX19*Constants!$H77*(1-Constants!$H95)</f>
        <v>0</v>
      </c>
      <c r="AY80" s="22">
        <f>AY19*Constants!$H77*(1-Constants!$H95)</f>
        <v>0</v>
      </c>
      <c r="AZ80" s="22">
        <f>AZ19*Constants!$H77*(1-Constants!$H95)</f>
        <v>0</v>
      </c>
      <c r="BA80" s="22">
        <f>BA19*Constants!$H77*(1-Constants!$H95)</f>
        <v>0</v>
      </c>
      <c r="BB80" s="22">
        <f>BB19*Constants!$H77*(1-Constants!$H95)</f>
        <v>0</v>
      </c>
      <c r="BC80" s="22">
        <f>BC19*Constants!$H77*(1-Constants!$H95)</f>
        <v>0</v>
      </c>
      <c r="BD80" s="22">
        <f>BD19*Constants!$H77*(1-Constants!$H95)</f>
        <v>0</v>
      </c>
      <c r="BE80" s="22">
        <f>BE19*Constants!$H77*(1-Constants!$H95)</f>
        <v>0</v>
      </c>
      <c r="BF80" s="22">
        <f>BF19*Constants!$H77*(1-Constants!$H95)</f>
        <v>0</v>
      </c>
      <c r="BG80" s="22">
        <f>BG19*Constants!$H77*(1-Constants!$H95)</f>
        <v>0</v>
      </c>
      <c r="BH80" s="22">
        <f>BH19*Constants!$H77*(1-Constants!$H95)</f>
        <v>0</v>
      </c>
      <c r="BI80" s="22">
        <f>BI19*Constants!$H77*(1-Constants!$H95)</f>
        <v>0</v>
      </c>
      <c r="BJ80" s="22">
        <f>BJ19*Constants!$H77*(1-Constants!$H95)</f>
        <v>0</v>
      </c>
      <c r="BK80" s="22">
        <f>BK19*Constants!$H77*(1-Constants!$H95)</f>
        <v>0</v>
      </c>
      <c r="BL80" s="22">
        <f>BL19*Constants!$H77*(1-Constants!$H95)</f>
        <v>0</v>
      </c>
      <c r="BM80" s="22">
        <f>BM19*Constants!$H77*(1-Constants!$H95)</f>
        <v>0</v>
      </c>
      <c r="BN80" s="22">
        <f>BN19*Constants!$H77*(1-Constants!$H95)</f>
        <v>0</v>
      </c>
      <c r="BO80" s="22">
        <f>BO19*Constants!$H77*(1-Constants!$H95)</f>
        <v>0</v>
      </c>
      <c r="BP80" s="22">
        <f>BP19*Constants!$H77*(1-Constants!$H95)</f>
        <v>0</v>
      </c>
    </row>
    <row r="81" spans="1:72" x14ac:dyDescent="0.25">
      <c r="A81" t="str">
        <f t="shared" si="25"/>
        <v>3C Aggregated and non-CO2 emissions on land</v>
      </c>
      <c r="B81" t="str">
        <f t="shared" si="26"/>
        <v>3C4 Direct N2O from managed soils (N2O)</v>
      </c>
      <c r="C81" t="s">
        <v>410</v>
      </c>
      <c r="D81" t="str">
        <f t="shared" si="27"/>
        <v xml:space="preserve"> - Commercial broilers</v>
      </c>
      <c r="E81" t="str">
        <f t="shared" si="30"/>
        <v>Urine &amp; dung - Commercial broilers</v>
      </c>
      <c r="F81" t="str">
        <f t="shared" si="31"/>
        <v>kg N</v>
      </c>
      <c r="H81" s="22">
        <f>H20*Constants!$H78*(1-Constants!$H96)</f>
        <v>0</v>
      </c>
      <c r="I81" s="22">
        <f>I20*Constants!$H78*(1-Constants!$H96)</f>
        <v>0</v>
      </c>
      <c r="J81" s="22">
        <f>J20*Constants!$H78*(1-Constants!$H96)</f>
        <v>0</v>
      </c>
      <c r="K81" s="22">
        <f>K20*Constants!$H78*(1-Constants!$H96)</f>
        <v>0</v>
      </c>
      <c r="L81" s="22">
        <f>L20*Constants!$H78*(1-Constants!$H96)</f>
        <v>0</v>
      </c>
      <c r="M81" s="22">
        <f>M20*Constants!$H78*(1-Constants!$H96)</f>
        <v>0</v>
      </c>
      <c r="N81" s="22">
        <f>N20*Constants!$H78*(1-Constants!$H96)</f>
        <v>0</v>
      </c>
      <c r="O81" s="22">
        <f>O20*Constants!$H78*(1-Constants!$H96)</f>
        <v>0</v>
      </c>
      <c r="P81" s="22">
        <f>P20*Constants!$H78*(1-Constants!$H96)</f>
        <v>0</v>
      </c>
      <c r="Q81" s="22">
        <f>Q20*Constants!$H78*(1-Constants!$H96)</f>
        <v>0</v>
      </c>
      <c r="R81" s="22">
        <f>R20*Constants!$H78*(1-Constants!$H96)</f>
        <v>0</v>
      </c>
      <c r="S81" s="22">
        <f>S20*Constants!$H78*(1-Constants!$H96)</f>
        <v>0</v>
      </c>
      <c r="T81" s="22">
        <f>T20*Constants!$H78*(1-Constants!$H96)</f>
        <v>0</v>
      </c>
      <c r="U81" s="22">
        <f>U20*Constants!$H78*(1-Constants!$H96)</f>
        <v>0</v>
      </c>
      <c r="V81" s="22">
        <f>V20*Constants!$H78*(1-Constants!$H96)</f>
        <v>0</v>
      </c>
      <c r="W81" s="22">
        <f>W20*Constants!$H78*(1-Constants!$H96)</f>
        <v>0</v>
      </c>
      <c r="X81" s="22">
        <f>X20*Constants!$H78*(1-Constants!$H96)</f>
        <v>0</v>
      </c>
      <c r="Y81" s="22">
        <f>Y20*Constants!$H78*(1-Constants!$H96)</f>
        <v>0</v>
      </c>
      <c r="Z81" s="22">
        <f>Z20*Constants!$H78*(1-Constants!$H96)</f>
        <v>0</v>
      </c>
      <c r="AA81" s="22">
        <f>AA20*Constants!$H78*(1-Constants!$H96)</f>
        <v>0</v>
      </c>
      <c r="AB81" s="22">
        <f>AB20*Constants!$H78*(1-Constants!$H96)</f>
        <v>0</v>
      </c>
      <c r="AC81" s="22">
        <f>AC20*Constants!$H78*(1-Constants!$H96)</f>
        <v>0</v>
      </c>
      <c r="AD81" s="22">
        <f>AD20*Constants!$H78*(1-Constants!$H96)</f>
        <v>0</v>
      </c>
      <c r="AE81" s="22">
        <f>AE20*Constants!$H78*(1-Constants!$H96)</f>
        <v>0</v>
      </c>
      <c r="AF81" s="22">
        <f>AF20*Constants!$H78*(1-Constants!$H96)</f>
        <v>0</v>
      </c>
      <c r="AG81" s="22">
        <f>AG20*Constants!$H78*(1-Constants!$H96)</f>
        <v>0</v>
      </c>
      <c r="AH81" s="22">
        <f>AH20*Constants!$H78*(1-Constants!$H96)</f>
        <v>0</v>
      </c>
      <c r="AI81" s="22">
        <f>AI20*Constants!$H78*(1-Constants!$H96)</f>
        <v>0</v>
      </c>
      <c r="AJ81" s="22">
        <f>AJ20*Constants!$H78*(1-Constants!$H96)</f>
        <v>0</v>
      </c>
      <c r="AK81" s="22">
        <f>AK20*Constants!$H78*(1-Constants!$H96)</f>
        <v>0</v>
      </c>
      <c r="AL81" s="22">
        <f>AL20*Constants!$H78*(1-Constants!$H96)</f>
        <v>0</v>
      </c>
      <c r="AM81" s="22">
        <f>AM20*Constants!$H78*(1-Constants!$H96)</f>
        <v>0</v>
      </c>
      <c r="AN81" s="22">
        <f>AN20*Constants!$H78*(1-Constants!$H96)</f>
        <v>0</v>
      </c>
      <c r="AO81" s="22">
        <f>AO20*Constants!$H78*(1-Constants!$H96)</f>
        <v>0</v>
      </c>
      <c r="AP81" s="22">
        <f>AP20*Constants!$H78*(1-Constants!$H96)</f>
        <v>0</v>
      </c>
      <c r="AQ81" s="22">
        <f>AQ20*Constants!$H78*(1-Constants!$H96)</f>
        <v>0</v>
      </c>
      <c r="AR81" s="22">
        <f>AR20*Constants!$H78*(1-Constants!$H96)</f>
        <v>0</v>
      </c>
      <c r="AS81" s="22">
        <f>AS20*Constants!$H78*(1-Constants!$H96)</f>
        <v>0</v>
      </c>
      <c r="AT81" s="22">
        <f>AT20*Constants!$H78*(1-Constants!$H96)</f>
        <v>0</v>
      </c>
      <c r="AU81" s="22">
        <f>AU20*Constants!$H78*(1-Constants!$H96)</f>
        <v>0</v>
      </c>
      <c r="AV81" s="22">
        <f>AV20*Constants!$H78*(1-Constants!$H96)</f>
        <v>0</v>
      </c>
      <c r="AW81" s="22">
        <f>AW20*Constants!$H78*(1-Constants!$H96)</f>
        <v>0</v>
      </c>
      <c r="AX81" s="22">
        <f>AX20*Constants!$H78*(1-Constants!$H96)</f>
        <v>0</v>
      </c>
      <c r="AY81" s="22">
        <f>AY20*Constants!$H78*(1-Constants!$H96)</f>
        <v>0</v>
      </c>
      <c r="AZ81" s="22">
        <f>AZ20*Constants!$H78*(1-Constants!$H96)</f>
        <v>0</v>
      </c>
      <c r="BA81" s="22">
        <f>BA20*Constants!$H78*(1-Constants!$H96)</f>
        <v>0</v>
      </c>
      <c r="BB81" s="22">
        <f>BB20*Constants!$H78*(1-Constants!$H96)</f>
        <v>0</v>
      </c>
      <c r="BC81" s="22">
        <f>BC20*Constants!$H78*(1-Constants!$H96)</f>
        <v>0</v>
      </c>
      <c r="BD81" s="22">
        <f>BD20*Constants!$H78*(1-Constants!$H96)</f>
        <v>0</v>
      </c>
      <c r="BE81" s="22">
        <f>BE20*Constants!$H78*(1-Constants!$H96)</f>
        <v>0</v>
      </c>
      <c r="BF81" s="22">
        <f>BF20*Constants!$H78*(1-Constants!$H96)</f>
        <v>0</v>
      </c>
      <c r="BG81" s="22">
        <f>BG20*Constants!$H78*(1-Constants!$H96)</f>
        <v>0</v>
      </c>
      <c r="BH81" s="22">
        <f>BH20*Constants!$H78*(1-Constants!$H96)</f>
        <v>0</v>
      </c>
      <c r="BI81" s="22">
        <f>BI20*Constants!$H78*(1-Constants!$H96)</f>
        <v>0</v>
      </c>
      <c r="BJ81" s="22">
        <f>BJ20*Constants!$H78*(1-Constants!$H96)</f>
        <v>0</v>
      </c>
      <c r="BK81" s="22">
        <f>BK20*Constants!$H78*(1-Constants!$H96)</f>
        <v>0</v>
      </c>
      <c r="BL81" s="22">
        <f>BL20*Constants!$H78*(1-Constants!$H96)</f>
        <v>0</v>
      </c>
      <c r="BM81" s="22">
        <f>BM20*Constants!$H78*(1-Constants!$H96)</f>
        <v>0</v>
      </c>
      <c r="BN81" s="22">
        <f>BN20*Constants!$H78*(1-Constants!$H96)</f>
        <v>0</v>
      </c>
      <c r="BO81" s="22">
        <f>BO20*Constants!$H78*(1-Constants!$H96)</f>
        <v>0</v>
      </c>
      <c r="BP81" s="22">
        <f>BP20*Constants!$H78*(1-Constants!$H96)</f>
        <v>0</v>
      </c>
    </row>
    <row r="82" spans="1:72" x14ac:dyDescent="0.25">
      <c r="A82" t="str">
        <f>A81</f>
        <v>3C Aggregated and non-CO2 emissions on land</v>
      </c>
      <c r="B82" t="str">
        <f t="shared" si="26"/>
        <v>3C4 Direct N2O from managed soils (N2O)</v>
      </c>
      <c r="C82" t="s">
        <v>661</v>
      </c>
      <c r="D82" t="s">
        <v>444</v>
      </c>
      <c r="E82" t="str">
        <f t="shared" ref="E82:E85" si="32">C82&amp;D82</f>
        <v>Crop residue N - maize</v>
      </c>
      <c r="F82" t="str">
        <f t="shared" ref="F82:F85" si="33">F81</f>
        <v>kg N</v>
      </c>
      <c r="H82" s="22">
        <v>169222719.81423381</v>
      </c>
      <c r="I82" s="22">
        <v>146469055.03045925</v>
      </c>
      <c r="J82" s="22">
        <v>159221366.84252763</v>
      </c>
      <c r="K82" s="22">
        <v>166361838.74906701</v>
      </c>
      <c r="L82" s="22">
        <v>177207855.24554062</v>
      </c>
      <c r="M82" s="22">
        <v>134194234.50025843</v>
      </c>
      <c r="N82" s="22">
        <v>143395687.73539102</v>
      </c>
      <c r="O82" s="22">
        <v>154135462.82738763</v>
      </c>
      <c r="P82" s="22">
        <v>135980324.06223202</v>
      </c>
      <c r="Q82" s="22">
        <v>136205316.98976544</v>
      </c>
      <c r="R82" s="22">
        <v>153316816.86155123</v>
      </c>
      <c r="S82" s="22">
        <v>121680505.97819223</v>
      </c>
      <c r="T82" s="22">
        <v>134754504.74286324</v>
      </c>
      <c r="U82" s="22">
        <v>139005050.45193782</v>
      </c>
      <c r="V82" s="22">
        <v>122072648.78867763</v>
      </c>
      <c r="W82" s="22">
        <v>122727616.37001581</v>
      </c>
      <c r="X82" s="22">
        <v>76773886.659184024</v>
      </c>
      <c r="Y82" s="22">
        <v>110722449.64123464</v>
      </c>
      <c r="Z82" s="22">
        <v>126740304.25230721</v>
      </c>
      <c r="AA82" s="22">
        <v>112126055.04929921</v>
      </c>
      <c r="AB82" s="22">
        <v>127466246.79321264</v>
      </c>
      <c r="AC82" s="22">
        <v>113245894.01580001</v>
      </c>
      <c r="AD82" s="22">
        <f>((AD41*Constants!$H$45*Constants!$H$48)*(1+Constants!$H$51))*Constants!$H$54*Constants!$H$42*Constants!$H$57*Constants!$H$58*ttokg</f>
        <v>100346378.06238909</v>
      </c>
      <c r="AE82" s="22">
        <f>((AE41*Constants!$H$45*Constants!$H$48)*(1+Constants!$H$51))*Constants!$H$54*Constants!$H$42*Constants!$H$57*Constants!$H$58*ttokg</f>
        <v>100534644.04920822</v>
      </c>
      <c r="AF82" s="22">
        <f>((AF41*Constants!$H$45*Constants!$H$48)*(1+Constants!$H$51))*Constants!$H$54*Constants!$H$42*Constants!$H$57*Constants!$H$58*ttokg</f>
        <v>100946667.40948302</v>
      </c>
      <c r="AG82" s="22">
        <f>((AG41*Constants!$H$45*Constants!$H$48)*(1+Constants!$H$51))*Constants!$H$54*Constants!$H$42*Constants!$H$57*Constants!$H$58*ttokg</f>
        <v>101261839.80432852</v>
      </c>
      <c r="AH82" s="22">
        <f>((AH41*Constants!$H$45*Constants!$H$48)*(1+Constants!$H$51))*Constants!$H$54*Constants!$H$42*Constants!$H$57*Constants!$H$58*ttokg</f>
        <v>101504559.66132371</v>
      </c>
      <c r="AI82" s="22">
        <f>((AI41*Constants!$H$45*Constants!$H$48)*(1+Constants!$H$51))*Constants!$H$54*Constants!$H$42*Constants!$H$57*Constants!$H$58*ttokg</f>
        <v>101671551.48808564</v>
      </c>
      <c r="AJ82" s="22">
        <f>((AJ41*Constants!$H$45*Constants!$H$48)*(1+Constants!$H$51))*Constants!$H$54*Constants!$H$42*Constants!$H$57*Constants!$H$58*ttokg</f>
        <v>101931488.7849278</v>
      </c>
      <c r="AK82" s="22">
        <f>((AK41*Constants!$H$45*Constants!$H$48)*(1+Constants!$H$51))*Constants!$H$54*Constants!$H$42*Constants!$H$57*Constants!$H$58*ttokg</f>
        <v>102169574.30734923</v>
      </c>
      <c r="AL82" s="22">
        <f>((AL41*Constants!$H$45*Constants!$H$48)*(1+Constants!$H$51))*Constants!$H$54*Constants!$H$42*Constants!$H$57*Constants!$H$58*ttokg</f>
        <v>102398771.11902744</v>
      </c>
      <c r="AM82" s="22">
        <f>((AM41*Constants!$H$45*Constants!$H$48)*(1+Constants!$H$51))*Constants!$H$54*Constants!$H$42*Constants!$H$57*Constants!$H$58*ttokg</f>
        <v>101101867.61988051</v>
      </c>
      <c r="AN82" s="22">
        <f>((AN41*Constants!$H$45*Constants!$H$48)*(1+Constants!$H$51))*Constants!$H$54*Constants!$H$42*Constants!$H$57*Constants!$H$58*ttokg</f>
        <v>101537358.95168355</v>
      </c>
      <c r="AO82" s="22">
        <f>((AO41*Constants!$H$45*Constants!$H$48)*(1+Constants!$H$51))*Constants!$H$54*Constants!$H$42*Constants!$H$57*Constants!$H$58*ttokg</f>
        <v>101948387.66542554</v>
      </c>
      <c r="AP82" s="22">
        <f>((AP41*Constants!$H$45*Constants!$H$48)*(1+Constants!$H$51))*Constants!$H$54*Constants!$H$42*Constants!$H$57*Constants!$H$58*ttokg</f>
        <v>102362559.25034437</v>
      </c>
      <c r="AQ82" s="22">
        <f>((AQ41*Constants!$H$45*Constants!$H$48)*(1+Constants!$H$51))*Constants!$H$54*Constants!$H$42*Constants!$H$57*Constants!$H$58*ttokg</f>
        <v>102798912.66975653</v>
      </c>
      <c r="AR82" s="22">
        <f>((AR41*Constants!$H$45*Constants!$H$48)*(1+Constants!$H$51))*Constants!$H$54*Constants!$H$42*Constants!$H$57*Constants!$H$58*ttokg</f>
        <v>103269994.1175724</v>
      </c>
      <c r="AS82" s="22">
        <f>((AS41*Constants!$H$45*Constants!$H$48)*(1+Constants!$H$51))*Constants!$H$54*Constants!$H$42*Constants!$H$57*Constants!$H$58*ttokg</f>
        <v>103748532.73839608</v>
      </c>
      <c r="AT82" s="22">
        <f>((AT41*Constants!$H$45*Constants!$H$48)*(1+Constants!$H$51))*Constants!$H$54*Constants!$H$42*Constants!$H$57*Constants!$H$58*ttokg</f>
        <v>104246758.32456303</v>
      </c>
      <c r="AU82" s="22">
        <f>((AU41*Constants!$H$45*Constants!$H$48)*(1+Constants!$H$51))*Constants!$H$54*Constants!$H$42*Constants!$H$57*Constants!$H$58*ttokg</f>
        <v>104766534.49778333</v>
      </c>
      <c r="AV82" s="22">
        <f>((AV41*Constants!$H$45*Constants!$H$48)*(1+Constants!$H$51))*Constants!$H$54*Constants!$H$42*Constants!$H$57*Constants!$H$58*ttokg</f>
        <v>105333247.25758432</v>
      </c>
      <c r="AW82" s="22">
        <f>((AW41*Constants!$H$45*Constants!$H$48)*(1+Constants!$H$51))*Constants!$H$54*Constants!$H$42*Constants!$H$57*Constants!$H$58*ttokg</f>
        <v>105886357.03506172</v>
      </c>
      <c r="AX82" s="22">
        <f>((AX41*Constants!$H$45*Constants!$H$48)*(1+Constants!$H$51))*Constants!$H$54*Constants!$H$42*Constants!$H$57*Constants!$H$58*ttokg</f>
        <v>106508310.98475748</v>
      </c>
      <c r="AY82" s="22">
        <f>((AY41*Constants!$H$45*Constants!$H$48)*(1+Constants!$H$51))*Constants!$H$54*Constants!$H$42*Constants!$H$57*Constants!$H$58*ttokg</f>
        <v>107136516.26769018</v>
      </c>
      <c r="AZ82" s="22">
        <f>((AZ41*Constants!$H$45*Constants!$H$48)*(1+Constants!$H$51))*Constants!$H$54*Constants!$H$42*Constants!$H$57*Constants!$H$58*ttokg</f>
        <v>107767847.40734181</v>
      </c>
      <c r="BA82" s="22">
        <f>((BA41*Constants!$H$45*Constants!$H$48)*(1+Constants!$H$51))*Constants!$H$54*Constants!$H$42*Constants!$H$57*Constants!$H$58*ttokg</f>
        <v>108399275.25386608</v>
      </c>
      <c r="BB82" s="22">
        <f>((BB41*Constants!$H$45*Constants!$H$48)*(1+Constants!$H$51))*Constants!$H$54*Constants!$H$42*Constants!$H$57*Constants!$H$58*ttokg</f>
        <v>108977880.96734151</v>
      </c>
      <c r="BC82" s="22">
        <f>((BC41*Constants!$H$45*Constants!$H$48)*(1+Constants!$H$51))*Constants!$H$54*Constants!$H$42*Constants!$H$57*Constants!$H$58*ttokg</f>
        <v>109566138.54357164</v>
      </c>
      <c r="BD82" s="22">
        <f>((BD41*Constants!$H$45*Constants!$H$48)*(1+Constants!$H$51))*Constants!$H$54*Constants!$H$42*Constants!$H$57*Constants!$H$58*ttokg</f>
        <v>110178255.12684618</v>
      </c>
      <c r="BE82" s="22">
        <f>((BE41*Constants!$H$45*Constants!$H$48)*(1+Constants!$H$51))*Constants!$H$54*Constants!$H$42*Constants!$H$57*Constants!$H$58*ttokg</f>
        <v>110802503.15885574</v>
      </c>
      <c r="BF82" s="22">
        <f>((BF41*Constants!$H$45*Constants!$H$48)*(1+Constants!$H$51))*Constants!$H$54*Constants!$H$42*Constants!$H$57*Constants!$H$58*ttokg</f>
        <v>111402289.78096473</v>
      </c>
      <c r="BG82" s="22">
        <f>((BG41*Constants!$H$45*Constants!$H$48)*(1+Constants!$H$51))*Constants!$H$54*Constants!$H$42*Constants!$H$57*Constants!$H$58*ttokg</f>
        <v>111997938.13840407</v>
      </c>
      <c r="BH82" s="22">
        <f>((BH41*Constants!$H$45*Constants!$H$48)*(1+Constants!$H$51))*Constants!$H$54*Constants!$H$42*Constants!$H$57*Constants!$H$58*ttokg</f>
        <v>112600036.71602201</v>
      </c>
      <c r="BI82" s="22">
        <f>((BI41*Constants!$H$45*Constants!$H$48)*(1+Constants!$H$51))*Constants!$H$54*Constants!$H$42*Constants!$H$57*Constants!$H$58*ttokg</f>
        <v>113215069.44445656</v>
      </c>
      <c r="BJ82" s="22">
        <f>((BJ41*Constants!$H$45*Constants!$H$48)*(1+Constants!$H$51))*Constants!$H$54*Constants!$H$42*Constants!$H$57*Constants!$H$58*ttokg</f>
        <v>113847879.55098341</v>
      </c>
      <c r="BK82" s="22">
        <f>((BK41*Constants!$H$45*Constants!$H$48)*(1+Constants!$H$51))*Constants!$H$54*Constants!$H$42*Constants!$H$57*Constants!$H$58*ttokg</f>
        <v>114494620.34417967</v>
      </c>
      <c r="BL82" s="22">
        <f>((BL41*Constants!$H$45*Constants!$H$48)*(1+Constants!$H$51))*Constants!$H$54*Constants!$H$42*Constants!$H$57*Constants!$H$58*ttokg</f>
        <v>115166005.32042581</v>
      </c>
      <c r="BM82" s="22">
        <f>((BM41*Constants!$H$45*Constants!$H$48)*(1+Constants!$H$51))*Constants!$H$54*Constants!$H$42*Constants!$H$57*Constants!$H$58*ttokg</f>
        <v>115852756.53202461</v>
      </c>
      <c r="BN82" s="22">
        <f>((BN41*Constants!$H$45*Constants!$H$48)*(1+Constants!$H$51))*Constants!$H$54*Constants!$H$42*Constants!$H$57*Constants!$H$58*ttokg</f>
        <v>116548838.72475766</v>
      </c>
      <c r="BO82" s="22">
        <f>((BO41*Constants!$H$45*Constants!$H$48)*(1+Constants!$H$51))*Constants!$H$54*Constants!$H$42*Constants!$H$57*Constants!$H$58*ttokg</f>
        <v>117225030.1039253</v>
      </c>
      <c r="BP82" s="22">
        <f>((BP41*Constants!$H$45*Constants!$H$48)*(1+Constants!$H$51))*Constants!$H$54*Constants!$H$42*Constants!$H$57*Constants!$H$58*ttokg</f>
        <v>117912070.90288857</v>
      </c>
    </row>
    <row r="83" spans="1:72" x14ac:dyDescent="0.25">
      <c r="A83" t="str">
        <f>A82</f>
        <v>3C Aggregated and non-CO2 emissions on land</v>
      </c>
      <c r="B83" t="str">
        <f t="shared" ref="B83:C83" si="34">B82</f>
        <v>3C4 Direct N2O from managed soils (N2O)</v>
      </c>
      <c r="C83" t="str">
        <f t="shared" si="34"/>
        <v>Crop residue N</v>
      </c>
      <c r="D83" t="s">
        <v>374</v>
      </c>
      <c r="E83" t="str">
        <f t="shared" si="32"/>
        <v>Crop residue N - wheat</v>
      </c>
      <c r="F83" t="str">
        <f t="shared" si="33"/>
        <v>kg N</v>
      </c>
      <c r="H83" s="22">
        <v>12027674.492947873</v>
      </c>
      <c r="I83" s="22">
        <v>15073733.727081215</v>
      </c>
      <c r="J83" s="22">
        <v>9317109.7170359995</v>
      </c>
      <c r="K83" s="22">
        <v>13960385.955568802</v>
      </c>
      <c r="L83" s="22">
        <v>12951268.598936448</v>
      </c>
      <c r="M83" s="22">
        <v>13915210.572107857</v>
      </c>
      <c r="N83" s="22">
        <v>19086964.362997342</v>
      </c>
      <c r="O83" s="22">
        <v>17104848.961899597</v>
      </c>
      <c r="P83" s="22">
        <v>13260858.352196401</v>
      </c>
      <c r="Q83" s="22">
        <v>12195250.161865054</v>
      </c>
      <c r="R83" s="22">
        <v>17086357.776156764</v>
      </c>
      <c r="S83" s="22">
        <v>17620050.867103875</v>
      </c>
      <c r="T83" s="22">
        <v>17154163.058715936</v>
      </c>
      <c r="U83" s="22">
        <v>10885377.79194624</v>
      </c>
      <c r="V83" s="22">
        <v>11871375.563916</v>
      </c>
      <c r="W83" s="22">
        <v>13405603.487245198</v>
      </c>
      <c r="X83" s="22">
        <v>14812335.740283838</v>
      </c>
      <c r="Y83" s="22">
        <v>13404854.889448704</v>
      </c>
      <c r="Z83" s="22">
        <v>14988421.865818368</v>
      </c>
      <c r="AA83" s="22">
        <v>13767379.251199199</v>
      </c>
      <c r="AB83" s="22">
        <v>10061071.645942945</v>
      </c>
      <c r="AC83" s="22">
        <v>14115618.755591758</v>
      </c>
      <c r="AD83" s="22">
        <f>((AD42*Constants!$H$47*Constants!$H$50)*(1+Constants!$H$53))*Constants!$H$56*Constants!$H$44*Constants!$H$57*Constants!$H$58*ttokg</f>
        <v>12131728.127999999</v>
      </c>
      <c r="AE83" s="22">
        <f>((AE42*Constants!$H$47*Constants!$H$50)*(1+Constants!$H$53))*Constants!$H$56*Constants!$H$44*Constants!$H$57*Constants!$H$58*ttokg</f>
        <v>12131728.127999999</v>
      </c>
      <c r="AF83" s="22">
        <f>((AF42*Constants!$H$47*Constants!$H$50)*(1+Constants!$H$53))*Constants!$H$56*Constants!$H$44*Constants!$H$57*Constants!$H$58*ttokg</f>
        <v>12131728.127999999</v>
      </c>
      <c r="AG83" s="22">
        <f>((AG42*Constants!$H$47*Constants!$H$50)*(1+Constants!$H$53))*Constants!$H$56*Constants!$H$44*Constants!$H$57*Constants!$H$58*ttokg</f>
        <v>12131728.127999999</v>
      </c>
      <c r="AH83" s="22">
        <f>((AH42*Constants!$H$47*Constants!$H$50)*(1+Constants!$H$53))*Constants!$H$56*Constants!$H$44*Constants!$H$57*Constants!$H$58*ttokg</f>
        <v>12131728.127999999</v>
      </c>
      <c r="AI83" s="22">
        <f>((AI42*Constants!$H$47*Constants!$H$50)*(1+Constants!$H$53))*Constants!$H$56*Constants!$H$44*Constants!$H$57*Constants!$H$58*ttokg</f>
        <v>12131728.127999999</v>
      </c>
      <c r="AJ83" s="22">
        <f>((AJ42*Constants!$H$47*Constants!$H$50)*(1+Constants!$H$53))*Constants!$H$56*Constants!$H$44*Constants!$H$57*Constants!$H$58*ttokg</f>
        <v>12131728.127999999</v>
      </c>
      <c r="AK83" s="22">
        <f>((AK42*Constants!$H$47*Constants!$H$50)*(1+Constants!$H$53))*Constants!$H$56*Constants!$H$44*Constants!$H$57*Constants!$H$58*ttokg</f>
        <v>12131728.127999999</v>
      </c>
      <c r="AL83" s="22">
        <f>((AL42*Constants!$H$47*Constants!$H$50)*(1+Constants!$H$53))*Constants!$H$56*Constants!$H$44*Constants!$H$57*Constants!$H$58*ttokg</f>
        <v>12131728.127999999</v>
      </c>
      <c r="AM83" s="22">
        <f>((AM42*Constants!$H$47*Constants!$H$50)*(1+Constants!$H$53))*Constants!$H$56*Constants!$H$44*Constants!$H$57*Constants!$H$58*ttokg</f>
        <v>12131728.127999999</v>
      </c>
      <c r="AN83" s="22">
        <f>((AN42*Constants!$H$47*Constants!$H$50)*(1+Constants!$H$53))*Constants!$H$56*Constants!$H$44*Constants!$H$57*Constants!$H$58*ttokg</f>
        <v>12131728.127999999</v>
      </c>
      <c r="AO83" s="22">
        <f>((AO42*Constants!$H$47*Constants!$H$50)*(1+Constants!$H$53))*Constants!$H$56*Constants!$H$44*Constants!$H$57*Constants!$H$58*ttokg</f>
        <v>12131728.127999999</v>
      </c>
      <c r="AP83" s="22">
        <f>((AP42*Constants!$H$47*Constants!$H$50)*(1+Constants!$H$53))*Constants!$H$56*Constants!$H$44*Constants!$H$57*Constants!$H$58*ttokg</f>
        <v>12131728.127999999</v>
      </c>
      <c r="AQ83" s="22">
        <f>((AQ42*Constants!$H$47*Constants!$H$50)*(1+Constants!$H$53))*Constants!$H$56*Constants!$H$44*Constants!$H$57*Constants!$H$58*ttokg</f>
        <v>12131728.127999999</v>
      </c>
      <c r="AR83" s="22">
        <f>((AR42*Constants!$H$47*Constants!$H$50)*(1+Constants!$H$53))*Constants!$H$56*Constants!$H$44*Constants!$H$57*Constants!$H$58*ttokg</f>
        <v>12131728.127999999</v>
      </c>
      <c r="AS83" s="22">
        <f>((AS42*Constants!$H$47*Constants!$H$50)*(1+Constants!$H$53))*Constants!$H$56*Constants!$H$44*Constants!$H$57*Constants!$H$58*ttokg</f>
        <v>12131728.127999999</v>
      </c>
      <c r="AT83" s="22">
        <f>((AT42*Constants!$H$47*Constants!$H$50)*(1+Constants!$H$53))*Constants!$H$56*Constants!$H$44*Constants!$H$57*Constants!$H$58*ttokg</f>
        <v>12131728.127999999</v>
      </c>
      <c r="AU83" s="22">
        <f>((AU42*Constants!$H$47*Constants!$H$50)*(1+Constants!$H$53))*Constants!$H$56*Constants!$H$44*Constants!$H$57*Constants!$H$58*ttokg</f>
        <v>12131728.127999999</v>
      </c>
      <c r="AV83" s="22">
        <f>((AV42*Constants!$H$47*Constants!$H$50)*(1+Constants!$H$53))*Constants!$H$56*Constants!$H$44*Constants!$H$57*Constants!$H$58*ttokg</f>
        <v>12131728.127999999</v>
      </c>
      <c r="AW83" s="22">
        <f>((AW42*Constants!$H$47*Constants!$H$50)*(1+Constants!$H$53))*Constants!$H$56*Constants!$H$44*Constants!$H$57*Constants!$H$58*ttokg</f>
        <v>12131728.127999999</v>
      </c>
      <c r="AX83" s="22">
        <f>((AX42*Constants!$H$47*Constants!$H$50)*(1+Constants!$H$53))*Constants!$H$56*Constants!$H$44*Constants!$H$57*Constants!$H$58*ttokg</f>
        <v>12131728.127999999</v>
      </c>
      <c r="AY83" s="22">
        <f>((AY42*Constants!$H$47*Constants!$H$50)*(1+Constants!$H$53))*Constants!$H$56*Constants!$H$44*Constants!$H$57*Constants!$H$58*ttokg</f>
        <v>12131728.127999999</v>
      </c>
      <c r="AZ83" s="22">
        <f>((AZ42*Constants!$H$47*Constants!$H$50)*(1+Constants!$H$53))*Constants!$H$56*Constants!$H$44*Constants!$H$57*Constants!$H$58*ttokg</f>
        <v>12131728.127999999</v>
      </c>
      <c r="BA83" s="22">
        <f>((BA42*Constants!$H$47*Constants!$H$50)*(1+Constants!$H$53))*Constants!$H$56*Constants!$H$44*Constants!$H$57*Constants!$H$58*ttokg</f>
        <v>12131728.127999999</v>
      </c>
      <c r="BB83" s="22">
        <f>((BB42*Constants!$H$47*Constants!$H$50)*(1+Constants!$H$53))*Constants!$H$56*Constants!$H$44*Constants!$H$57*Constants!$H$58*ttokg</f>
        <v>12131728.127999999</v>
      </c>
      <c r="BC83" s="22">
        <f>((BC42*Constants!$H$47*Constants!$H$50)*(1+Constants!$H$53))*Constants!$H$56*Constants!$H$44*Constants!$H$57*Constants!$H$58*ttokg</f>
        <v>12131728.127999999</v>
      </c>
      <c r="BD83" s="22">
        <f>((BD42*Constants!$H$47*Constants!$H$50)*(1+Constants!$H$53))*Constants!$H$56*Constants!$H$44*Constants!$H$57*Constants!$H$58*ttokg</f>
        <v>12131728.127999999</v>
      </c>
      <c r="BE83" s="22">
        <f>((BE42*Constants!$H$47*Constants!$H$50)*(1+Constants!$H$53))*Constants!$H$56*Constants!$H$44*Constants!$H$57*Constants!$H$58*ttokg</f>
        <v>12131728.127999999</v>
      </c>
      <c r="BF83" s="22">
        <f>((BF42*Constants!$H$47*Constants!$H$50)*(1+Constants!$H$53))*Constants!$H$56*Constants!$H$44*Constants!$H$57*Constants!$H$58*ttokg</f>
        <v>12131728.127999999</v>
      </c>
      <c r="BG83" s="22">
        <f>((BG42*Constants!$H$47*Constants!$H$50)*(1+Constants!$H$53))*Constants!$H$56*Constants!$H$44*Constants!$H$57*Constants!$H$58*ttokg</f>
        <v>12131728.127999999</v>
      </c>
      <c r="BH83" s="22">
        <f>((BH42*Constants!$H$47*Constants!$H$50)*(1+Constants!$H$53))*Constants!$H$56*Constants!$H$44*Constants!$H$57*Constants!$H$58*ttokg</f>
        <v>12131728.127999999</v>
      </c>
      <c r="BI83" s="22">
        <f>((BI42*Constants!$H$47*Constants!$H$50)*(1+Constants!$H$53))*Constants!$H$56*Constants!$H$44*Constants!$H$57*Constants!$H$58*ttokg</f>
        <v>12131728.127999999</v>
      </c>
      <c r="BJ83" s="22">
        <f>((BJ42*Constants!$H$47*Constants!$H$50)*(1+Constants!$H$53))*Constants!$H$56*Constants!$H$44*Constants!$H$57*Constants!$H$58*ttokg</f>
        <v>12131728.127999999</v>
      </c>
      <c r="BK83" s="22">
        <f>((BK42*Constants!$H$47*Constants!$H$50)*(1+Constants!$H$53))*Constants!$H$56*Constants!$H$44*Constants!$H$57*Constants!$H$58*ttokg</f>
        <v>12131728.127999999</v>
      </c>
      <c r="BL83" s="22">
        <f>((BL42*Constants!$H$47*Constants!$H$50)*(1+Constants!$H$53))*Constants!$H$56*Constants!$H$44*Constants!$H$57*Constants!$H$58*ttokg</f>
        <v>12131728.127999999</v>
      </c>
      <c r="BM83" s="22">
        <f>((BM42*Constants!$H$47*Constants!$H$50)*(1+Constants!$H$53))*Constants!$H$56*Constants!$H$44*Constants!$H$57*Constants!$H$58*ttokg</f>
        <v>12131728.127999999</v>
      </c>
      <c r="BN83" s="22">
        <f>((BN42*Constants!$H$47*Constants!$H$50)*(1+Constants!$H$53))*Constants!$H$56*Constants!$H$44*Constants!$H$57*Constants!$H$58*ttokg</f>
        <v>12131728.127999999</v>
      </c>
      <c r="BO83" s="22">
        <f>((BO42*Constants!$H$47*Constants!$H$50)*(1+Constants!$H$53))*Constants!$H$56*Constants!$H$44*Constants!$H$57*Constants!$H$58*ttokg</f>
        <v>12131728.127999999</v>
      </c>
      <c r="BP83" s="22">
        <f>((BP42*Constants!$H$47*Constants!$H$50)*(1+Constants!$H$53))*Constants!$H$56*Constants!$H$44*Constants!$H$57*Constants!$H$58*ttokg</f>
        <v>12131728.127999999</v>
      </c>
    </row>
    <row r="84" spans="1:72" x14ac:dyDescent="0.25">
      <c r="A84" t="str">
        <f>A83</f>
        <v>3C Aggregated and non-CO2 emissions on land</v>
      </c>
      <c r="B84" t="str">
        <f t="shared" ref="B84" si="35">B83</f>
        <v>3C4 Direct N2O from managed soils (N2O)</v>
      </c>
      <c r="C84" t="str">
        <f t="shared" ref="C84" si="36">C83</f>
        <v>Crop residue N</v>
      </c>
      <c r="D84" t="s">
        <v>375</v>
      </c>
      <c r="E84" t="str">
        <f t="shared" si="32"/>
        <v>Crop residue N - sorghum</v>
      </c>
      <c r="F84" t="str">
        <f t="shared" si="33"/>
        <v>kg N</v>
      </c>
      <c r="H84" s="22">
        <v>390687.3631584</v>
      </c>
      <c r="I84" s="22">
        <v>361799.87719679996</v>
      </c>
      <c r="J84" s="22">
        <v>48092.127955199998</v>
      </c>
      <c r="K84" s="22">
        <v>731712.72642101767</v>
      </c>
      <c r="L84" s="22">
        <v>784820.45288404799</v>
      </c>
      <c r="M84" s="22">
        <v>388730.34895175043</v>
      </c>
      <c r="N84" s="22">
        <v>1085449.9899444769</v>
      </c>
      <c r="O84" s="22">
        <v>767913.6197730815</v>
      </c>
      <c r="P84" s="22">
        <v>644364.57901744312</v>
      </c>
      <c r="Q84" s="22">
        <v>332629.55174332805</v>
      </c>
      <c r="R84" s="22">
        <v>310743.09356160002</v>
      </c>
      <c r="S84" s="22">
        <v>135738.5035776</v>
      </c>
      <c r="T84" s="22">
        <v>169256.39976</v>
      </c>
      <c r="U84" s="22">
        <v>170266.89153600001</v>
      </c>
      <c r="V84" s="22">
        <v>245534.82844799999</v>
      </c>
      <c r="W84" s="22">
        <v>170159.33773440003</v>
      </c>
      <c r="X84" s="22">
        <v>62943.126489599999</v>
      </c>
      <c r="Y84" s="22">
        <v>115864.25639040001</v>
      </c>
      <c r="Z84" s="22">
        <v>168245.86927680002</v>
      </c>
      <c r="AA84" s="22">
        <v>183064.86347520002</v>
      </c>
      <c r="AB84" s="22">
        <v>129857.51237760003</v>
      </c>
      <c r="AC84" s="22">
        <v>101755.71665280001</v>
      </c>
      <c r="AD84" s="22">
        <f>((AD43*Constants!$H$46*Constants!$H$49)+(1+Constants!$H$52))*Constants!$H$55*Constants!$H$43*Constants!$H$57*Constants!$H$58*ttokg</f>
        <v>131877.44099999996</v>
      </c>
      <c r="AE84" s="22">
        <f>((AE43*Constants!$H$46*Constants!$H$49)+(1+Constants!$H$52))*Constants!$H$55*Constants!$H$43*Constants!$H$57*Constants!$H$58*ttokg</f>
        <v>131877.44099999996</v>
      </c>
      <c r="AF84" s="22">
        <f>((AF43*Constants!$H$46*Constants!$H$49)+(1+Constants!$H$52))*Constants!$H$55*Constants!$H$43*Constants!$H$57*Constants!$H$58*ttokg</f>
        <v>131877.44099999996</v>
      </c>
      <c r="AG84" s="22">
        <f>((AG43*Constants!$H$46*Constants!$H$49)+(1+Constants!$H$52))*Constants!$H$55*Constants!$H$43*Constants!$H$57*Constants!$H$58*ttokg</f>
        <v>131877.44099999996</v>
      </c>
      <c r="AH84" s="22">
        <f>((AH43*Constants!$H$46*Constants!$H$49)+(1+Constants!$H$52))*Constants!$H$55*Constants!$H$43*Constants!$H$57*Constants!$H$58*ttokg</f>
        <v>131877.44099999996</v>
      </c>
      <c r="AI84" s="22">
        <f>((AI43*Constants!$H$46*Constants!$H$49)+(1+Constants!$H$52))*Constants!$H$55*Constants!$H$43*Constants!$H$57*Constants!$H$58*ttokg</f>
        <v>131877.44099999996</v>
      </c>
      <c r="AJ84" s="22">
        <f>((AJ43*Constants!$H$46*Constants!$H$49)+(1+Constants!$H$52))*Constants!$H$55*Constants!$H$43*Constants!$H$57*Constants!$H$58*ttokg</f>
        <v>131877.44099999996</v>
      </c>
      <c r="AK84" s="22">
        <f>((AK43*Constants!$H$46*Constants!$H$49)+(1+Constants!$H$52))*Constants!$H$55*Constants!$H$43*Constants!$H$57*Constants!$H$58*ttokg</f>
        <v>131877.44099999996</v>
      </c>
      <c r="AL84" s="22">
        <f>((AL43*Constants!$H$46*Constants!$H$49)+(1+Constants!$H$52))*Constants!$H$55*Constants!$H$43*Constants!$H$57*Constants!$H$58*ttokg</f>
        <v>131877.44099999996</v>
      </c>
      <c r="AM84" s="22">
        <f>((AM43*Constants!$H$46*Constants!$H$49)+(1+Constants!$H$52))*Constants!$H$55*Constants!$H$43*Constants!$H$57*Constants!$H$58*ttokg</f>
        <v>131877.44099999996</v>
      </c>
      <c r="AN84" s="22">
        <f>((AN43*Constants!$H$46*Constants!$H$49)+(1+Constants!$H$52))*Constants!$H$55*Constants!$H$43*Constants!$H$57*Constants!$H$58*ttokg</f>
        <v>131877.44099999996</v>
      </c>
      <c r="AO84" s="22">
        <f>((AO43*Constants!$H$46*Constants!$H$49)+(1+Constants!$H$52))*Constants!$H$55*Constants!$H$43*Constants!$H$57*Constants!$H$58*ttokg</f>
        <v>131877.44099999996</v>
      </c>
      <c r="AP84" s="22">
        <f>((AP43*Constants!$H$46*Constants!$H$49)+(1+Constants!$H$52))*Constants!$H$55*Constants!$H$43*Constants!$H$57*Constants!$H$58*ttokg</f>
        <v>131877.44099999996</v>
      </c>
      <c r="AQ84" s="22">
        <f>((AQ43*Constants!$H$46*Constants!$H$49)+(1+Constants!$H$52))*Constants!$H$55*Constants!$H$43*Constants!$H$57*Constants!$H$58*ttokg</f>
        <v>131877.44099999996</v>
      </c>
      <c r="AR84" s="22">
        <f>((AR43*Constants!$H$46*Constants!$H$49)+(1+Constants!$H$52))*Constants!$H$55*Constants!$H$43*Constants!$H$57*Constants!$H$58*ttokg</f>
        <v>131877.44099999996</v>
      </c>
      <c r="AS84" s="22">
        <f>((AS43*Constants!$H$46*Constants!$H$49)+(1+Constants!$H$52))*Constants!$H$55*Constants!$H$43*Constants!$H$57*Constants!$H$58*ttokg</f>
        <v>131877.44099999996</v>
      </c>
      <c r="AT84" s="22">
        <f>((AT43*Constants!$H$46*Constants!$H$49)+(1+Constants!$H$52))*Constants!$H$55*Constants!$H$43*Constants!$H$57*Constants!$H$58*ttokg</f>
        <v>131877.44099999996</v>
      </c>
      <c r="AU84" s="22">
        <f>((AU43*Constants!$H$46*Constants!$H$49)+(1+Constants!$H$52))*Constants!$H$55*Constants!$H$43*Constants!$H$57*Constants!$H$58*ttokg</f>
        <v>131877.44099999996</v>
      </c>
      <c r="AV84" s="22">
        <f>((AV43*Constants!$H$46*Constants!$H$49)+(1+Constants!$H$52))*Constants!$H$55*Constants!$H$43*Constants!$H$57*Constants!$H$58*ttokg</f>
        <v>131877.44099999996</v>
      </c>
      <c r="AW84" s="22">
        <f>((AW43*Constants!$H$46*Constants!$H$49)+(1+Constants!$H$52))*Constants!$H$55*Constants!$H$43*Constants!$H$57*Constants!$H$58*ttokg</f>
        <v>131877.44099999996</v>
      </c>
      <c r="AX84" s="22">
        <f>((AX43*Constants!$H$46*Constants!$H$49)+(1+Constants!$H$52))*Constants!$H$55*Constants!$H$43*Constants!$H$57*Constants!$H$58*ttokg</f>
        <v>131877.44099999996</v>
      </c>
      <c r="AY84" s="22">
        <f>((AY43*Constants!$H$46*Constants!$H$49)+(1+Constants!$H$52))*Constants!$H$55*Constants!$H$43*Constants!$H$57*Constants!$H$58*ttokg</f>
        <v>131877.44099999996</v>
      </c>
      <c r="AZ84" s="22">
        <f>((AZ43*Constants!$H$46*Constants!$H$49)+(1+Constants!$H$52))*Constants!$H$55*Constants!$H$43*Constants!$H$57*Constants!$H$58*ttokg</f>
        <v>131877.44099999996</v>
      </c>
      <c r="BA84" s="22">
        <f>((BA43*Constants!$H$46*Constants!$H$49)+(1+Constants!$H$52))*Constants!$H$55*Constants!$H$43*Constants!$H$57*Constants!$H$58*ttokg</f>
        <v>131877.44099999996</v>
      </c>
      <c r="BB84" s="22">
        <f>((BB43*Constants!$H$46*Constants!$H$49)+(1+Constants!$H$52))*Constants!$H$55*Constants!$H$43*Constants!$H$57*Constants!$H$58*ttokg</f>
        <v>131877.44099999996</v>
      </c>
      <c r="BC84" s="22">
        <f>((BC43*Constants!$H$46*Constants!$H$49)+(1+Constants!$H$52))*Constants!$H$55*Constants!$H$43*Constants!$H$57*Constants!$H$58*ttokg</f>
        <v>131877.44099999996</v>
      </c>
      <c r="BD84" s="22">
        <f>((BD43*Constants!$H$46*Constants!$H$49)+(1+Constants!$H$52))*Constants!$H$55*Constants!$H$43*Constants!$H$57*Constants!$H$58*ttokg</f>
        <v>131877.44099999996</v>
      </c>
      <c r="BE84" s="22">
        <f>((BE43*Constants!$H$46*Constants!$H$49)+(1+Constants!$H$52))*Constants!$H$55*Constants!$H$43*Constants!$H$57*Constants!$H$58*ttokg</f>
        <v>131877.44099999996</v>
      </c>
      <c r="BF84" s="22">
        <f>((BF43*Constants!$H$46*Constants!$H$49)+(1+Constants!$H$52))*Constants!$H$55*Constants!$H$43*Constants!$H$57*Constants!$H$58*ttokg</f>
        <v>131877.44099999996</v>
      </c>
      <c r="BG84" s="22">
        <f>((BG43*Constants!$H$46*Constants!$H$49)+(1+Constants!$H$52))*Constants!$H$55*Constants!$H$43*Constants!$H$57*Constants!$H$58*ttokg</f>
        <v>131877.44099999996</v>
      </c>
      <c r="BH84" s="22">
        <f>((BH43*Constants!$H$46*Constants!$H$49)+(1+Constants!$H$52))*Constants!$H$55*Constants!$H$43*Constants!$H$57*Constants!$H$58*ttokg</f>
        <v>131877.44099999996</v>
      </c>
      <c r="BI84" s="22">
        <f>((BI43*Constants!$H$46*Constants!$H$49)+(1+Constants!$H$52))*Constants!$H$55*Constants!$H$43*Constants!$H$57*Constants!$H$58*ttokg</f>
        <v>131877.44099999996</v>
      </c>
      <c r="BJ84" s="22">
        <f>((BJ43*Constants!$H$46*Constants!$H$49)+(1+Constants!$H$52))*Constants!$H$55*Constants!$H$43*Constants!$H$57*Constants!$H$58*ttokg</f>
        <v>131877.44099999996</v>
      </c>
      <c r="BK84" s="22">
        <f>((BK43*Constants!$H$46*Constants!$H$49)+(1+Constants!$H$52))*Constants!$H$55*Constants!$H$43*Constants!$H$57*Constants!$H$58*ttokg</f>
        <v>131877.44099999996</v>
      </c>
      <c r="BL84" s="22">
        <f>((BL43*Constants!$H$46*Constants!$H$49)+(1+Constants!$H$52))*Constants!$H$55*Constants!$H$43*Constants!$H$57*Constants!$H$58*ttokg</f>
        <v>131877.44099999996</v>
      </c>
      <c r="BM84" s="22">
        <f>((BM43*Constants!$H$46*Constants!$H$49)+(1+Constants!$H$52))*Constants!$H$55*Constants!$H$43*Constants!$H$57*Constants!$H$58*ttokg</f>
        <v>131877.44099999996</v>
      </c>
      <c r="BN84" s="22">
        <f>((BN43*Constants!$H$46*Constants!$H$49)+(1+Constants!$H$52))*Constants!$H$55*Constants!$H$43*Constants!$H$57*Constants!$H$58*ttokg</f>
        <v>131877.44099999996</v>
      </c>
      <c r="BO84" s="22">
        <f>((BO43*Constants!$H$46*Constants!$H$49)+(1+Constants!$H$52))*Constants!$H$55*Constants!$H$43*Constants!$H$57*Constants!$H$58*ttokg</f>
        <v>131877.44099999996</v>
      </c>
      <c r="BP84" s="22">
        <f>((BP43*Constants!$H$46*Constants!$H$49)+(1+Constants!$H$52))*Constants!$H$55*Constants!$H$43*Constants!$H$57*Constants!$H$58*ttokg</f>
        <v>131877.44099999996</v>
      </c>
    </row>
    <row r="85" spans="1:72" x14ac:dyDescent="0.25">
      <c r="A85" t="str">
        <f>A84</f>
        <v>3C Aggregated and non-CO2 emissions on land</v>
      </c>
      <c r="B85" t="str">
        <f t="shared" ref="B85" si="37">B84</f>
        <v>3C4 Direct N2O from managed soils (N2O)</v>
      </c>
      <c r="C85" t="str">
        <f t="shared" ref="C85" si="38">C84</f>
        <v>Crop residue N</v>
      </c>
      <c r="D85" t="s">
        <v>376</v>
      </c>
      <c r="E85" t="str">
        <f t="shared" si="32"/>
        <v>Crop residue N - total</v>
      </c>
      <c r="F85" t="str">
        <f t="shared" si="33"/>
        <v>kg N</v>
      </c>
      <c r="H85" s="22">
        <f>SUM(H82:H84)/Constants!$H$41</f>
        <v>302735136.11723351</v>
      </c>
      <c r="I85" s="22">
        <f>SUM(I82:I84)/Constants!$H$41</f>
        <v>269840981.05789542</v>
      </c>
      <c r="J85" s="22">
        <f>SUM(J82:J84)/Constants!$H$41</f>
        <v>280977614.4791981</v>
      </c>
      <c r="K85" s="22">
        <f>SUM(K82:K84)/Constants!$H$41</f>
        <v>301756562.3850947</v>
      </c>
      <c r="L85" s="22">
        <f>SUM(L82:L84)/Constants!$H$41</f>
        <v>318239907.16226852</v>
      </c>
      <c r="M85" s="22">
        <f>SUM(M82:M84)/Constants!$H$41</f>
        <v>247496959.03553009</v>
      </c>
      <c r="N85" s="22">
        <f>SUM(N82:N84)/Constants!$H$41</f>
        <v>272613503.48055476</v>
      </c>
      <c r="O85" s="22">
        <f>SUM(O82:O84)/Constants!$H$41</f>
        <v>286680375.68176723</v>
      </c>
      <c r="P85" s="22">
        <f>SUM(P82:P84)/Constants!$H$41</f>
        <v>249809244.98907641</v>
      </c>
      <c r="Q85" s="22">
        <f>SUM(Q82:Q84)/Constants!$H$41</f>
        <v>247888661.1722897</v>
      </c>
      <c r="R85" s="22">
        <f>SUM(R82:R84)/Constants!$H$41</f>
        <v>284523196.2187826</v>
      </c>
      <c r="S85" s="22">
        <f>SUM(S82:S84)/Constants!$H$41</f>
        <v>232393825.58145612</v>
      </c>
      <c r="T85" s="22">
        <f>SUM(T82:T84)/Constants!$H$41</f>
        <v>253463207.00223199</v>
      </c>
      <c r="U85" s="22">
        <f>SUM(U82:U84)/Constants!$H$41</f>
        <v>250101158.55903342</v>
      </c>
      <c r="V85" s="22">
        <f>SUM(V82:V84)/Constants!$H$41</f>
        <v>223649265.30173606</v>
      </c>
      <c r="W85" s="22">
        <f>SUM(W82:W84)/Constants!$H$41</f>
        <v>227172298.65832567</v>
      </c>
      <c r="X85" s="22">
        <f>SUM(X82:X84)/Constants!$H$41</f>
        <v>152748609.20992908</v>
      </c>
      <c r="Y85" s="22">
        <f>SUM(Y82:Y84)/Constants!$H$41</f>
        <v>207071947.97845623</v>
      </c>
      <c r="Z85" s="22">
        <f>SUM(Z82:Z84)/Constants!$H$41</f>
        <v>236494953.31233731</v>
      </c>
      <c r="AA85" s="22">
        <f>SUM(AA82:AA84)/Constants!$H$41</f>
        <v>210127498.6066227</v>
      </c>
      <c r="AB85" s="22">
        <f>SUM(AB82:AB84)/Constants!$H$41</f>
        <v>229428626.58588862</v>
      </c>
      <c r="AC85" s="22">
        <f>SUM(AC82:AC84)/Constants!$H$41</f>
        <v>212438780.81340763</v>
      </c>
      <c r="AD85" s="22">
        <f>SUM(AD82:AD84)/Constants!$H$41</f>
        <v>187683306.05231518</v>
      </c>
      <c r="AE85" s="22">
        <f>SUM(AE82:AE84)/Constants!$H$41</f>
        <v>187997082.69701371</v>
      </c>
      <c r="AF85" s="22">
        <f>SUM(AF82:AF84)/Constants!$H$41</f>
        <v>188683788.29747167</v>
      </c>
      <c r="AG85" s="22">
        <f>SUM(AG82:AG84)/Constants!$H$41</f>
        <v>189209075.6222142</v>
      </c>
      <c r="AH85" s="22">
        <f>SUM(AH82:AH84)/Constants!$H$41</f>
        <v>189613608.71720621</v>
      </c>
      <c r="AI85" s="22">
        <f>SUM(AI82:AI84)/Constants!$H$41</f>
        <v>189891928.4284761</v>
      </c>
      <c r="AJ85" s="22">
        <f>SUM(AJ82:AJ84)/Constants!$H$41</f>
        <v>190325157.25654635</v>
      </c>
      <c r="AK85" s="22">
        <f>SUM(AK82:AK84)/Constants!$H$41</f>
        <v>190721966.46058205</v>
      </c>
      <c r="AL85" s="22">
        <f>SUM(AL82:AL84)/Constants!$H$41</f>
        <v>191103961.14671239</v>
      </c>
      <c r="AM85" s="22">
        <f>SUM(AM82:AM84)/Constants!$H$41</f>
        <v>188942455.31480086</v>
      </c>
      <c r="AN85" s="22">
        <f>SUM(AN82:AN84)/Constants!$H$41</f>
        <v>189668274.20113924</v>
      </c>
      <c r="AO85" s="22">
        <f>SUM(AO82:AO84)/Constants!$H$41</f>
        <v>190353322.05737588</v>
      </c>
      <c r="AP85" s="22">
        <f>SUM(AP82:AP84)/Constants!$H$41</f>
        <v>191043608.0322406</v>
      </c>
      <c r="AQ85" s="22">
        <f>SUM(AQ82:AQ84)/Constants!$H$41</f>
        <v>191770863.73126087</v>
      </c>
      <c r="AR85" s="22">
        <f>SUM(AR82:AR84)/Constants!$H$41</f>
        <v>192555999.47762066</v>
      </c>
      <c r="AS85" s="22">
        <f>SUM(AS82:AS84)/Constants!$H$41</f>
        <v>193353563.84566012</v>
      </c>
      <c r="AT85" s="22">
        <f>SUM(AT82:AT84)/Constants!$H$41</f>
        <v>194183939.82260504</v>
      </c>
      <c r="AU85" s="22">
        <f>SUM(AU82:AU84)/Constants!$H$41</f>
        <v>195050233.44463888</v>
      </c>
      <c r="AV85" s="22">
        <f>SUM(AV82:AV84)/Constants!$H$41</f>
        <v>195994754.71097389</v>
      </c>
      <c r="AW85" s="22">
        <f>SUM(AW82:AW84)/Constants!$H$41</f>
        <v>196916604.34010285</v>
      </c>
      <c r="AX85" s="22">
        <f>SUM(AX82:AX84)/Constants!$H$41</f>
        <v>197953194.25626245</v>
      </c>
      <c r="AY85" s="22">
        <f>SUM(AY82:AY84)/Constants!$H$41</f>
        <v>199000203.06115028</v>
      </c>
      <c r="AZ85" s="22">
        <f>SUM(AZ82:AZ84)/Constants!$H$41</f>
        <v>200052421.62723634</v>
      </c>
      <c r="BA85" s="22">
        <f>SUM(BA82:BA84)/Constants!$H$41</f>
        <v>201104801.37144345</v>
      </c>
      <c r="BB85" s="22">
        <f>SUM(BB82:BB84)/Constants!$H$41</f>
        <v>202069144.22723585</v>
      </c>
      <c r="BC85" s="22">
        <f>SUM(BC82:BC84)/Constants!$H$41</f>
        <v>203049573.52095273</v>
      </c>
      <c r="BD85" s="22">
        <f>SUM(BD82:BD84)/Constants!$H$41</f>
        <v>204069767.82641032</v>
      </c>
      <c r="BE85" s="22">
        <f>SUM(BE82:BE84)/Constants!$H$41</f>
        <v>205110181.21309289</v>
      </c>
      <c r="BF85" s="22">
        <f>SUM(BF82:BF84)/Constants!$H$41</f>
        <v>206109825.58327454</v>
      </c>
      <c r="BG85" s="22">
        <f>SUM(BG82:BG84)/Constants!$H$41</f>
        <v>207102572.84567344</v>
      </c>
      <c r="BH85" s="22">
        <f>SUM(BH82:BH84)/Constants!$H$41</f>
        <v>208106070.47503668</v>
      </c>
      <c r="BI85" s="22">
        <f>SUM(BI82:BI84)/Constants!$H$41</f>
        <v>209131125.02242762</v>
      </c>
      <c r="BJ85" s="22">
        <f>SUM(BJ82:BJ84)/Constants!$H$41</f>
        <v>210185808.5333057</v>
      </c>
      <c r="BK85" s="22">
        <f>SUM(BK82:BK84)/Constants!$H$41</f>
        <v>211263709.85529947</v>
      </c>
      <c r="BL85" s="22">
        <f>SUM(BL82:BL84)/Constants!$H$41</f>
        <v>212382684.81570968</v>
      </c>
      <c r="BM85" s="22">
        <f>SUM(BM82:BM84)/Constants!$H$41</f>
        <v>213527270.16837436</v>
      </c>
      <c r="BN85" s="22">
        <f>SUM(BN82:BN84)/Constants!$H$41</f>
        <v>214687407.15626279</v>
      </c>
      <c r="BO85" s="22">
        <f>SUM(BO82:BO84)/Constants!$H$41</f>
        <v>215814392.78820884</v>
      </c>
      <c r="BP85" s="22">
        <f>SUM(BP82:BP84)/Constants!$H$41</f>
        <v>216959460.78648093</v>
      </c>
    </row>
    <row r="86" spans="1:72" ht="18.75" customHeight="1" x14ac:dyDescent="0.25">
      <c r="A86" s="20" t="s">
        <v>60</v>
      </c>
      <c r="B86" s="20"/>
      <c r="C86" s="20"/>
      <c r="D86" s="15"/>
      <c r="E86" s="15"/>
      <c r="F86" s="15"/>
      <c r="G86" s="15"/>
      <c r="H86" s="15"/>
      <c r="I86" s="15"/>
      <c r="J86" s="15"/>
      <c r="K86" s="15"/>
      <c r="L86" s="15"/>
      <c r="M86" s="15"/>
      <c r="N86" s="15"/>
      <c r="O86" s="15"/>
      <c r="P86" s="15"/>
      <c r="Q86" s="15"/>
      <c r="R86" s="15"/>
      <c r="S86" s="15"/>
      <c r="T86" s="15"/>
      <c r="U86" s="15"/>
      <c r="V86" s="15"/>
      <c r="W86" s="15"/>
      <c r="X86" s="15"/>
      <c r="Y86" s="15"/>
      <c r="Z86" s="15"/>
      <c r="AA86" s="15"/>
      <c r="AB86" s="15"/>
      <c r="AC86" s="15"/>
      <c r="AD86" s="15"/>
      <c r="AE86" s="15"/>
      <c r="AF86" s="15"/>
      <c r="AG86" s="15"/>
      <c r="AH86" s="15"/>
      <c r="AI86" s="15"/>
      <c r="AJ86" s="15"/>
      <c r="AK86" s="15"/>
      <c r="AL86" s="15"/>
      <c r="AM86" s="15"/>
      <c r="AN86" s="15"/>
      <c r="AO86" s="15"/>
      <c r="AP86" s="15"/>
      <c r="AQ86" s="15"/>
      <c r="AR86" s="15"/>
      <c r="AS86" s="15"/>
      <c r="AT86" s="15"/>
      <c r="AU86" s="15"/>
      <c r="AV86" s="15"/>
      <c r="AW86" s="15"/>
      <c r="AX86" s="15"/>
      <c r="AY86" s="15"/>
      <c r="AZ86" s="15"/>
      <c r="BA86" s="15"/>
      <c r="BB86" s="15"/>
      <c r="BC86" s="15"/>
      <c r="BD86" s="15"/>
      <c r="BE86" s="15"/>
      <c r="BF86" s="15"/>
      <c r="BG86" s="15"/>
      <c r="BH86" s="15"/>
      <c r="BI86" s="15"/>
      <c r="BJ86" s="15"/>
      <c r="BK86" s="15"/>
      <c r="BL86" s="15"/>
      <c r="BM86" s="15"/>
      <c r="BN86" s="15"/>
      <c r="BO86" s="15"/>
      <c r="BP86" s="15"/>
      <c r="BQ86" s="23"/>
      <c r="BS86" s="16"/>
      <c r="BT86" s="15"/>
    </row>
    <row r="87" spans="1:72" x14ac:dyDescent="0.25">
      <c r="A87" t="str">
        <f>'IPCC Categories'!A59</f>
        <v>3C Aggregated and non-CO2 emissions on land</v>
      </c>
      <c r="B87" t="str">
        <f>'IPCC Categories'!B73</f>
        <v>3C4 Direct N2O from managed soils (N2O)</v>
      </c>
      <c r="C87" t="s">
        <v>60</v>
      </c>
      <c r="D87" t="s">
        <v>718</v>
      </c>
      <c r="F87" t="s">
        <v>719</v>
      </c>
      <c r="H87" s="83" t="s">
        <v>720</v>
      </c>
      <c r="I87" s="83" t="s">
        <v>720</v>
      </c>
      <c r="J87" s="83" t="s">
        <v>720</v>
      </c>
      <c r="K87" s="83" t="s">
        <v>720</v>
      </c>
      <c r="L87" s="83" t="s">
        <v>720</v>
      </c>
      <c r="M87" s="83" t="s">
        <v>720</v>
      </c>
      <c r="N87" s="83" t="s">
        <v>720</v>
      </c>
      <c r="O87" s="83" t="s">
        <v>720</v>
      </c>
      <c r="P87" s="83" t="s">
        <v>720</v>
      </c>
      <c r="Q87" s="83" t="s">
        <v>720</v>
      </c>
      <c r="R87" s="83" t="s">
        <v>720</v>
      </c>
      <c r="S87" s="83" t="s">
        <v>720</v>
      </c>
      <c r="T87" s="83" t="s">
        <v>720</v>
      </c>
      <c r="U87" s="83" t="s">
        <v>720</v>
      </c>
      <c r="V87" s="83" t="s">
        <v>720</v>
      </c>
      <c r="W87" s="83" t="s">
        <v>720</v>
      </c>
      <c r="X87" s="83" t="s">
        <v>720</v>
      </c>
      <c r="Y87" s="83" t="s">
        <v>720</v>
      </c>
      <c r="Z87" s="83" t="s">
        <v>720</v>
      </c>
      <c r="AA87" s="83" t="s">
        <v>720</v>
      </c>
      <c r="AB87" s="43" t="s">
        <v>720</v>
      </c>
      <c r="AC87" s="43" t="s">
        <v>720</v>
      </c>
      <c r="AD87" s="95" t="str">
        <f>IF('[2]Mitigation summary'!G11*CO2toC*Ggtot&gt;0,'[2]Mitigation summary'!G11*CO2toC*Ggtot,"NO")</f>
        <v>NO</v>
      </c>
      <c r="AE87" s="95" t="str">
        <f>IF('[2]Mitigation summary'!H11*CO2toC*Ggtot&gt;0,'[2]Mitigation summary'!H11*CO2toC*Ggtot,"NO")</f>
        <v>NO</v>
      </c>
      <c r="AF87" s="95" t="str">
        <f>IF('[2]Mitigation summary'!I11*CO2toC*Ggtot&gt;0,'[2]Mitigation summary'!I11*CO2toC*Ggtot,"NO")</f>
        <v>NO</v>
      </c>
      <c r="AG87" s="95" t="str">
        <f>IF('[2]Mitigation summary'!J11*CO2toC*Ggtot&gt;0,'[2]Mitigation summary'!J11*CO2toC*Ggtot,"NO")</f>
        <v>NO</v>
      </c>
      <c r="AH87" s="95" t="str">
        <f>IF('[2]Mitigation summary'!K11*CO2toC*Ggtot&gt;0,'[2]Mitigation summary'!K11*CO2toC*Ggtot,"NO")</f>
        <v>NO</v>
      </c>
      <c r="AI87" s="95" t="str">
        <f>IF('[2]Mitigation summary'!L11*CO2toC*Ggtot&gt;0,'[2]Mitigation summary'!L11*CO2toC*Ggtot,"NO")</f>
        <v>NO</v>
      </c>
      <c r="AJ87" s="95" t="str">
        <f>IF('[2]Mitigation summary'!M11*CO2toC*Ggtot&gt;0,'[2]Mitigation summary'!M11*CO2toC*Ggtot,"NO")</f>
        <v>NO</v>
      </c>
      <c r="AK87" s="95" t="str">
        <f>IF('[2]Mitigation summary'!N11*CO2toC*Ggtot&gt;0,'[2]Mitigation summary'!N11*CO2toC*Ggtot,"NO")</f>
        <v>NO</v>
      </c>
      <c r="AL87" s="95" t="str">
        <f>IF('[2]Mitigation summary'!O11*CO2toC*Ggtot&gt;0,'[2]Mitigation summary'!O11*CO2toC*Ggtot,"NO")</f>
        <v>NO</v>
      </c>
      <c r="AM87" s="95" t="str">
        <f>IF('[2]Mitigation summary'!P11*CO2toC*Ggtot&gt;0,'[2]Mitigation summary'!P11*CO2toC*Ggtot,"NO")</f>
        <v>NO</v>
      </c>
      <c r="AN87" s="95" t="str">
        <f>IF('[2]Mitigation summary'!Q11*CO2toC*Ggtot&gt;0,'[2]Mitigation summary'!Q11*CO2toC*Ggtot,"NO")</f>
        <v>NO</v>
      </c>
      <c r="AO87" s="95" t="str">
        <f>IF('[2]Mitigation summary'!R11*CO2toC*Ggtot&gt;0,'[2]Mitigation summary'!R11*CO2toC*Ggtot,"NO")</f>
        <v>NO</v>
      </c>
      <c r="AP87" s="95" t="str">
        <f>IF('[2]Mitigation summary'!S11*CO2toC*Ggtot&gt;0,'[2]Mitigation summary'!S11*CO2toC*Ggtot,"NO")</f>
        <v>NO</v>
      </c>
      <c r="AQ87" s="95" t="str">
        <f>IF('[2]Mitigation summary'!T11*CO2toC*Ggtot&gt;0,'[2]Mitigation summary'!T11*CO2toC*Ggtot,"NO")</f>
        <v>NO</v>
      </c>
      <c r="AR87" s="95" t="str">
        <f>IF('[2]Mitigation summary'!U11*CO2toC*Ggtot&gt;0,'[2]Mitigation summary'!U11*CO2toC*Ggtot,"NO")</f>
        <v>NO</v>
      </c>
      <c r="AS87" s="95" t="str">
        <f>IF('[2]Mitigation summary'!V11*CO2toC*Ggtot&gt;0,'[2]Mitigation summary'!V11*CO2toC*Ggtot,"NO")</f>
        <v>NO</v>
      </c>
      <c r="AT87" s="95" t="str">
        <f>IF('[2]Mitigation summary'!W11*CO2toC*Ggtot&gt;0,'[2]Mitigation summary'!W11*CO2toC*Ggtot,"NO")</f>
        <v>NO</v>
      </c>
      <c r="AU87" s="95" t="str">
        <f>IF('[2]Mitigation summary'!X11*CO2toC*Ggtot&gt;0,'[2]Mitigation summary'!X11*CO2toC*Ggtot,"NO")</f>
        <v>NO</v>
      </c>
      <c r="AV87" s="95" t="str">
        <f>IF('[2]Mitigation summary'!Y11*CO2toC*Ggtot&gt;0,'[2]Mitigation summary'!Y11*CO2toC*Ggtot,"NO")</f>
        <v>NO</v>
      </c>
      <c r="AW87" s="95" t="str">
        <f>IF('[2]Mitigation summary'!Z11*CO2toC*Ggtot&gt;0,'[2]Mitigation summary'!Z11*CO2toC*Ggtot,"NO")</f>
        <v>NO</v>
      </c>
      <c r="AX87" s="95" t="str">
        <f>IF('[2]Mitigation summary'!AA11*CO2toC*Ggtot&gt;0,'[2]Mitigation summary'!AA11*CO2toC*Ggtot,"NO")</f>
        <v>NO</v>
      </c>
      <c r="AY87" s="95" t="str">
        <f>IF('[2]Mitigation summary'!AB11*CO2toC*Ggtot&gt;0,'[2]Mitigation summary'!AB11*CO2toC*Ggtot,"NO")</f>
        <v>NO</v>
      </c>
      <c r="AZ87" s="95" t="str">
        <f>IF('[2]Mitigation summary'!AC11*CO2toC*Ggtot&gt;0,'[2]Mitigation summary'!AC11*CO2toC*Ggtot,"NO")</f>
        <v>NO</v>
      </c>
      <c r="BA87" s="95" t="str">
        <f>IF('[2]Mitigation summary'!AD11*CO2toC*Ggtot&gt;0,'[2]Mitigation summary'!AD11*CO2toC*Ggtot,"NO")</f>
        <v>NO</v>
      </c>
      <c r="BB87" s="95" t="str">
        <f>IF('[2]Mitigation summary'!AE11*CO2toC*Ggtot&gt;0,'[2]Mitigation summary'!AE11*CO2toC*Ggtot,"NO")</f>
        <v>NO</v>
      </c>
      <c r="BC87" s="95" t="str">
        <f>IF('[2]Mitigation summary'!AF11*CO2toC*Ggtot&gt;0,'[2]Mitigation summary'!AF11*CO2toC*Ggtot,"NO")</f>
        <v>NO</v>
      </c>
      <c r="BD87" s="95" t="str">
        <f>IF('[2]Mitigation summary'!AG11*CO2toC*Ggtot&gt;0,'[2]Mitigation summary'!AG11*CO2toC*Ggtot,"NO")</f>
        <v>NO</v>
      </c>
      <c r="BE87" s="95" t="str">
        <f>IF('[2]Mitigation summary'!AH11*CO2toC*Ggtot&gt;0,'[2]Mitigation summary'!AH11*CO2toC*Ggtot,"NO")</f>
        <v>NO</v>
      </c>
      <c r="BF87" s="95" t="str">
        <f>IF('[2]Mitigation summary'!AI11*CO2toC*Ggtot&gt;0,'[2]Mitigation summary'!AI11*CO2toC*Ggtot,"NO")</f>
        <v>NO</v>
      </c>
      <c r="BG87" s="95" t="str">
        <f>IF('[2]Mitigation summary'!AJ11*CO2toC*Ggtot&gt;0,'[2]Mitigation summary'!AJ11*CO2toC*Ggtot,"NO")</f>
        <v>NO</v>
      </c>
      <c r="BH87" s="95" t="str">
        <f>IF('[2]Mitigation summary'!AK11*CO2toC*Ggtot&gt;0,'[2]Mitigation summary'!AK11*CO2toC*Ggtot,"NO")</f>
        <v>NO</v>
      </c>
      <c r="BI87" s="95" t="str">
        <f>IF('[2]Mitigation summary'!AL11*CO2toC*Ggtot&gt;0,'[2]Mitigation summary'!AL11*CO2toC*Ggtot,"NO")</f>
        <v>NO</v>
      </c>
      <c r="BJ87" s="95" t="str">
        <f>IF('[2]Mitigation summary'!AM11*CO2toC*Ggtot&gt;0,'[2]Mitigation summary'!AM11*CO2toC*Ggtot,"NO")</f>
        <v>NO</v>
      </c>
      <c r="BK87" s="95" t="str">
        <f>IF('[2]Mitigation summary'!AN11*CO2toC*Ggtot&gt;0,'[2]Mitigation summary'!AN11*CO2toC*Ggtot,"NO")</f>
        <v>NO</v>
      </c>
      <c r="BL87" s="95" t="str">
        <f>IF('[2]Mitigation summary'!AO11*CO2toC*Ggtot&gt;0,'[2]Mitigation summary'!AO11*CO2toC*Ggtot,"NO")</f>
        <v>NO</v>
      </c>
      <c r="BM87" s="95" t="str">
        <f>IF('[2]Mitigation summary'!AP11*CO2toC*Ggtot&gt;0,'[2]Mitigation summary'!AP11*CO2toC*Ggtot,"NO")</f>
        <v>NO</v>
      </c>
      <c r="BN87" s="95" t="str">
        <f>IF('[2]Mitigation summary'!AQ11*CO2toC*Ggtot&gt;0,'[2]Mitigation summary'!AQ11*CO2toC*Ggtot,"NO")</f>
        <v>NO</v>
      </c>
      <c r="BO87" s="95" t="str">
        <f>IF('[2]Mitigation summary'!AR11*CO2toC*Ggtot&gt;0,'[2]Mitigation summary'!AR11*CO2toC*Ggtot,"NO")</f>
        <v>NO</v>
      </c>
      <c r="BP87" s="95" t="str">
        <f>IF('[2]Mitigation summary'!AS11*CO2toC*Ggtot&gt;0,'[2]Mitigation summary'!AS11*CO2toC*Ggtot,"NO")</f>
        <v>NO</v>
      </c>
      <c r="BQ87" s="82"/>
    </row>
    <row r="88" spans="1:72" x14ac:dyDescent="0.25">
      <c r="C88" t="s">
        <v>60</v>
      </c>
      <c r="D88" t="s">
        <v>101</v>
      </c>
      <c r="F88" t="s">
        <v>719</v>
      </c>
      <c r="H88" s="21" t="s">
        <v>720</v>
      </c>
      <c r="I88" s="21" t="s">
        <v>720</v>
      </c>
      <c r="J88" s="21" t="s">
        <v>720</v>
      </c>
      <c r="K88" s="21" t="s">
        <v>720</v>
      </c>
      <c r="L88" s="21" t="s">
        <v>720</v>
      </c>
      <c r="M88" s="21" t="s">
        <v>720</v>
      </c>
      <c r="N88" s="21" t="s">
        <v>720</v>
      </c>
      <c r="O88" s="21" t="s">
        <v>720</v>
      </c>
      <c r="P88" s="21" t="s">
        <v>720</v>
      </c>
      <c r="Q88" s="21" t="s">
        <v>720</v>
      </c>
      <c r="R88" s="21" t="s">
        <v>720</v>
      </c>
      <c r="S88" s="21" t="s">
        <v>720</v>
      </c>
      <c r="T88" s="21" t="s">
        <v>720</v>
      </c>
      <c r="U88" s="21" t="s">
        <v>720</v>
      </c>
      <c r="V88" s="21" t="s">
        <v>720</v>
      </c>
      <c r="W88" s="21" t="s">
        <v>720</v>
      </c>
      <c r="X88" s="21" t="s">
        <v>720</v>
      </c>
      <c r="Y88" s="21" t="s">
        <v>720</v>
      </c>
      <c r="Z88" s="21" t="s">
        <v>720</v>
      </c>
      <c r="AA88" s="21" t="s">
        <v>720</v>
      </c>
      <c r="AB88" s="43" t="s">
        <v>720</v>
      </c>
      <c r="AC88" s="43" t="s">
        <v>720</v>
      </c>
      <c r="AD88" s="95" t="str">
        <f>IF('[2]Mitigation summary'!G16*CO2toC*Ggtot&gt;0,'[2]Mitigation summary'!G16*CO2toC*Ggtot,"NO")</f>
        <v>NO</v>
      </c>
      <c r="AE88" s="95" t="str">
        <f>IF('[2]Mitigation summary'!H16*CO2toC*Ggtot&gt;0,'[2]Mitigation summary'!H16*CO2toC*Ggtot,"NO")</f>
        <v>NO</v>
      </c>
      <c r="AF88" s="95" t="str">
        <f>IF('[2]Mitigation summary'!I16*CO2toC*Ggtot&gt;0,'[2]Mitigation summary'!I16*CO2toC*Ggtot,"NO")</f>
        <v>NO</v>
      </c>
      <c r="AG88" s="95" t="str">
        <f>IF('[2]Mitigation summary'!J16*CO2toC*Ggtot&gt;0,'[2]Mitigation summary'!J16*CO2toC*Ggtot,"NO")</f>
        <v>NO</v>
      </c>
      <c r="AH88" s="95" t="str">
        <f>IF('[2]Mitigation summary'!K16*CO2toC*Ggtot&gt;0,'[2]Mitigation summary'!K16*CO2toC*Ggtot,"NO")</f>
        <v>NO</v>
      </c>
      <c r="AI88" s="95" t="str">
        <f>IF('[2]Mitigation summary'!L16*CO2toC*Ggtot&gt;0,'[2]Mitigation summary'!L16*CO2toC*Ggtot,"NO")</f>
        <v>NO</v>
      </c>
      <c r="AJ88" s="95" t="str">
        <f>IF('[2]Mitigation summary'!M16*CO2toC*Ggtot&gt;0,'[2]Mitigation summary'!M16*CO2toC*Ggtot,"NO")</f>
        <v>NO</v>
      </c>
      <c r="AK88" s="95" t="str">
        <f>IF('[2]Mitigation summary'!N16*CO2toC*Ggtot&gt;0,'[2]Mitigation summary'!N16*CO2toC*Ggtot,"NO")</f>
        <v>NO</v>
      </c>
      <c r="AL88" s="95" t="str">
        <f>IF('[2]Mitigation summary'!O16*CO2toC*Ggtot&gt;0,'[2]Mitigation summary'!O16*CO2toC*Ggtot,"NO")</f>
        <v>NO</v>
      </c>
      <c r="AM88" s="95" t="str">
        <f>IF('[2]Mitigation summary'!P16*CO2toC*Ggtot&gt;0,'[2]Mitigation summary'!P16*CO2toC*Ggtot,"NO")</f>
        <v>NO</v>
      </c>
      <c r="AN88" s="95" t="str">
        <f>IF('[2]Mitigation summary'!Q16*CO2toC*Ggtot&gt;0,'[2]Mitigation summary'!Q16*CO2toC*Ggtot,"NO")</f>
        <v>NO</v>
      </c>
      <c r="AO88" s="95" t="str">
        <f>IF('[2]Mitigation summary'!R16*CO2toC*Ggtot&gt;0,'[2]Mitigation summary'!R16*CO2toC*Ggtot,"NO")</f>
        <v>NO</v>
      </c>
      <c r="AP88" s="95" t="str">
        <f>IF('[2]Mitigation summary'!S16*CO2toC*Ggtot&gt;0,'[2]Mitigation summary'!S16*CO2toC*Ggtot,"NO")</f>
        <v>NO</v>
      </c>
      <c r="AQ88" s="95" t="str">
        <f>IF('[2]Mitigation summary'!T16*CO2toC*Ggtot&gt;0,'[2]Mitigation summary'!T16*CO2toC*Ggtot,"NO")</f>
        <v>NO</v>
      </c>
      <c r="AR88" s="95" t="str">
        <f>IF('[2]Mitigation summary'!U16*CO2toC*Ggtot&gt;0,'[2]Mitigation summary'!U16*CO2toC*Ggtot,"NO")</f>
        <v>NO</v>
      </c>
      <c r="AS88" s="95" t="str">
        <f>IF('[2]Mitigation summary'!V16*CO2toC*Ggtot&gt;0,'[2]Mitigation summary'!V16*CO2toC*Ggtot,"NO")</f>
        <v>NO</v>
      </c>
      <c r="AT88" s="95" t="str">
        <f>IF('[2]Mitigation summary'!W16*CO2toC*Ggtot&gt;0,'[2]Mitigation summary'!W16*CO2toC*Ggtot,"NO")</f>
        <v>NO</v>
      </c>
      <c r="AU88" s="95" t="str">
        <f>IF('[2]Mitigation summary'!X16*CO2toC*Ggtot&gt;0,'[2]Mitigation summary'!X16*CO2toC*Ggtot,"NO")</f>
        <v>NO</v>
      </c>
      <c r="AV88" s="95" t="str">
        <f>IF('[2]Mitigation summary'!Y16*CO2toC*Ggtot&gt;0,'[2]Mitigation summary'!Y16*CO2toC*Ggtot,"NO")</f>
        <v>NO</v>
      </c>
      <c r="AW88" s="95" t="str">
        <f>IF('[2]Mitigation summary'!Z16*CO2toC*Ggtot&gt;0,'[2]Mitigation summary'!Z16*CO2toC*Ggtot,"NO")</f>
        <v>NO</v>
      </c>
      <c r="AX88" s="95" t="str">
        <f>IF('[2]Mitigation summary'!AA16*CO2toC*Ggtot&gt;0,'[2]Mitigation summary'!AA16*CO2toC*Ggtot,"NO")</f>
        <v>NO</v>
      </c>
      <c r="AY88" s="95" t="str">
        <f>IF('[2]Mitigation summary'!AB16*CO2toC*Ggtot&gt;0,'[2]Mitigation summary'!AB16*CO2toC*Ggtot,"NO")</f>
        <v>NO</v>
      </c>
      <c r="AZ88" s="95" t="str">
        <f>IF('[2]Mitigation summary'!AC16*CO2toC*Ggtot&gt;0,'[2]Mitigation summary'!AC16*CO2toC*Ggtot,"NO")</f>
        <v>NO</v>
      </c>
      <c r="BA88" s="95" t="str">
        <f>IF('[2]Mitigation summary'!AD16*CO2toC*Ggtot&gt;0,'[2]Mitigation summary'!AD16*CO2toC*Ggtot,"NO")</f>
        <v>NO</v>
      </c>
      <c r="BB88" s="95" t="str">
        <f>IF('[2]Mitigation summary'!AE16*CO2toC*Ggtot&gt;0,'[2]Mitigation summary'!AE16*CO2toC*Ggtot,"NO")</f>
        <v>NO</v>
      </c>
      <c r="BC88" s="95" t="str">
        <f>IF('[2]Mitigation summary'!AF16*CO2toC*Ggtot&gt;0,'[2]Mitigation summary'!AF16*CO2toC*Ggtot,"NO")</f>
        <v>NO</v>
      </c>
      <c r="BD88" s="95" t="str">
        <f>IF('[2]Mitigation summary'!AG16*CO2toC*Ggtot&gt;0,'[2]Mitigation summary'!AG16*CO2toC*Ggtot,"NO")</f>
        <v>NO</v>
      </c>
      <c r="BE88" s="95" t="str">
        <f>IF('[2]Mitigation summary'!AH16*CO2toC*Ggtot&gt;0,'[2]Mitigation summary'!AH16*CO2toC*Ggtot,"NO")</f>
        <v>NO</v>
      </c>
      <c r="BF88" s="95" t="str">
        <f>IF('[2]Mitigation summary'!AI16*CO2toC*Ggtot&gt;0,'[2]Mitigation summary'!AI16*CO2toC*Ggtot,"NO")</f>
        <v>NO</v>
      </c>
      <c r="BG88" s="95" t="str">
        <f>IF('[2]Mitigation summary'!AJ16*CO2toC*Ggtot&gt;0,'[2]Mitigation summary'!AJ16*CO2toC*Ggtot,"NO")</f>
        <v>NO</v>
      </c>
      <c r="BH88" s="95" t="str">
        <f>IF('[2]Mitigation summary'!AK16*CO2toC*Ggtot&gt;0,'[2]Mitigation summary'!AK16*CO2toC*Ggtot,"NO")</f>
        <v>NO</v>
      </c>
      <c r="BI88" s="95" t="str">
        <f>IF('[2]Mitigation summary'!AL16*CO2toC*Ggtot&gt;0,'[2]Mitigation summary'!AL16*CO2toC*Ggtot,"NO")</f>
        <v>NO</v>
      </c>
      <c r="BJ88" s="95" t="str">
        <f>IF('[2]Mitigation summary'!AM16*CO2toC*Ggtot&gt;0,'[2]Mitigation summary'!AM16*CO2toC*Ggtot,"NO")</f>
        <v>NO</v>
      </c>
      <c r="BK88" s="95" t="str">
        <f>IF('[2]Mitigation summary'!AN16*CO2toC*Ggtot&gt;0,'[2]Mitigation summary'!AN16*CO2toC*Ggtot,"NO")</f>
        <v>NO</v>
      </c>
      <c r="BL88" s="95" t="str">
        <f>IF('[2]Mitigation summary'!AO16*CO2toC*Ggtot&gt;0,'[2]Mitigation summary'!AO16*CO2toC*Ggtot,"NO")</f>
        <v>NO</v>
      </c>
      <c r="BM88" s="95" t="str">
        <f>IF('[2]Mitigation summary'!AP16*CO2toC*Ggtot&gt;0,'[2]Mitigation summary'!AP16*CO2toC*Ggtot,"NO")</f>
        <v>NO</v>
      </c>
      <c r="BN88" s="95" t="str">
        <f>IF('[2]Mitigation summary'!AQ16*CO2toC*Ggtot&gt;0,'[2]Mitigation summary'!AQ16*CO2toC*Ggtot,"NO")</f>
        <v>NO</v>
      </c>
      <c r="BO88" s="95" t="str">
        <f>IF('[2]Mitigation summary'!AR16*CO2toC*Ggtot&gt;0,'[2]Mitigation summary'!AR16*CO2toC*Ggtot,"NO")</f>
        <v>NO</v>
      </c>
      <c r="BP88" s="95" t="str">
        <f>IF('[2]Mitigation summary'!AS16*CO2toC*Ggtot&gt;0,'[2]Mitigation summary'!AS16*CO2toC*Ggtot,"NO")</f>
        <v>NO</v>
      </c>
      <c r="BQ88" s="82"/>
    </row>
    <row r="89" spans="1:72" x14ac:dyDescent="0.25">
      <c r="A89" t="str">
        <f>A87</f>
        <v>3C Aggregated and non-CO2 emissions on land</v>
      </c>
      <c r="B89" t="str">
        <f>B87</f>
        <v>3C4 Direct N2O from managed soils (N2O)</v>
      </c>
      <c r="C89" t="s">
        <v>60</v>
      </c>
      <c r="D89" t="s">
        <v>102</v>
      </c>
      <c r="F89" t="s">
        <v>719</v>
      </c>
      <c r="H89" s="21" t="s">
        <v>720</v>
      </c>
      <c r="I89" s="21">
        <v>423.91166750554424</v>
      </c>
      <c r="J89" s="21">
        <v>423.91166750554424</v>
      </c>
      <c r="K89" s="21">
        <v>423.91166750554424</v>
      </c>
      <c r="L89" s="21">
        <v>423.91166750554424</v>
      </c>
      <c r="M89" s="21">
        <v>423.91166750554424</v>
      </c>
      <c r="N89" s="21">
        <v>423.91166750554424</v>
      </c>
      <c r="O89" s="21">
        <v>423.91166750554424</v>
      </c>
      <c r="P89" s="21">
        <v>423.91166750554424</v>
      </c>
      <c r="Q89" s="21">
        <v>423.91166750554424</v>
      </c>
      <c r="R89" s="21">
        <v>423.91166750554424</v>
      </c>
      <c r="S89" s="21">
        <v>423.91166750554424</v>
      </c>
      <c r="T89" s="21">
        <v>423.91166750554424</v>
      </c>
      <c r="U89" s="21">
        <v>423.91166750554424</v>
      </c>
      <c r="V89" s="21">
        <v>423.91166750554424</v>
      </c>
      <c r="W89" s="21">
        <v>423.91166750554424</v>
      </c>
      <c r="X89" s="21">
        <v>423.91166750554424</v>
      </c>
      <c r="Y89" s="21">
        <v>423.91166750554424</v>
      </c>
      <c r="Z89" s="21">
        <v>423.91166750554424</v>
      </c>
      <c r="AA89" s="21">
        <v>423.91166750554424</v>
      </c>
      <c r="AB89" s="43">
        <v>423.91166750554424</v>
      </c>
      <c r="AC89" s="43">
        <v>423.91166750554424</v>
      </c>
      <c r="AD89" s="95">
        <f>IF('[2]Mitigation summary'!G24*CO2toC*Ggtot&gt;0,'[2]Mitigation summary'!G24*CO2toC*Ggtot,"NO")</f>
        <v>3283.5231445314134</v>
      </c>
      <c r="AE89" s="95">
        <f>IF('[2]Mitigation summary'!H24*CO2toC*Ggtot&gt;0,'[2]Mitigation summary'!H24*CO2toC*Ggtot,"NO")</f>
        <v>3279.6568877269606</v>
      </c>
      <c r="AF89" s="95">
        <f>IF('[2]Mitigation summary'!I24*CO2toC*Ggtot&gt;0,'[2]Mitigation summary'!I24*CO2toC*Ggtot,"NO")</f>
        <v>3275.7906309225073</v>
      </c>
      <c r="AG89" s="95">
        <f>IF('[2]Mitigation summary'!J24*CO2toC*Ggtot&gt;0,'[2]Mitigation summary'!J24*CO2toC*Ggtot,"NO")</f>
        <v>3271.9243741180535</v>
      </c>
      <c r="AH89" s="95">
        <f>IF('[2]Mitigation summary'!K24*CO2toC*Ggtot&gt;0,'[2]Mitigation summary'!K24*CO2toC*Ggtot,"NO")</f>
        <v>3268.0581173136006</v>
      </c>
      <c r="AI89" s="95">
        <f>IF('[2]Mitigation summary'!L24*CO2toC*Ggtot&gt;0,'[2]Mitigation summary'!L24*CO2toC*Ggtot,"NO")</f>
        <v>3264.1918605091473</v>
      </c>
      <c r="AJ89" s="95">
        <f>IF('[2]Mitigation summary'!M24*CO2toC*Ggtot&gt;0,'[2]Mitigation summary'!M24*CO2toC*Ggtot,"NO")</f>
        <v>3260.325603704694</v>
      </c>
      <c r="AK89" s="95">
        <f>IF('[2]Mitigation summary'!N24*CO2toC*Ggtot&gt;0,'[2]Mitigation summary'!N24*CO2toC*Ggtot,"NO")</f>
        <v>3256.4593469002416</v>
      </c>
      <c r="AL89" s="95">
        <f>IF('[2]Mitigation summary'!O24*CO2toC*Ggtot&gt;0,'[2]Mitigation summary'!O24*CO2toC*Ggtot,"NO")</f>
        <v>3252.5930900957883</v>
      </c>
      <c r="AM89" s="95">
        <f>IF('[2]Mitigation summary'!P24*CO2toC*Ggtot&gt;0,'[2]Mitigation summary'!P24*CO2toC*Ggtot,"NO")</f>
        <v>3248.7268332913354</v>
      </c>
      <c r="AN89" s="95">
        <f>IF('[2]Mitigation summary'!Q24*CO2toC*Ggtot&gt;0,'[2]Mitigation summary'!Q24*CO2toC*Ggtot,"NO")</f>
        <v>3244.8605764868817</v>
      </c>
      <c r="AO89" s="95">
        <f>IF('[2]Mitigation summary'!R24*CO2toC*Ggtot&gt;0,'[2]Mitigation summary'!R24*CO2toC*Ggtot,"NO")</f>
        <v>3240.9943196824288</v>
      </c>
      <c r="AP89" s="95">
        <f>IF('[2]Mitigation summary'!S24*CO2toC*Ggtot&gt;0,'[2]Mitigation summary'!S24*CO2toC*Ggtot,"NO")</f>
        <v>3237.1280628779759</v>
      </c>
      <c r="AQ89" s="95">
        <f>IF('[2]Mitigation summary'!T24*CO2toC*Ggtot&gt;0,'[2]Mitigation summary'!T24*CO2toC*Ggtot,"NO")</f>
        <v>3233.2618060735231</v>
      </c>
      <c r="AR89" s="95">
        <f>IF('[2]Mitigation summary'!U24*CO2toC*Ggtot&gt;0,'[2]Mitigation summary'!U24*CO2toC*Ggtot,"NO")</f>
        <v>3229.3955492690707</v>
      </c>
      <c r="AS89" s="95">
        <f>IF('[2]Mitigation summary'!V24*CO2toC*Ggtot&gt;0,'[2]Mitigation summary'!V24*CO2toC*Ggtot,"NO")</f>
        <v>3225.5292924646164</v>
      </c>
      <c r="AT89" s="95">
        <f>IF('[2]Mitigation summary'!W24*CO2toC*Ggtot&gt;0,'[2]Mitigation summary'!W24*CO2toC*Ggtot,"NO")</f>
        <v>3221.6630356601645</v>
      </c>
      <c r="AU89" s="95">
        <f>IF('[2]Mitigation summary'!X24*CO2toC*Ggtot&gt;0,'[2]Mitigation summary'!X24*CO2toC*Ggtot,"NO")</f>
        <v>3217.7967788557107</v>
      </c>
      <c r="AV89" s="95">
        <f>IF('[2]Mitigation summary'!Y24*CO2toC*Ggtot&gt;0,'[2]Mitigation summary'!Y24*CO2toC*Ggtot,"NO")</f>
        <v>3213.9305220512579</v>
      </c>
      <c r="AW89" s="95">
        <f>IF('[2]Mitigation summary'!Z24*CO2toC*Ggtot&gt;0,'[2]Mitigation summary'!Z24*CO2toC*Ggtot,"NO")</f>
        <v>3210.0642652468041</v>
      </c>
      <c r="AX89" s="95">
        <f>IF('[2]Mitigation summary'!AA24*CO2toC*Ggtot&gt;0,'[2]Mitigation summary'!AA24*CO2toC*Ggtot,"NO")</f>
        <v>3206.1980084423521</v>
      </c>
      <c r="AY89" s="95">
        <f>IF('[2]Mitigation summary'!AB24*CO2toC*Ggtot&gt;0,'[2]Mitigation summary'!AB24*CO2toC*Ggtot,"NO")</f>
        <v>3202.3317516378988</v>
      </c>
      <c r="AZ89" s="95">
        <f>IF('[2]Mitigation summary'!AC24*CO2toC*Ggtot&gt;0,'[2]Mitigation summary'!AC24*CO2toC*Ggtot,"NO")</f>
        <v>3198.4654948334455</v>
      </c>
      <c r="BA89" s="95">
        <f>IF('[2]Mitigation summary'!AD24*CO2toC*Ggtot&gt;0,'[2]Mitigation summary'!AD24*CO2toC*Ggtot,"NO")</f>
        <v>3194.5992380289917</v>
      </c>
      <c r="BB89" s="95">
        <f>IF('[2]Mitigation summary'!AE24*CO2toC*Ggtot&gt;0,'[2]Mitigation summary'!AE24*CO2toC*Ggtot,"NO")</f>
        <v>3190.7329812245389</v>
      </c>
      <c r="BC89" s="95">
        <f>IF('[2]Mitigation summary'!AF24*CO2toC*Ggtot&gt;0,'[2]Mitigation summary'!AF24*CO2toC*Ggtot,"NO")</f>
        <v>3186.866724420086</v>
      </c>
      <c r="BD89" s="95">
        <f>IF('[2]Mitigation summary'!AG24*CO2toC*Ggtot&gt;0,'[2]Mitigation summary'!AG24*CO2toC*Ggtot,"NO")</f>
        <v>3183.0004676156332</v>
      </c>
      <c r="BE89" s="95">
        <f>IF('[2]Mitigation summary'!AH24*CO2toC*Ggtot&gt;0,'[2]Mitigation summary'!AH24*CO2toC*Ggtot,"NO")</f>
        <v>3179.1342108111803</v>
      </c>
      <c r="BF89" s="95">
        <f>IF('[2]Mitigation summary'!AI24*CO2toC*Ggtot&gt;0,'[2]Mitigation summary'!AI24*CO2toC*Ggtot,"NO")</f>
        <v>3175.2679540067279</v>
      </c>
      <c r="BG89" s="95">
        <f>IF('[2]Mitigation summary'!AJ24*CO2toC*Ggtot&gt;0,'[2]Mitigation summary'!AJ24*CO2toC*Ggtot,"NO")</f>
        <v>3171.4016972022737</v>
      </c>
      <c r="BH89" s="95">
        <f>IF('[2]Mitigation summary'!AK24*CO2toC*Ggtot&gt;0,'[2]Mitigation summary'!AK24*CO2toC*Ggtot,"NO")</f>
        <v>3167.5354403978208</v>
      </c>
      <c r="BI89" s="95">
        <f>IF('[2]Mitigation summary'!AL24*CO2toC*Ggtot&gt;0,'[2]Mitigation summary'!AL24*CO2toC*Ggtot,"NO")</f>
        <v>3163.669183593368</v>
      </c>
      <c r="BJ89" s="95">
        <f>IF('[2]Mitigation summary'!AM24*CO2toC*Ggtot&gt;0,'[2]Mitigation summary'!AM24*CO2toC*Ggtot,"NO")</f>
        <v>3159.802926788916</v>
      </c>
      <c r="BK89" s="95">
        <f>IF('[2]Mitigation summary'!AN24*CO2toC*Ggtot&gt;0,'[2]Mitigation summary'!AN24*CO2toC*Ggtot,"NO")</f>
        <v>3155.9366699844613</v>
      </c>
      <c r="BL89" s="95">
        <f>IF('[2]Mitigation summary'!AO24*CO2toC*Ggtot&gt;0,'[2]Mitigation summary'!AO24*CO2toC*Ggtot,"NO")</f>
        <v>3152.0704131800094</v>
      </c>
      <c r="BM89" s="95">
        <f>IF('[2]Mitigation summary'!AP24*CO2toC*Ggtot&gt;0,'[2]Mitigation summary'!AP24*CO2toC*Ggtot,"NO")</f>
        <v>3148.2041563755556</v>
      </c>
      <c r="BN89" s="95">
        <f>IF('[2]Mitigation summary'!AQ24*CO2toC*Ggtot&gt;0,'[2]Mitigation summary'!AQ24*CO2toC*Ggtot,"NO")</f>
        <v>3144.3378995711018</v>
      </c>
      <c r="BO89" s="95">
        <f>IF('[2]Mitigation summary'!AR24*CO2toC*Ggtot&gt;0,'[2]Mitigation summary'!AR24*CO2toC*Ggtot,"NO")</f>
        <v>3140.471642766649</v>
      </c>
      <c r="BP89" s="95">
        <f>IF('[2]Mitigation summary'!AS24*CO2toC*Ggtot&gt;0,'[2]Mitigation summary'!AS24*CO2toC*Ggtot,"NO")</f>
        <v>3136.6053859621961</v>
      </c>
      <c r="BQ89" s="82"/>
    </row>
    <row r="90" spans="1:72" x14ac:dyDescent="0.25">
      <c r="C90" t="s">
        <v>60</v>
      </c>
      <c r="D90" t="s">
        <v>103</v>
      </c>
      <c r="F90" t="s">
        <v>719</v>
      </c>
      <c r="H90" s="21" t="s">
        <v>720</v>
      </c>
      <c r="I90" s="21">
        <v>44225.892697537653</v>
      </c>
      <c r="J90" s="21">
        <v>44225.892697537653</v>
      </c>
      <c r="K90" s="21">
        <v>44225.892697537653</v>
      </c>
      <c r="L90" s="21">
        <v>44225.892697537653</v>
      </c>
      <c r="M90" s="21">
        <v>44225.892697537653</v>
      </c>
      <c r="N90" s="21">
        <v>44225.892697537653</v>
      </c>
      <c r="O90" s="21">
        <v>44225.892697537653</v>
      </c>
      <c r="P90" s="21">
        <v>44225.892697537653</v>
      </c>
      <c r="Q90" s="21">
        <v>44225.892697537653</v>
      </c>
      <c r="R90" s="21">
        <v>44225.892697537653</v>
      </c>
      <c r="S90" s="21">
        <v>44225.892697537653</v>
      </c>
      <c r="T90" s="21">
        <v>44225.892697537653</v>
      </c>
      <c r="U90" s="21">
        <v>44225.892697537653</v>
      </c>
      <c r="V90" s="21">
        <v>44225.892697537653</v>
      </c>
      <c r="W90" s="21">
        <v>44225.892697537653</v>
      </c>
      <c r="X90" s="21">
        <v>44225.892697537653</v>
      </c>
      <c r="Y90" s="21">
        <v>44225.892697537653</v>
      </c>
      <c r="Z90" s="21">
        <v>44225.892697537653</v>
      </c>
      <c r="AA90" s="21">
        <v>44225.892697537653</v>
      </c>
      <c r="AB90" s="43">
        <v>44225.892697537653</v>
      </c>
      <c r="AC90" s="43">
        <v>44225.892697537653</v>
      </c>
      <c r="AD90" s="95">
        <f>IF('[2]Mitigation summary'!G29*CO2toC*Ggtot&gt;0,'[2]Mitigation summary'!G29*CO2toC*Ggtot,"NO")</f>
        <v>467927.3506762968</v>
      </c>
      <c r="AE90" s="95">
        <f>IF('[2]Mitigation summary'!H29*CO2toC*Ggtot&gt;0,'[2]Mitigation summary'!H29*CO2toC*Ggtot,"NO")</f>
        <v>469011.62465508078</v>
      </c>
      <c r="AF90" s="95">
        <f>IF('[2]Mitigation summary'!I29*CO2toC*Ggtot&gt;0,'[2]Mitigation summary'!I29*CO2toC*Ggtot,"NO")</f>
        <v>470095.89863386494</v>
      </c>
      <c r="AG90" s="95">
        <f>IF('[2]Mitigation summary'!J29*CO2toC*Ggtot&gt;0,'[2]Mitigation summary'!J29*CO2toC*Ggtot,"NO")</f>
        <v>471180.17261264892</v>
      </c>
      <c r="AH90" s="95">
        <f>IF('[2]Mitigation summary'!K29*CO2toC*Ggtot&gt;0,'[2]Mitigation summary'!K29*CO2toC*Ggtot,"NO")</f>
        <v>472264.44659143296</v>
      </c>
      <c r="AI90" s="95">
        <f>IF('[2]Mitigation summary'!L29*CO2toC*Ggtot&gt;0,'[2]Mitigation summary'!L29*CO2toC*Ggtot,"NO")</f>
        <v>473348.72057021694</v>
      </c>
      <c r="AJ90" s="95">
        <f>IF('[2]Mitigation summary'!M29*CO2toC*Ggtot&gt;0,'[2]Mitigation summary'!M29*CO2toC*Ggtot,"NO")</f>
        <v>474432.9945490011</v>
      </c>
      <c r="AK90" s="95">
        <f>IF('[2]Mitigation summary'!N29*CO2toC*Ggtot&gt;0,'[2]Mitigation summary'!N29*CO2toC*Ggtot,"NO")</f>
        <v>475517.26852778508</v>
      </c>
      <c r="AL90" s="95">
        <f>IF('[2]Mitigation summary'!O29*CO2toC*Ggtot&gt;0,'[2]Mitigation summary'!O29*CO2toC*Ggtot,"NO")</f>
        <v>476601.54250656907</v>
      </c>
      <c r="AM90" s="95">
        <f>IF('[2]Mitigation summary'!P29*CO2toC*Ggtot&gt;0,'[2]Mitigation summary'!P29*CO2toC*Ggtot,"NO")</f>
        <v>477685.81648535322</v>
      </c>
      <c r="AN90" s="95">
        <f>IF('[2]Mitigation summary'!Q29*CO2toC*Ggtot&gt;0,'[2]Mitigation summary'!Q29*CO2toC*Ggtot,"NO")</f>
        <v>478770.09046413715</v>
      </c>
      <c r="AO90" s="95">
        <f>IF('[2]Mitigation summary'!R29*CO2toC*Ggtot&gt;0,'[2]Mitigation summary'!R29*CO2toC*Ggtot,"NO")</f>
        <v>479854.36444292124</v>
      </c>
      <c r="AP90" s="95">
        <f>IF('[2]Mitigation summary'!S29*CO2toC*Ggtot&gt;0,'[2]Mitigation summary'!S29*CO2toC*Ggtot,"NO")</f>
        <v>480938.63842170528</v>
      </c>
      <c r="AQ90" s="95">
        <f>IF('[2]Mitigation summary'!T29*CO2toC*Ggtot&gt;0,'[2]Mitigation summary'!T29*CO2toC*Ggtot,"NO")</f>
        <v>482022.91240048944</v>
      </c>
      <c r="AR90" s="95">
        <f>IF('[2]Mitigation summary'!U29*CO2toC*Ggtot&gt;0,'[2]Mitigation summary'!U29*CO2toC*Ggtot,"NO")</f>
        <v>483107.18637927336</v>
      </c>
      <c r="AS90" s="95">
        <f>IF('[2]Mitigation summary'!V29*CO2toC*Ggtot&gt;0,'[2]Mitigation summary'!V29*CO2toC*Ggtot,"NO")</f>
        <v>484191.46035805752</v>
      </c>
      <c r="AT90" s="95">
        <f>IF('[2]Mitigation summary'!W29*CO2toC*Ggtot&gt;0,'[2]Mitigation summary'!W29*CO2toC*Ggtot,"NO")</f>
        <v>485275.73433684139</v>
      </c>
      <c r="AU90" s="95">
        <f>IF('[2]Mitigation summary'!X29*CO2toC*Ggtot&gt;0,'[2]Mitigation summary'!X29*CO2toC*Ggtot,"NO")</f>
        <v>486360.00831562548</v>
      </c>
      <c r="AV90" s="95">
        <f>IF('[2]Mitigation summary'!Y29*CO2toC*Ggtot&gt;0,'[2]Mitigation summary'!Y29*CO2toC*Ggtot,"NO")</f>
        <v>487444.28229440958</v>
      </c>
      <c r="AW90" s="95">
        <f>IF('[2]Mitigation summary'!Z29*CO2toC*Ggtot&gt;0,'[2]Mitigation summary'!Z29*CO2toC*Ggtot,"NO")</f>
        <v>488528.55627319368</v>
      </c>
      <c r="AX90" s="95">
        <f>IF('[2]Mitigation summary'!AA29*CO2toC*Ggtot&gt;0,'[2]Mitigation summary'!AA29*CO2toC*Ggtot,"NO")</f>
        <v>489612.83025197766</v>
      </c>
      <c r="AY90" s="95">
        <f>IF('[2]Mitigation summary'!AB29*CO2toC*Ggtot&gt;0,'[2]Mitigation summary'!AB29*CO2toC*Ggtot,"NO")</f>
        <v>490697.1042307617</v>
      </c>
      <c r="AZ90" s="95">
        <f>IF('[2]Mitigation summary'!AC29*CO2toC*Ggtot&gt;0,'[2]Mitigation summary'!AC29*CO2toC*Ggtot,"NO")</f>
        <v>491781.3782095458</v>
      </c>
      <c r="BA90" s="95">
        <f>IF('[2]Mitigation summary'!AD29*CO2toC*Ggtot&gt;0,'[2]Mitigation summary'!AD29*CO2toC*Ggtot,"NO")</f>
        <v>492865.65218832978</v>
      </c>
      <c r="BB90" s="95">
        <f>IF('[2]Mitigation summary'!AE29*CO2toC*Ggtot&gt;0,'[2]Mitigation summary'!AE29*CO2toC*Ggtot,"NO")</f>
        <v>493949.92616711388</v>
      </c>
      <c r="BC90" s="95">
        <f>IF('[2]Mitigation summary'!AF29*CO2toC*Ggtot&gt;0,'[2]Mitigation summary'!AF29*CO2toC*Ggtot,"NO")</f>
        <v>495034.20014589792</v>
      </c>
      <c r="BD90" s="95">
        <f>IF('[2]Mitigation summary'!AG29*CO2toC*Ggtot&gt;0,'[2]Mitigation summary'!AG29*CO2toC*Ggtot,"NO")</f>
        <v>496118.4741246819</v>
      </c>
      <c r="BE90" s="95">
        <f>IF('[2]Mitigation summary'!AH29*CO2toC*Ggtot&gt;0,'[2]Mitigation summary'!AH29*CO2toC*Ggtot,"NO")</f>
        <v>497202.74810346606</v>
      </c>
      <c r="BF90" s="95">
        <f>IF('[2]Mitigation summary'!AI29*CO2toC*Ggtot&gt;0,'[2]Mitigation summary'!AI29*CO2toC*Ggtot,"NO")</f>
        <v>498287.02208225004</v>
      </c>
      <c r="BG90" s="95">
        <f>IF('[2]Mitigation summary'!AJ29*CO2toC*Ggtot&gt;0,'[2]Mitigation summary'!AJ29*CO2toC*Ggtot,"NO")</f>
        <v>499371.29606103408</v>
      </c>
      <c r="BH90" s="95">
        <f>IF('[2]Mitigation summary'!AK29*CO2toC*Ggtot&gt;0,'[2]Mitigation summary'!AK29*CO2toC*Ggtot,"NO")</f>
        <v>500455.57003981812</v>
      </c>
      <c r="BI90" s="95">
        <f>IF('[2]Mitigation summary'!AL29*CO2toC*Ggtot&gt;0,'[2]Mitigation summary'!AL29*CO2toC*Ggtot,"NO")</f>
        <v>501539.84401860222</v>
      </c>
      <c r="BJ90" s="95">
        <f>IF('[2]Mitigation summary'!AM29*CO2toC*Ggtot&gt;0,'[2]Mitigation summary'!AM29*CO2toC*Ggtot,"NO")</f>
        <v>502624.1179973862</v>
      </c>
      <c r="BK90" s="95">
        <f>IF('[2]Mitigation summary'!AN29*CO2toC*Ggtot&gt;0,'[2]Mitigation summary'!AN29*CO2toC*Ggtot,"NO")</f>
        <v>503708.39197617036</v>
      </c>
      <c r="BL90" s="95">
        <f>IF('[2]Mitigation summary'!AO29*CO2toC*Ggtot&gt;0,'[2]Mitigation summary'!AO29*CO2toC*Ggtot,"NO")</f>
        <v>504792.66595495434</v>
      </c>
      <c r="BM90" s="95">
        <f>IF('[2]Mitigation summary'!AP29*CO2toC*Ggtot&gt;0,'[2]Mitigation summary'!AP29*CO2toC*Ggtot,"NO")</f>
        <v>505876.93993373832</v>
      </c>
      <c r="BN90" s="95">
        <f>IF('[2]Mitigation summary'!AQ29*CO2toC*Ggtot&gt;0,'[2]Mitigation summary'!AQ29*CO2toC*Ggtot,"NO")</f>
        <v>506961.21391252236</v>
      </c>
      <c r="BO90" s="95">
        <f>IF('[2]Mitigation summary'!AR29*CO2toC*Ggtot&gt;0,'[2]Mitigation summary'!AR29*CO2toC*Ggtot,"NO")</f>
        <v>508045.4878913064</v>
      </c>
      <c r="BP90" s="95">
        <f>IF('[2]Mitigation summary'!AS29*CO2toC*Ggtot&gt;0,'[2]Mitigation summary'!AS29*CO2toC*Ggtot,"NO")</f>
        <v>509129.7618700905</v>
      </c>
      <c r="BQ90" s="82"/>
    </row>
    <row r="91" spans="1:72" x14ac:dyDescent="0.25">
      <c r="A91" t="str">
        <f>A87</f>
        <v>3C Aggregated and non-CO2 emissions on land</v>
      </c>
      <c r="B91" t="str">
        <f>B87</f>
        <v>3C4 Direct N2O from managed soils (N2O)</v>
      </c>
      <c r="C91" t="s">
        <v>60</v>
      </c>
      <c r="D91" t="s">
        <v>104</v>
      </c>
      <c r="F91" t="s">
        <v>719</v>
      </c>
      <c r="H91" s="21" t="s">
        <v>720</v>
      </c>
      <c r="I91" s="21">
        <v>48695.832223383841</v>
      </c>
      <c r="J91" s="21">
        <v>48695.832223383841</v>
      </c>
      <c r="K91" s="21">
        <v>48695.832223383841</v>
      </c>
      <c r="L91" s="21">
        <v>48695.832223383841</v>
      </c>
      <c r="M91" s="21">
        <v>48695.832223383841</v>
      </c>
      <c r="N91" s="21">
        <v>48695.832223383841</v>
      </c>
      <c r="O91" s="21">
        <v>48695.832223383841</v>
      </c>
      <c r="P91" s="21">
        <v>48695.832223383841</v>
      </c>
      <c r="Q91" s="21">
        <v>48695.832223383841</v>
      </c>
      <c r="R91" s="21">
        <v>48695.832223383841</v>
      </c>
      <c r="S91" s="21">
        <v>48695.832223383841</v>
      </c>
      <c r="T91" s="21">
        <v>48695.832223383841</v>
      </c>
      <c r="U91" s="21">
        <v>48695.832223383841</v>
      </c>
      <c r="V91" s="21">
        <v>48695.832223383841</v>
      </c>
      <c r="W91" s="21">
        <v>48695.832223383841</v>
      </c>
      <c r="X91" s="21">
        <v>48695.832223383841</v>
      </c>
      <c r="Y91" s="21">
        <v>48695.832223383841</v>
      </c>
      <c r="Z91" s="21">
        <v>48695.832223383841</v>
      </c>
      <c r="AA91" s="21">
        <v>48695.832223383841</v>
      </c>
      <c r="AB91" s="43">
        <v>48695.832223383841</v>
      </c>
      <c r="AC91" s="43">
        <v>48695.832223383841</v>
      </c>
      <c r="AD91" s="95">
        <f>IF('[2]Mitigation summary'!G37*CO2toC*Ggtot&gt;0,'[2]Mitigation summary'!G37*CO2toC*Ggtot,"NO")</f>
        <v>549791.65413497901</v>
      </c>
      <c r="AE91" s="95">
        <f>IF('[2]Mitigation summary'!H37*CO2toC*Ggtot&gt;0,'[2]Mitigation summary'!H37*CO2toC*Ggtot,"NO")</f>
        <v>549791.65413497901</v>
      </c>
      <c r="AF91" s="95">
        <f>IF('[2]Mitigation summary'!I37*CO2toC*Ggtot&gt;0,'[2]Mitigation summary'!I37*CO2toC*Ggtot,"NO")</f>
        <v>549791.65413497901</v>
      </c>
      <c r="AG91" s="95">
        <f>IF('[2]Mitigation summary'!J37*CO2toC*Ggtot&gt;0,'[2]Mitigation summary'!J37*CO2toC*Ggtot,"NO")</f>
        <v>549791.65413497901</v>
      </c>
      <c r="AH91" s="95">
        <f>IF('[2]Mitigation summary'!K37*CO2toC*Ggtot&gt;0,'[2]Mitigation summary'!K37*CO2toC*Ggtot,"NO")</f>
        <v>549791.65413497901</v>
      </c>
      <c r="AI91" s="95">
        <f>IF('[2]Mitigation summary'!L37*CO2toC*Ggtot&gt;0,'[2]Mitigation summary'!L37*CO2toC*Ggtot,"NO")</f>
        <v>549791.65413497901</v>
      </c>
      <c r="AJ91" s="95">
        <f>IF('[2]Mitigation summary'!M37*CO2toC*Ggtot&gt;0,'[2]Mitigation summary'!M37*CO2toC*Ggtot,"NO")</f>
        <v>549791.65413497901</v>
      </c>
      <c r="AK91" s="95">
        <f>IF('[2]Mitigation summary'!N37*CO2toC*Ggtot&gt;0,'[2]Mitigation summary'!N37*CO2toC*Ggtot,"NO")</f>
        <v>549791.65413497901</v>
      </c>
      <c r="AL91" s="95">
        <f>IF('[2]Mitigation summary'!O37*CO2toC*Ggtot&gt;0,'[2]Mitigation summary'!O37*CO2toC*Ggtot,"NO")</f>
        <v>549791.65413497901</v>
      </c>
      <c r="AM91" s="95">
        <f>IF('[2]Mitigation summary'!P37*CO2toC*Ggtot&gt;0,'[2]Mitigation summary'!P37*CO2toC*Ggtot,"NO")</f>
        <v>549791.65413497901</v>
      </c>
      <c r="AN91" s="95">
        <f>IF('[2]Mitigation summary'!Q37*CO2toC*Ggtot&gt;0,'[2]Mitigation summary'!Q37*CO2toC*Ggtot,"NO")</f>
        <v>549791.65413497901</v>
      </c>
      <c r="AO91" s="95">
        <f>IF('[2]Mitigation summary'!R37*CO2toC*Ggtot&gt;0,'[2]Mitigation summary'!R37*CO2toC*Ggtot,"NO")</f>
        <v>549791.65413497901</v>
      </c>
      <c r="AP91" s="95">
        <f>IF('[2]Mitigation summary'!S37*CO2toC*Ggtot&gt;0,'[2]Mitigation summary'!S37*CO2toC*Ggtot,"NO")</f>
        <v>549791.65413497901</v>
      </c>
      <c r="AQ91" s="95">
        <f>IF('[2]Mitigation summary'!T37*CO2toC*Ggtot&gt;0,'[2]Mitigation summary'!T37*CO2toC*Ggtot,"NO")</f>
        <v>549791.65413497901</v>
      </c>
      <c r="AR91" s="95">
        <f>IF('[2]Mitigation summary'!U37*CO2toC*Ggtot&gt;0,'[2]Mitigation summary'!U37*CO2toC*Ggtot,"NO")</f>
        <v>549791.65413497901</v>
      </c>
      <c r="AS91" s="95">
        <f>IF('[2]Mitigation summary'!V37*CO2toC*Ggtot&gt;0,'[2]Mitigation summary'!V37*CO2toC*Ggtot,"NO")</f>
        <v>549791.65413497901</v>
      </c>
      <c r="AT91" s="95">
        <f>IF('[2]Mitigation summary'!W37*CO2toC*Ggtot&gt;0,'[2]Mitigation summary'!W37*CO2toC*Ggtot,"NO")</f>
        <v>549791.65413497901</v>
      </c>
      <c r="AU91" s="95">
        <f>IF('[2]Mitigation summary'!X37*CO2toC*Ggtot&gt;0,'[2]Mitigation summary'!X37*CO2toC*Ggtot,"NO")</f>
        <v>549791.65413497901</v>
      </c>
      <c r="AV91" s="95">
        <f>IF('[2]Mitigation summary'!Y37*CO2toC*Ggtot&gt;0,'[2]Mitigation summary'!Y37*CO2toC*Ggtot,"NO")</f>
        <v>549791.65413497901</v>
      </c>
      <c r="AW91" s="95">
        <f>IF('[2]Mitigation summary'!Z37*CO2toC*Ggtot&gt;0,'[2]Mitigation summary'!Z37*CO2toC*Ggtot,"NO")</f>
        <v>549791.65413497901</v>
      </c>
      <c r="AX91" s="95">
        <f>IF('[2]Mitigation summary'!AA37*CO2toC*Ggtot&gt;0,'[2]Mitigation summary'!AA37*CO2toC*Ggtot,"NO")</f>
        <v>549791.65413497901</v>
      </c>
      <c r="AY91" s="95">
        <f>IF('[2]Mitigation summary'!AB37*CO2toC*Ggtot&gt;0,'[2]Mitigation summary'!AB37*CO2toC*Ggtot,"NO")</f>
        <v>549791.65413497901</v>
      </c>
      <c r="AZ91" s="95">
        <f>IF('[2]Mitigation summary'!AC37*CO2toC*Ggtot&gt;0,'[2]Mitigation summary'!AC37*CO2toC*Ggtot,"NO")</f>
        <v>549791.65413497901</v>
      </c>
      <c r="BA91" s="95">
        <f>IF('[2]Mitigation summary'!AD37*CO2toC*Ggtot&gt;0,'[2]Mitigation summary'!AD37*CO2toC*Ggtot,"NO")</f>
        <v>549791.65413497901</v>
      </c>
      <c r="BB91" s="95">
        <f>IF('[2]Mitigation summary'!AE37*CO2toC*Ggtot&gt;0,'[2]Mitigation summary'!AE37*CO2toC*Ggtot,"NO")</f>
        <v>549791.65413497901</v>
      </c>
      <c r="BC91" s="95">
        <f>IF('[2]Mitigation summary'!AF37*CO2toC*Ggtot&gt;0,'[2]Mitigation summary'!AF37*CO2toC*Ggtot,"NO")</f>
        <v>549791.65413497901</v>
      </c>
      <c r="BD91" s="95">
        <f>IF('[2]Mitigation summary'!AG37*CO2toC*Ggtot&gt;0,'[2]Mitigation summary'!AG37*CO2toC*Ggtot,"NO")</f>
        <v>549791.65413497901</v>
      </c>
      <c r="BE91" s="95">
        <f>IF('[2]Mitigation summary'!AH37*CO2toC*Ggtot&gt;0,'[2]Mitigation summary'!AH37*CO2toC*Ggtot,"NO")</f>
        <v>549791.65413497901</v>
      </c>
      <c r="BF91" s="95">
        <f>IF('[2]Mitigation summary'!AI37*CO2toC*Ggtot&gt;0,'[2]Mitigation summary'!AI37*CO2toC*Ggtot,"NO")</f>
        <v>549791.65413497901</v>
      </c>
      <c r="BG91" s="95">
        <f>IF('[2]Mitigation summary'!AJ37*CO2toC*Ggtot&gt;0,'[2]Mitigation summary'!AJ37*CO2toC*Ggtot,"NO")</f>
        <v>549791.65413497901</v>
      </c>
      <c r="BH91" s="95">
        <f>IF('[2]Mitigation summary'!AK37*CO2toC*Ggtot&gt;0,'[2]Mitigation summary'!AK37*CO2toC*Ggtot,"NO")</f>
        <v>549791.65413497901</v>
      </c>
      <c r="BI91" s="95">
        <f>IF('[2]Mitigation summary'!AL37*CO2toC*Ggtot&gt;0,'[2]Mitigation summary'!AL37*CO2toC*Ggtot,"NO")</f>
        <v>549791.65413497901</v>
      </c>
      <c r="BJ91" s="95">
        <f>IF('[2]Mitigation summary'!AM37*CO2toC*Ggtot&gt;0,'[2]Mitigation summary'!AM37*CO2toC*Ggtot,"NO")</f>
        <v>549791.65413497901</v>
      </c>
      <c r="BK91" s="95">
        <f>IF('[2]Mitigation summary'!AN37*CO2toC*Ggtot&gt;0,'[2]Mitigation summary'!AN37*CO2toC*Ggtot,"NO")</f>
        <v>549791.65413497901</v>
      </c>
      <c r="BL91" s="95">
        <f>IF('[2]Mitigation summary'!AO37*CO2toC*Ggtot&gt;0,'[2]Mitigation summary'!AO37*CO2toC*Ggtot,"NO")</f>
        <v>549791.65413497901</v>
      </c>
      <c r="BM91" s="95">
        <f>IF('[2]Mitigation summary'!AP37*CO2toC*Ggtot&gt;0,'[2]Mitigation summary'!AP37*CO2toC*Ggtot,"NO")</f>
        <v>549791.65413497901</v>
      </c>
      <c r="BN91" s="95">
        <f>IF('[2]Mitigation summary'!AQ37*CO2toC*Ggtot&gt;0,'[2]Mitigation summary'!AQ37*CO2toC*Ggtot,"NO")</f>
        <v>549791.65413497901</v>
      </c>
      <c r="BO91" s="95">
        <f>IF('[2]Mitigation summary'!AR37*CO2toC*Ggtot&gt;0,'[2]Mitigation summary'!AR37*CO2toC*Ggtot,"NO")</f>
        <v>549791.65413497901</v>
      </c>
      <c r="BP91" s="95">
        <f>IF('[2]Mitigation summary'!AS37*CO2toC*Ggtot&gt;0,'[2]Mitigation summary'!AS37*CO2toC*Ggtot,"NO")</f>
        <v>549791.65413497901</v>
      </c>
      <c r="BQ91" s="82"/>
    </row>
    <row r="92" spans="1:72" x14ac:dyDescent="0.25">
      <c r="C92" t="s">
        <v>60</v>
      </c>
      <c r="D92" t="s">
        <v>105</v>
      </c>
      <c r="F92" t="s">
        <v>719</v>
      </c>
      <c r="H92" s="21">
        <v>0</v>
      </c>
      <c r="I92" s="21">
        <v>543.68882579109982</v>
      </c>
      <c r="J92" s="21">
        <v>543.68882579109982</v>
      </c>
      <c r="K92" s="21">
        <v>543.68882579109982</v>
      </c>
      <c r="L92" s="21">
        <v>543.68882579109982</v>
      </c>
      <c r="M92" s="21">
        <v>543.68882579109982</v>
      </c>
      <c r="N92" s="21">
        <v>543.68882579109982</v>
      </c>
      <c r="O92" s="21">
        <v>543.68882579109982</v>
      </c>
      <c r="P92" s="21">
        <v>543.68882579109982</v>
      </c>
      <c r="Q92" s="21">
        <v>543.68882579109982</v>
      </c>
      <c r="R92" s="21">
        <v>543.68882579109982</v>
      </c>
      <c r="S92" s="21">
        <v>543.68882579109982</v>
      </c>
      <c r="T92" s="21">
        <v>543.68882579109982</v>
      </c>
      <c r="U92" s="21">
        <v>543.68882579109982</v>
      </c>
      <c r="V92" s="21">
        <v>543.68882579109982</v>
      </c>
      <c r="W92" s="21">
        <v>543.68882579109982</v>
      </c>
      <c r="X92" s="21">
        <v>543.68882579109982</v>
      </c>
      <c r="Y92" s="21">
        <v>543.68882579109982</v>
      </c>
      <c r="Z92" s="21">
        <v>543.68882579109982</v>
      </c>
      <c r="AA92" s="21">
        <v>543.68882579109982</v>
      </c>
      <c r="AB92" s="43">
        <v>543.68882579109982</v>
      </c>
      <c r="AC92" s="43">
        <v>543.68882579109982</v>
      </c>
      <c r="AD92" s="95" t="str">
        <f>IF('[2]Mitigation summary'!G42*CO2toC*Ggtot&gt;0,'[2]Mitigation summary'!G42*CO2toC*Ggtot,"NO")</f>
        <v>NO</v>
      </c>
      <c r="AE92" s="95" t="str">
        <f>IF('[2]Mitigation summary'!H42*CO2toC*Ggtot&gt;0,'[2]Mitigation summary'!H42*CO2toC*Ggtot,"NO")</f>
        <v>NO</v>
      </c>
      <c r="AF92" s="95" t="str">
        <f>IF('[2]Mitigation summary'!I42*CO2toC*Ggtot&gt;0,'[2]Mitigation summary'!I42*CO2toC*Ggtot,"NO")</f>
        <v>NO</v>
      </c>
      <c r="AG92" s="95" t="str">
        <f>IF('[2]Mitigation summary'!J42*CO2toC*Ggtot&gt;0,'[2]Mitigation summary'!J42*CO2toC*Ggtot,"NO")</f>
        <v>NO</v>
      </c>
      <c r="AH92" s="95" t="str">
        <f>IF('[2]Mitigation summary'!K42*CO2toC*Ggtot&gt;0,'[2]Mitigation summary'!K42*CO2toC*Ggtot,"NO")</f>
        <v>NO</v>
      </c>
      <c r="AI92" s="95" t="str">
        <f>IF('[2]Mitigation summary'!L42*CO2toC*Ggtot&gt;0,'[2]Mitigation summary'!L42*CO2toC*Ggtot,"NO")</f>
        <v>NO</v>
      </c>
      <c r="AJ92" s="95" t="str">
        <f>IF('[2]Mitigation summary'!M42*CO2toC*Ggtot&gt;0,'[2]Mitigation summary'!M42*CO2toC*Ggtot,"NO")</f>
        <v>NO</v>
      </c>
      <c r="AK92" s="95" t="str">
        <f>IF('[2]Mitigation summary'!N42*CO2toC*Ggtot&gt;0,'[2]Mitigation summary'!N42*CO2toC*Ggtot,"NO")</f>
        <v>NO</v>
      </c>
      <c r="AL92" s="95" t="str">
        <f>IF('[2]Mitigation summary'!O42*CO2toC*Ggtot&gt;0,'[2]Mitigation summary'!O42*CO2toC*Ggtot,"NO")</f>
        <v>NO</v>
      </c>
      <c r="AM92" s="95" t="str">
        <f>IF('[2]Mitigation summary'!P42*CO2toC*Ggtot&gt;0,'[2]Mitigation summary'!P42*CO2toC*Ggtot,"NO")</f>
        <v>NO</v>
      </c>
      <c r="AN92" s="95" t="str">
        <f>IF('[2]Mitigation summary'!Q42*CO2toC*Ggtot&gt;0,'[2]Mitigation summary'!Q42*CO2toC*Ggtot,"NO")</f>
        <v>NO</v>
      </c>
      <c r="AO92" s="95" t="str">
        <f>IF('[2]Mitigation summary'!R42*CO2toC*Ggtot&gt;0,'[2]Mitigation summary'!R42*CO2toC*Ggtot,"NO")</f>
        <v>NO</v>
      </c>
      <c r="AP92" s="95" t="str">
        <f>IF('[2]Mitigation summary'!S42*CO2toC*Ggtot&gt;0,'[2]Mitigation summary'!S42*CO2toC*Ggtot,"NO")</f>
        <v>NO</v>
      </c>
      <c r="AQ92" s="95" t="str">
        <f>IF('[2]Mitigation summary'!T42*CO2toC*Ggtot&gt;0,'[2]Mitigation summary'!T42*CO2toC*Ggtot,"NO")</f>
        <v>NO</v>
      </c>
      <c r="AR92" s="95" t="str">
        <f>IF('[2]Mitigation summary'!U42*CO2toC*Ggtot&gt;0,'[2]Mitigation summary'!U42*CO2toC*Ggtot,"NO")</f>
        <v>NO</v>
      </c>
      <c r="AS92" s="95" t="str">
        <f>IF('[2]Mitigation summary'!V42*CO2toC*Ggtot&gt;0,'[2]Mitigation summary'!V42*CO2toC*Ggtot,"NO")</f>
        <v>NO</v>
      </c>
      <c r="AT92" s="95" t="str">
        <f>IF('[2]Mitigation summary'!W42*CO2toC*Ggtot&gt;0,'[2]Mitigation summary'!W42*CO2toC*Ggtot,"NO")</f>
        <v>NO</v>
      </c>
      <c r="AU92" s="95" t="str">
        <f>IF('[2]Mitigation summary'!X42*CO2toC*Ggtot&gt;0,'[2]Mitigation summary'!X42*CO2toC*Ggtot,"NO")</f>
        <v>NO</v>
      </c>
      <c r="AV92" s="95" t="str">
        <f>IF('[2]Mitigation summary'!Y42*CO2toC*Ggtot&gt;0,'[2]Mitigation summary'!Y42*CO2toC*Ggtot,"NO")</f>
        <v>NO</v>
      </c>
      <c r="AW92" s="95" t="str">
        <f>IF('[2]Mitigation summary'!Z42*CO2toC*Ggtot&gt;0,'[2]Mitigation summary'!Z42*CO2toC*Ggtot,"NO")</f>
        <v>NO</v>
      </c>
      <c r="AX92" s="95" t="str">
        <f>IF('[2]Mitigation summary'!AA42*CO2toC*Ggtot&gt;0,'[2]Mitigation summary'!AA42*CO2toC*Ggtot,"NO")</f>
        <v>NO</v>
      </c>
      <c r="AY92" s="95" t="str">
        <f>IF('[2]Mitigation summary'!AB42*CO2toC*Ggtot&gt;0,'[2]Mitigation summary'!AB42*CO2toC*Ggtot,"NO")</f>
        <v>NO</v>
      </c>
      <c r="AZ92" s="95" t="str">
        <f>IF('[2]Mitigation summary'!AC42*CO2toC*Ggtot&gt;0,'[2]Mitigation summary'!AC42*CO2toC*Ggtot,"NO")</f>
        <v>NO</v>
      </c>
      <c r="BA92" s="95" t="str">
        <f>IF('[2]Mitigation summary'!AD42*CO2toC*Ggtot&gt;0,'[2]Mitigation summary'!AD42*CO2toC*Ggtot,"NO")</f>
        <v>NO</v>
      </c>
      <c r="BB92" s="95" t="str">
        <f>IF('[2]Mitigation summary'!AE42*CO2toC*Ggtot&gt;0,'[2]Mitigation summary'!AE42*CO2toC*Ggtot,"NO")</f>
        <v>NO</v>
      </c>
      <c r="BC92" s="95" t="str">
        <f>IF('[2]Mitigation summary'!AF42*CO2toC*Ggtot&gt;0,'[2]Mitigation summary'!AF42*CO2toC*Ggtot,"NO")</f>
        <v>NO</v>
      </c>
      <c r="BD92" s="95" t="str">
        <f>IF('[2]Mitigation summary'!AG42*CO2toC*Ggtot&gt;0,'[2]Mitigation summary'!AG42*CO2toC*Ggtot,"NO")</f>
        <v>NO</v>
      </c>
      <c r="BE92" s="95" t="str">
        <f>IF('[2]Mitigation summary'!AH42*CO2toC*Ggtot&gt;0,'[2]Mitigation summary'!AH42*CO2toC*Ggtot,"NO")</f>
        <v>NO</v>
      </c>
      <c r="BF92" s="95" t="str">
        <f>IF('[2]Mitigation summary'!AI42*CO2toC*Ggtot&gt;0,'[2]Mitigation summary'!AI42*CO2toC*Ggtot,"NO")</f>
        <v>NO</v>
      </c>
      <c r="BG92" s="95" t="str">
        <f>IF('[2]Mitigation summary'!AJ42*CO2toC*Ggtot&gt;0,'[2]Mitigation summary'!AJ42*CO2toC*Ggtot,"NO")</f>
        <v>NO</v>
      </c>
      <c r="BH92" s="95" t="str">
        <f>IF('[2]Mitigation summary'!AK42*CO2toC*Ggtot&gt;0,'[2]Mitigation summary'!AK42*CO2toC*Ggtot,"NO")</f>
        <v>NO</v>
      </c>
      <c r="BI92" s="95" t="str">
        <f>IF('[2]Mitigation summary'!AL42*CO2toC*Ggtot&gt;0,'[2]Mitigation summary'!AL42*CO2toC*Ggtot,"NO")</f>
        <v>NO</v>
      </c>
      <c r="BJ92" s="95" t="str">
        <f>IF('[2]Mitigation summary'!AM42*CO2toC*Ggtot&gt;0,'[2]Mitigation summary'!AM42*CO2toC*Ggtot,"NO")</f>
        <v>NO</v>
      </c>
      <c r="BK92" s="95" t="str">
        <f>IF('[2]Mitigation summary'!AN42*CO2toC*Ggtot&gt;0,'[2]Mitigation summary'!AN42*CO2toC*Ggtot,"NO")</f>
        <v>NO</v>
      </c>
      <c r="BL92" s="95" t="str">
        <f>IF('[2]Mitigation summary'!AO42*CO2toC*Ggtot&gt;0,'[2]Mitigation summary'!AO42*CO2toC*Ggtot,"NO")</f>
        <v>NO</v>
      </c>
      <c r="BM92" s="95" t="str">
        <f>IF('[2]Mitigation summary'!AP42*CO2toC*Ggtot&gt;0,'[2]Mitigation summary'!AP42*CO2toC*Ggtot,"NO")</f>
        <v>NO</v>
      </c>
      <c r="BN92" s="95" t="str">
        <f>IF('[2]Mitigation summary'!AQ42*CO2toC*Ggtot&gt;0,'[2]Mitigation summary'!AQ42*CO2toC*Ggtot,"NO")</f>
        <v>NO</v>
      </c>
      <c r="BO92" s="95" t="str">
        <f>IF('[2]Mitigation summary'!AR42*CO2toC*Ggtot&gt;0,'[2]Mitigation summary'!AR42*CO2toC*Ggtot,"NO")</f>
        <v>NO</v>
      </c>
      <c r="BP92" s="95" t="str">
        <f>IF('[2]Mitigation summary'!AS42*CO2toC*Ggtot&gt;0,'[2]Mitigation summary'!AS42*CO2toC*Ggtot,"NO")</f>
        <v>NO</v>
      </c>
      <c r="BQ92" s="82"/>
    </row>
    <row r="93" spans="1:72" x14ac:dyDescent="0.25">
      <c r="A93" t="str">
        <f>A87</f>
        <v>3C Aggregated and non-CO2 emissions on land</v>
      </c>
      <c r="B93" t="str">
        <f>B87</f>
        <v>3C4 Direct N2O from managed soils (N2O)</v>
      </c>
      <c r="C93" t="s">
        <v>60</v>
      </c>
      <c r="D93" t="s">
        <v>721</v>
      </c>
      <c r="F93" t="s">
        <v>719</v>
      </c>
      <c r="H93" s="21" t="s">
        <v>720</v>
      </c>
      <c r="I93" s="21" t="s">
        <v>720</v>
      </c>
      <c r="J93" s="21" t="s">
        <v>720</v>
      </c>
      <c r="K93" s="21" t="s">
        <v>720</v>
      </c>
      <c r="L93" s="21" t="s">
        <v>720</v>
      </c>
      <c r="M93" s="21" t="s">
        <v>720</v>
      </c>
      <c r="N93" s="21" t="s">
        <v>720</v>
      </c>
      <c r="O93" s="21" t="s">
        <v>720</v>
      </c>
      <c r="P93" s="21" t="s">
        <v>720</v>
      </c>
      <c r="Q93" s="21" t="s">
        <v>720</v>
      </c>
      <c r="R93" s="21" t="s">
        <v>720</v>
      </c>
      <c r="S93" s="21" t="s">
        <v>720</v>
      </c>
      <c r="T93" s="21" t="s">
        <v>720</v>
      </c>
      <c r="U93" s="21" t="s">
        <v>720</v>
      </c>
      <c r="V93" s="21" t="s">
        <v>720</v>
      </c>
      <c r="W93" s="21" t="s">
        <v>720</v>
      </c>
      <c r="X93" s="21" t="s">
        <v>720</v>
      </c>
      <c r="Y93" s="21" t="s">
        <v>720</v>
      </c>
      <c r="Z93" s="21" t="s">
        <v>720</v>
      </c>
      <c r="AA93" s="21" t="s">
        <v>720</v>
      </c>
      <c r="AB93" s="43" t="s">
        <v>720</v>
      </c>
      <c r="AC93" s="43" t="s">
        <v>720</v>
      </c>
      <c r="AD93" s="43" t="s">
        <v>720</v>
      </c>
      <c r="AE93" s="43" t="s">
        <v>720</v>
      </c>
      <c r="AF93" s="43" t="s">
        <v>720</v>
      </c>
      <c r="AG93" s="43" t="s">
        <v>720</v>
      </c>
      <c r="AH93" s="43" t="s">
        <v>720</v>
      </c>
      <c r="AI93" s="43" t="s">
        <v>720</v>
      </c>
      <c r="AJ93" s="43" t="s">
        <v>720</v>
      </c>
      <c r="AK93" s="43" t="s">
        <v>720</v>
      </c>
      <c r="AL93" s="43" t="s">
        <v>720</v>
      </c>
      <c r="AM93" s="43" t="s">
        <v>720</v>
      </c>
      <c r="AN93" s="43" t="s">
        <v>720</v>
      </c>
      <c r="AO93" s="43" t="s">
        <v>720</v>
      </c>
      <c r="AP93" s="43" t="s">
        <v>720</v>
      </c>
      <c r="AQ93" s="43" t="s">
        <v>720</v>
      </c>
      <c r="AR93" s="43" t="s">
        <v>720</v>
      </c>
      <c r="AS93" s="43" t="s">
        <v>720</v>
      </c>
      <c r="AT93" s="43" t="s">
        <v>720</v>
      </c>
      <c r="AU93" s="43" t="s">
        <v>720</v>
      </c>
      <c r="AV93" s="43" t="s">
        <v>720</v>
      </c>
      <c r="AW93" s="43" t="s">
        <v>720</v>
      </c>
      <c r="AX93" s="43" t="s">
        <v>720</v>
      </c>
      <c r="AY93" s="43" t="s">
        <v>720</v>
      </c>
      <c r="AZ93" s="43" t="s">
        <v>720</v>
      </c>
      <c r="BA93" s="43" t="s">
        <v>720</v>
      </c>
      <c r="BB93" s="43" t="s">
        <v>720</v>
      </c>
      <c r="BC93" s="43" t="s">
        <v>720</v>
      </c>
      <c r="BD93" s="43" t="s">
        <v>720</v>
      </c>
      <c r="BE93" s="43" t="s">
        <v>720</v>
      </c>
      <c r="BF93" s="43" t="s">
        <v>720</v>
      </c>
      <c r="BG93" s="43" t="s">
        <v>720</v>
      </c>
      <c r="BH93" s="43" t="s">
        <v>720</v>
      </c>
      <c r="BI93" s="43" t="s">
        <v>720</v>
      </c>
      <c r="BJ93" s="43" t="s">
        <v>720</v>
      </c>
      <c r="BK93" s="43" t="s">
        <v>720</v>
      </c>
      <c r="BL93" s="43" t="s">
        <v>720</v>
      </c>
      <c r="BM93" s="43" t="s">
        <v>720</v>
      </c>
      <c r="BN93" s="43" t="s">
        <v>720</v>
      </c>
      <c r="BO93" s="43" t="s">
        <v>720</v>
      </c>
      <c r="BP93" s="43" t="s">
        <v>720</v>
      </c>
      <c r="BQ93" s="82"/>
    </row>
    <row r="94" spans="1:72" x14ac:dyDescent="0.25">
      <c r="C94" t="s">
        <v>60</v>
      </c>
      <c r="D94" t="s">
        <v>792</v>
      </c>
      <c r="F94" t="s">
        <v>719</v>
      </c>
      <c r="H94" s="21" t="s">
        <v>720</v>
      </c>
      <c r="I94" s="21" t="s">
        <v>720</v>
      </c>
      <c r="J94" s="21" t="s">
        <v>720</v>
      </c>
      <c r="K94" s="21" t="s">
        <v>720</v>
      </c>
      <c r="L94" s="21" t="s">
        <v>720</v>
      </c>
      <c r="M94" s="21" t="s">
        <v>720</v>
      </c>
      <c r="N94" s="21" t="s">
        <v>720</v>
      </c>
      <c r="O94" s="21" t="s">
        <v>720</v>
      </c>
      <c r="P94" s="21" t="s">
        <v>720</v>
      </c>
      <c r="Q94" s="21" t="s">
        <v>720</v>
      </c>
      <c r="R94" s="21" t="s">
        <v>720</v>
      </c>
      <c r="S94" s="21" t="s">
        <v>720</v>
      </c>
      <c r="T94" s="21" t="s">
        <v>720</v>
      </c>
      <c r="U94" s="21" t="s">
        <v>720</v>
      </c>
      <c r="V94" s="21" t="s">
        <v>720</v>
      </c>
      <c r="W94" s="21" t="s">
        <v>720</v>
      </c>
      <c r="X94" s="21" t="s">
        <v>720</v>
      </c>
      <c r="Y94" s="21" t="s">
        <v>720</v>
      </c>
      <c r="Z94" s="21" t="s">
        <v>720</v>
      </c>
      <c r="AA94" s="21" t="s">
        <v>720</v>
      </c>
      <c r="AB94" s="43" t="s">
        <v>720</v>
      </c>
      <c r="AC94" s="43" t="s">
        <v>720</v>
      </c>
      <c r="AD94" s="43" t="s">
        <v>720</v>
      </c>
      <c r="AE94" s="43" t="s">
        <v>720</v>
      </c>
      <c r="AF94" s="43" t="s">
        <v>720</v>
      </c>
      <c r="AG94" s="43" t="s">
        <v>720</v>
      </c>
      <c r="AH94" s="43" t="s">
        <v>720</v>
      </c>
      <c r="AI94" s="43" t="s">
        <v>720</v>
      </c>
      <c r="AJ94" s="43" t="s">
        <v>720</v>
      </c>
      <c r="AK94" s="43" t="s">
        <v>720</v>
      </c>
      <c r="AL94" s="43" t="s">
        <v>720</v>
      </c>
      <c r="AM94" s="43" t="s">
        <v>720</v>
      </c>
      <c r="AN94" s="43" t="s">
        <v>720</v>
      </c>
      <c r="AO94" s="43" t="s">
        <v>720</v>
      </c>
      <c r="AP94" s="43" t="s">
        <v>720</v>
      </c>
      <c r="AQ94" s="43" t="s">
        <v>720</v>
      </c>
      <c r="AR94" s="43" t="s">
        <v>720</v>
      </c>
      <c r="AS94" s="43" t="s">
        <v>720</v>
      </c>
      <c r="AT94" s="43" t="s">
        <v>720</v>
      </c>
      <c r="AU94" s="43" t="s">
        <v>720</v>
      </c>
      <c r="AV94" s="43" t="s">
        <v>720</v>
      </c>
      <c r="AW94" s="43" t="s">
        <v>720</v>
      </c>
      <c r="AX94" s="43" t="s">
        <v>720</v>
      </c>
      <c r="AY94" s="43" t="s">
        <v>720</v>
      </c>
      <c r="AZ94" s="43" t="s">
        <v>720</v>
      </c>
      <c r="BA94" s="43" t="s">
        <v>720</v>
      </c>
      <c r="BB94" s="43" t="s">
        <v>720</v>
      </c>
      <c r="BC94" s="43" t="s">
        <v>720</v>
      </c>
      <c r="BD94" s="43" t="s">
        <v>720</v>
      </c>
      <c r="BE94" s="43" t="s">
        <v>720</v>
      </c>
      <c r="BF94" s="43" t="s">
        <v>720</v>
      </c>
      <c r="BG94" s="43" t="s">
        <v>720</v>
      </c>
      <c r="BH94" s="43" t="s">
        <v>720</v>
      </c>
      <c r="BI94" s="43" t="s">
        <v>720</v>
      </c>
      <c r="BJ94" s="43" t="s">
        <v>720</v>
      </c>
      <c r="BK94" s="43" t="s">
        <v>720</v>
      </c>
      <c r="BL94" s="43" t="s">
        <v>720</v>
      </c>
      <c r="BM94" s="43" t="s">
        <v>720</v>
      </c>
      <c r="BN94" s="43" t="s">
        <v>720</v>
      </c>
      <c r="BO94" s="43" t="s">
        <v>720</v>
      </c>
      <c r="BP94" s="43" t="s">
        <v>720</v>
      </c>
      <c r="BQ94" s="82"/>
    </row>
    <row r="95" spans="1:72" x14ac:dyDescent="0.25">
      <c r="A95" t="str">
        <f>A87</f>
        <v>3C Aggregated and non-CO2 emissions on land</v>
      </c>
      <c r="B95" t="str">
        <f>B87</f>
        <v>3C4 Direct N2O from managed soils (N2O)</v>
      </c>
      <c r="C95" t="s">
        <v>60</v>
      </c>
      <c r="D95" t="s">
        <v>107</v>
      </c>
      <c r="F95" t="s">
        <v>719</v>
      </c>
      <c r="H95" s="21" t="s">
        <v>720</v>
      </c>
      <c r="I95" s="21">
        <v>4.7379431086319741</v>
      </c>
      <c r="J95" s="21">
        <v>4.7379431086319741</v>
      </c>
      <c r="K95" s="21">
        <v>4.7379431086319741</v>
      </c>
      <c r="L95" s="21">
        <v>4.7379431086319741</v>
      </c>
      <c r="M95" s="21">
        <v>4.7379431086319741</v>
      </c>
      <c r="N95" s="21">
        <v>4.7379431086319741</v>
      </c>
      <c r="O95" s="21">
        <v>4.7379431086319741</v>
      </c>
      <c r="P95" s="21">
        <v>4.7379431086319741</v>
      </c>
      <c r="Q95" s="21">
        <v>4.7379431086319741</v>
      </c>
      <c r="R95" s="21">
        <v>4.7379431086319741</v>
      </c>
      <c r="S95" s="21">
        <v>4.7379431086319741</v>
      </c>
      <c r="T95" s="21">
        <v>4.7379431086319741</v>
      </c>
      <c r="U95" s="21">
        <v>4.7379431086319741</v>
      </c>
      <c r="V95" s="21">
        <v>4.7379431086319741</v>
      </c>
      <c r="W95" s="21">
        <v>4.7379431086319741</v>
      </c>
      <c r="X95" s="21">
        <v>4.7379431086319741</v>
      </c>
      <c r="Y95" s="21">
        <v>4.7379431086319741</v>
      </c>
      <c r="Z95" s="21">
        <v>4.7379431086319741</v>
      </c>
      <c r="AA95" s="21">
        <v>4.7379431086319741</v>
      </c>
      <c r="AB95" s="43">
        <v>4.7379431086319741</v>
      </c>
      <c r="AC95" s="43">
        <v>4.7379431086319741</v>
      </c>
      <c r="AD95" s="95">
        <f>IF('[2]Mitigation summary'!G53*CO2toC*Ggtot&gt;0,'[2]Mitigation summary'!G53*CO2toC*Ggtot,"NO")</f>
        <v>53.492906065199229</v>
      </c>
      <c r="AE95" s="95">
        <f>IF('[2]Mitigation summary'!H53*CO2toC*Ggtot&gt;0,'[2]Mitigation summary'!H53*CO2toC*Ggtot,"NO")</f>
        <v>53.492906065199229</v>
      </c>
      <c r="AF95" s="95">
        <f>IF('[2]Mitigation summary'!I53*CO2toC*Ggtot&gt;0,'[2]Mitigation summary'!I53*CO2toC*Ggtot,"NO")</f>
        <v>53.492906065199229</v>
      </c>
      <c r="AG95" s="95">
        <f>IF('[2]Mitigation summary'!J53*CO2toC*Ggtot&gt;0,'[2]Mitigation summary'!J53*CO2toC*Ggtot,"NO")</f>
        <v>53.492906065199229</v>
      </c>
      <c r="AH95" s="95">
        <f>IF('[2]Mitigation summary'!K53*CO2toC*Ggtot&gt;0,'[2]Mitigation summary'!K53*CO2toC*Ggtot,"NO")</f>
        <v>53.492906065199229</v>
      </c>
      <c r="AI95" s="95">
        <f>IF('[2]Mitigation summary'!L53*CO2toC*Ggtot&gt;0,'[2]Mitigation summary'!L53*CO2toC*Ggtot,"NO")</f>
        <v>53.492906065199229</v>
      </c>
      <c r="AJ95" s="95">
        <f>IF('[2]Mitigation summary'!M53*CO2toC*Ggtot&gt;0,'[2]Mitigation summary'!M53*CO2toC*Ggtot,"NO")</f>
        <v>53.492906065199229</v>
      </c>
      <c r="AK95" s="95">
        <f>IF('[2]Mitigation summary'!N53*CO2toC*Ggtot&gt;0,'[2]Mitigation summary'!N53*CO2toC*Ggtot,"NO")</f>
        <v>53.492906065199229</v>
      </c>
      <c r="AL95" s="95">
        <f>IF('[2]Mitigation summary'!O53*CO2toC*Ggtot&gt;0,'[2]Mitigation summary'!O53*CO2toC*Ggtot,"NO")</f>
        <v>53.492906065199229</v>
      </c>
      <c r="AM95" s="95">
        <f>IF('[2]Mitigation summary'!P53*CO2toC*Ggtot&gt;0,'[2]Mitigation summary'!P53*CO2toC*Ggtot,"NO")</f>
        <v>53.492906065199229</v>
      </c>
      <c r="AN95" s="95">
        <f>IF('[2]Mitigation summary'!Q53*CO2toC*Ggtot&gt;0,'[2]Mitigation summary'!Q53*CO2toC*Ggtot,"NO")</f>
        <v>53.492906065199229</v>
      </c>
      <c r="AO95" s="95">
        <f>IF('[2]Mitigation summary'!R53*CO2toC*Ggtot&gt;0,'[2]Mitigation summary'!R53*CO2toC*Ggtot,"NO")</f>
        <v>53.492906065199229</v>
      </c>
      <c r="AP95" s="95">
        <f>IF('[2]Mitigation summary'!S53*CO2toC*Ggtot&gt;0,'[2]Mitigation summary'!S53*CO2toC*Ggtot,"NO")</f>
        <v>53.492906065199229</v>
      </c>
      <c r="AQ95" s="95">
        <f>IF('[2]Mitigation summary'!T53*CO2toC*Ggtot&gt;0,'[2]Mitigation summary'!T53*CO2toC*Ggtot,"NO")</f>
        <v>53.492906065199229</v>
      </c>
      <c r="AR95" s="95">
        <f>IF('[2]Mitigation summary'!U53*CO2toC*Ggtot&gt;0,'[2]Mitigation summary'!U53*CO2toC*Ggtot,"NO")</f>
        <v>53.492906065199229</v>
      </c>
      <c r="AS95" s="95">
        <f>IF('[2]Mitigation summary'!V53*CO2toC*Ggtot&gt;0,'[2]Mitigation summary'!V53*CO2toC*Ggtot,"NO")</f>
        <v>53.492906065199229</v>
      </c>
      <c r="AT95" s="95">
        <f>IF('[2]Mitigation summary'!W53*CO2toC*Ggtot&gt;0,'[2]Mitigation summary'!W53*CO2toC*Ggtot,"NO")</f>
        <v>53.492906065199229</v>
      </c>
      <c r="AU95" s="95">
        <f>IF('[2]Mitigation summary'!X53*CO2toC*Ggtot&gt;0,'[2]Mitigation summary'!X53*CO2toC*Ggtot,"NO")</f>
        <v>53.492906065199229</v>
      </c>
      <c r="AV95" s="95">
        <f>IF('[2]Mitigation summary'!Y53*CO2toC*Ggtot&gt;0,'[2]Mitigation summary'!Y53*CO2toC*Ggtot,"NO")</f>
        <v>53.492906065199229</v>
      </c>
      <c r="AW95" s="95">
        <f>IF('[2]Mitigation summary'!Z53*CO2toC*Ggtot&gt;0,'[2]Mitigation summary'!Z53*CO2toC*Ggtot,"NO")</f>
        <v>53.492906065199229</v>
      </c>
      <c r="AX95" s="95">
        <f>IF('[2]Mitigation summary'!AA53*CO2toC*Ggtot&gt;0,'[2]Mitigation summary'!AA53*CO2toC*Ggtot,"NO")</f>
        <v>53.492906065199229</v>
      </c>
      <c r="AY95" s="95">
        <f>IF('[2]Mitigation summary'!AB53*CO2toC*Ggtot&gt;0,'[2]Mitigation summary'!AB53*CO2toC*Ggtot,"NO")</f>
        <v>53.492906065199229</v>
      </c>
      <c r="AZ95" s="95">
        <f>IF('[2]Mitigation summary'!AC53*CO2toC*Ggtot&gt;0,'[2]Mitigation summary'!AC53*CO2toC*Ggtot,"NO")</f>
        <v>53.492906065199229</v>
      </c>
      <c r="BA95" s="95">
        <f>IF('[2]Mitigation summary'!AD53*CO2toC*Ggtot&gt;0,'[2]Mitigation summary'!AD53*CO2toC*Ggtot,"NO")</f>
        <v>53.492906065199229</v>
      </c>
      <c r="BB95" s="95">
        <f>IF('[2]Mitigation summary'!AE53*CO2toC*Ggtot&gt;0,'[2]Mitigation summary'!AE53*CO2toC*Ggtot,"NO")</f>
        <v>53.492906065199229</v>
      </c>
      <c r="BC95" s="95">
        <f>IF('[2]Mitigation summary'!AF53*CO2toC*Ggtot&gt;0,'[2]Mitigation summary'!AF53*CO2toC*Ggtot,"NO")</f>
        <v>53.492906065199229</v>
      </c>
      <c r="BD95" s="95">
        <f>IF('[2]Mitigation summary'!AG53*CO2toC*Ggtot&gt;0,'[2]Mitigation summary'!AG53*CO2toC*Ggtot,"NO")</f>
        <v>53.492906065199229</v>
      </c>
      <c r="BE95" s="95">
        <f>IF('[2]Mitigation summary'!AH53*CO2toC*Ggtot&gt;0,'[2]Mitigation summary'!AH53*CO2toC*Ggtot,"NO")</f>
        <v>53.492906065199229</v>
      </c>
      <c r="BF95" s="95">
        <f>IF('[2]Mitigation summary'!AI53*CO2toC*Ggtot&gt;0,'[2]Mitigation summary'!AI53*CO2toC*Ggtot,"NO")</f>
        <v>53.492906065199229</v>
      </c>
      <c r="BG95" s="95">
        <f>IF('[2]Mitigation summary'!AJ53*CO2toC*Ggtot&gt;0,'[2]Mitigation summary'!AJ53*CO2toC*Ggtot,"NO")</f>
        <v>53.492906065199229</v>
      </c>
      <c r="BH95" s="95">
        <f>IF('[2]Mitigation summary'!AK53*CO2toC*Ggtot&gt;0,'[2]Mitigation summary'!AK53*CO2toC*Ggtot,"NO")</f>
        <v>53.492906065199229</v>
      </c>
      <c r="BI95" s="95">
        <f>IF('[2]Mitigation summary'!AL53*CO2toC*Ggtot&gt;0,'[2]Mitigation summary'!AL53*CO2toC*Ggtot,"NO")</f>
        <v>53.492906065199229</v>
      </c>
      <c r="BJ95" s="95">
        <f>IF('[2]Mitigation summary'!AM53*CO2toC*Ggtot&gt;0,'[2]Mitigation summary'!AM53*CO2toC*Ggtot,"NO")</f>
        <v>53.492906065199229</v>
      </c>
      <c r="BK95" s="95">
        <f>IF('[2]Mitigation summary'!AN53*CO2toC*Ggtot&gt;0,'[2]Mitigation summary'!AN53*CO2toC*Ggtot,"NO")</f>
        <v>53.492906065199229</v>
      </c>
      <c r="BL95" s="95">
        <f>IF('[2]Mitigation summary'!AO53*CO2toC*Ggtot&gt;0,'[2]Mitigation summary'!AO53*CO2toC*Ggtot,"NO")</f>
        <v>53.492906065199229</v>
      </c>
      <c r="BM95" s="95">
        <f>IF('[2]Mitigation summary'!AP53*CO2toC*Ggtot&gt;0,'[2]Mitigation summary'!AP53*CO2toC*Ggtot,"NO")</f>
        <v>53.492906065199229</v>
      </c>
      <c r="BN95" s="95">
        <f>IF('[2]Mitigation summary'!AQ53*CO2toC*Ggtot&gt;0,'[2]Mitigation summary'!AQ53*CO2toC*Ggtot,"NO")</f>
        <v>53.492906065199229</v>
      </c>
      <c r="BO95" s="95">
        <f>IF('[2]Mitigation summary'!AR53*CO2toC*Ggtot&gt;0,'[2]Mitigation summary'!AR53*CO2toC*Ggtot,"NO")</f>
        <v>53.492906065199229</v>
      </c>
      <c r="BP95" s="95">
        <f>IF('[2]Mitigation summary'!AS53*CO2toC*Ggtot&gt;0,'[2]Mitigation summary'!AS53*CO2toC*Ggtot,"NO")</f>
        <v>53.492906065199229</v>
      </c>
      <c r="BQ95" s="82"/>
    </row>
    <row r="96" spans="1:72" x14ac:dyDescent="0.25">
      <c r="C96" t="s">
        <v>60</v>
      </c>
      <c r="D96" t="s">
        <v>108</v>
      </c>
      <c r="F96" t="s">
        <v>719</v>
      </c>
      <c r="H96" s="21">
        <v>0</v>
      </c>
      <c r="I96" s="21">
        <v>5942.7299901832721</v>
      </c>
      <c r="J96" s="21">
        <v>5942.7299901832721</v>
      </c>
      <c r="K96" s="21">
        <v>5942.7299901832721</v>
      </c>
      <c r="L96" s="21">
        <v>5942.7299901832721</v>
      </c>
      <c r="M96" s="21">
        <v>5942.7299901832721</v>
      </c>
      <c r="N96" s="21">
        <v>5942.7299901832721</v>
      </c>
      <c r="O96" s="21">
        <v>5942.7299901832721</v>
      </c>
      <c r="P96" s="21">
        <v>5942.7299901832721</v>
      </c>
      <c r="Q96" s="21">
        <v>5942.7299901832721</v>
      </c>
      <c r="R96" s="21">
        <v>5942.7299901832721</v>
      </c>
      <c r="S96" s="21">
        <v>5942.7299901832721</v>
      </c>
      <c r="T96" s="21">
        <v>5942.7299901832721</v>
      </c>
      <c r="U96" s="21">
        <v>5942.7299901832721</v>
      </c>
      <c r="V96" s="21">
        <v>5942.7299901832721</v>
      </c>
      <c r="W96" s="21">
        <v>5942.7299901832721</v>
      </c>
      <c r="X96" s="21">
        <v>5942.7299901832721</v>
      </c>
      <c r="Y96" s="21">
        <v>5942.7299901832721</v>
      </c>
      <c r="Z96" s="21">
        <v>5942.7299901832721</v>
      </c>
      <c r="AA96" s="21">
        <v>5942.7299901832721</v>
      </c>
      <c r="AB96" s="43">
        <v>5942.7299901832721</v>
      </c>
      <c r="AC96" s="43">
        <v>5942.7299901832721</v>
      </c>
      <c r="AD96" s="95">
        <f>IF('[2]Mitigation summary'!G58*CO2toC*Ggtot&gt;0,'[2]Mitigation summary'!G58*CO2toC*Ggtot,"NO")</f>
        <v>58330.916309538901</v>
      </c>
      <c r="AE96" s="95">
        <f>IF('[2]Mitigation summary'!H58*CO2toC*Ggtot&gt;0,'[2]Mitigation summary'!H58*CO2toC*Ggtot,"NO")</f>
        <v>58330.916309538901</v>
      </c>
      <c r="AF96" s="95">
        <f>IF('[2]Mitigation summary'!I58*CO2toC*Ggtot&gt;0,'[2]Mitigation summary'!I58*CO2toC*Ggtot,"NO")</f>
        <v>58330.916309538901</v>
      </c>
      <c r="AG96" s="95">
        <f>IF('[2]Mitigation summary'!J58*CO2toC*Ggtot&gt;0,'[2]Mitigation summary'!J58*CO2toC*Ggtot,"NO")</f>
        <v>58330.916309538901</v>
      </c>
      <c r="AH96" s="95">
        <f>IF('[2]Mitigation summary'!K58*CO2toC*Ggtot&gt;0,'[2]Mitigation summary'!K58*CO2toC*Ggtot,"NO")</f>
        <v>58330.916309538901</v>
      </c>
      <c r="AI96" s="95">
        <f>IF('[2]Mitigation summary'!L58*CO2toC*Ggtot&gt;0,'[2]Mitigation summary'!L58*CO2toC*Ggtot,"NO")</f>
        <v>58330.916309538901</v>
      </c>
      <c r="AJ96" s="95">
        <f>IF('[2]Mitigation summary'!M58*CO2toC*Ggtot&gt;0,'[2]Mitigation summary'!M58*CO2toC*Ggtot,"NO")</f>
        <v>58330.916309538901</v>
      </c>
      <c r="AK96" s="95">
        <f>IF('[2]Mitigation summary'!N58*CO2toC*Ggtot&gt;0,'[2]Mitigation summary'!N58*CO2toC*Ggtot,"NO")</f>
        <v>58330.916309538901</v>
      </c>
      <c r="AL96" s="95">
        <f>IF('[2]Mitigation summary'!O58*CO2toC*Ggtot&gt;0,'[2]Mitigation summary'!O58*CO2toC*Ggtot,"NO")</f>
        <v>58330.916309538901</v>
      </c>
      <c r="AM96" s="95">
        <f>IF('[2]Mitigation summary'!P58*CO2toC*Ggtot&gt;0,'[2]Mitigation summary'!P58*CO2toC*Ggtot,"NO")</f>
        <v>58330.916309538901</v>
      </c>
      <c r="AN96" s="95">
        <f>IF('[2]Mitigation summary'!Q58*CO2toC*Ggtot&gt;0,'[2]Mitigation summary'!Q58*CO2toC*Ggtot,"NO")</f>
        <v>58330.916309538901</v>
      </c>
      <c r="AO96" s="95">
        <f>IF('[2]Mitigation summary'!R58*CO2toC*Ggtot&gt;0,'[2]Mitigation summary'!R58*CO2toC*Ggtot,"NO")</f>
        <v>58330.916309538901</v>
      </c>
      <c r="AP96" s="95">
        <f>IF('[2]Mitigation summary'!S58*CO2toC*Ggtot&gt;0,'[2]Mitigation summary'!S58*CO2toC*Ggtot,"NO")</f>
        <v>58330.916309538901</v>
      </c>
      <c r="AQ96" s="95">
        <f>IF('[2]Mitigation summary'!T58*CO2toC*Ggtot&gt;0,'[2]Mitigation summary'!T58*CO2toC*Ggtot,"NO")</f>
        <v>58330.916309538901</v>
      </c>
      <c r="AR96" s="95">
        <f>IF('[2]Mitigation summary'!U58*CO2toC*Ggtot&gt;0,'[2]Mitigation summary'!U58*CO2toC*Ggtot,"NO")</f>
        <v>58330.916309538901</v>
      </c>
      <c r="AS96" s="95">
        <f>IF('[2]Mitigation summary'!V58*CO2toC*Ggtot&gt;0,'[2]Mitigation summary'!V58*CO2toC*Ggtot,"NO")</f>
        <v>58330.916309538901</v>
      </c>
      <c r="AT96" s="95">
        <f>IF('[2]Mitigation summary'!W58*CO2toC*Ggtot&gt;0,'[2]Mitigation summary'!W58*CO2toC*Ggtot,"NO")</f>
        <v>58330.916309538901</v>
      </c>
      <c r="AU96" s="95">
        <f>IF('[2]Mitigation summary'!X58*CO2toC*Ggtot&gt;0,'[2]Mitigation summary'!X58*CO2toC*Ggtot,"NO")</f>
        <v>58330.916309538901</v>
      </c>
      <c r="AV96" s="95">
        <f>IF('[2]Mitigation summary'!Y58*CO2toC*Ggtot&gt;0,'[2]Mitigation summary'!Y58*CO2toC*Ggtot,"NO")</f>
        <v>58330.916309538901</v>
      </c>
      <c r="AW96" s="95">
        <f>IF('[2]Mitigation summary'!Z58*CO2toC*Ggtot&gt;0,'[2]Mitigation summary'!Z58*CO2toC*Ggtot,"NO")</f>
        <v>58330.916309538901</v>
      </c>
      <c r="AX96" s="95">
        <f>IF('[2]Mitigation summary'!AA58*CO2toC*Ggtot&gt;0,'[2]Mitigation summary'!AA58*CO2toC*Ggtot,"NO")</f>
        <v>58330.916309538901</v>
      </c>
      <c r="AY96" s="95">
        <f>IF('[2]Mitigation summary'!AB58*CO2toC*Ggtot&gt;0,'[2]Mitigation summary'!AB58*CO2toC*Ggtot,"NO")</f>
        <v>58330.916309538901</v>
      </c>
      <c r="AZ96" s="95">
        <f>IF('[2]Mitigation summary'!AC58*CO2toC*Ggtot&gt;0,'[2]Mitigation summary'!AC58*CO2toC*Ggtot,"NO")</f>
        <v>58330.916309538901</v>
      </c>
      <c r="BA96" s="95">
        <f>IF('[2]Mitigation summary'!AD58*CO2toC*Ggtot&gt;0,'[2]Mitigation summary'!AD58*CO2toC*Ggtot,"NO")</f>
        <v>58330.916309538901</v>
      </c>
      <c r="BB96" s="95">
        <f>IF('[2]Mitigation summary'!AE58*CO2toC*Ggtot&gt;0,'[2]Mitigation summary'!AE58*CO2toC*Ggtot,"NO")</f>
        <v>58330.916309538901</v>
      </c>
      <c r="BC96" s="95">
        <f>IF('[2]Mitigation summary'!AF58*CO2toC*Ggtot&gt;0,'[2]Mitigation summary'!AF58*CO2toC*Ggtot,"NO")</f>
        <v>58330.916309538901</v>
      </c>
      <c r="BD96" s="95">
        <f>IF('[2]Mitigation summary'!AG58*CO2toC*Ggtot&gt;0,'[2]Mitigation summary'!AG58*CO2toC*Ggtot,"NO")</f>
        <v>58330.916309538901</v>
      </c>
      <c r="BE96" s="95">
        <f>IF('[2]Mitigation summary'!AH58*CO2toC*Ggtot&gt;0,'[2]Mitigation summary'!AH58*CO2toC*Ggtot,"NO")</f>
        <v>58330.916309538901</v>
      </c>
      <c r="BF96" s="95">
        <f>IF('[2]Mitigation summary'!AI58*CO2toC*Ggtot&gt;0,'[2]Mitigation summary'!AI58*CO2toC*Ggtot,"NO")</f>
        <v>58330.916309538901</v>
      </c>
      <c r="BG96" s="95">
        <f>IF('[2]Mitigation summary'!AJ58*CO2toC*Ggtot&gt;0,'[2]Mitigation summary'!AJ58*CO2toC*Ggtot,"NO")</f>
        <v>58330.916309538901</v>
      </c>
      <c r="BH96" s="95">
        <f>IF('[2]Mitigation summary'!AK58*CO2toC*Ggtot&gt;0,'[2]Mitigation summary'!AK58*CO2toC*Ggtot,"NO")</f>
        <v>58330.916309538901</v>
      </c>
      <c r="BI96" s="95">
        <f>IF('[2]Mitigation summary'!AL58*CO2toC*Ggtot&gt;0,'[2]Mitigation summary'!AL58*CO2toC*Ggtot,"NO")</f>
        <v>58330.916309538901</v>
      </c>
      <c r="BJ96" s="95">
        <f>IF('[2]Mitigation summary'!AM58*CO2toC*Ggtot&gt;0,'[2]Mitigation summary'!AM58*CO2toC*Ggtot,"NO")</f>
        <v>58330.916309538901</v>
      </c>
      <c r="BK96" s="95">
        <f>IF('[2]Mitigation summary'!AN58*CO2toC*Ggtot&gt;0,'[2]Mitigation summary'!AN58*CO2toC*Ggtot,"NO")</f>
        <v>58330.916309538901</v>
      </c>
      <c r="BL96" s="95">
        <f>IF('[2]Mitigation summary'!AO58*CO2toC*Ggtot&gt;0,'[2]Mitigation summary'!AO58*CO2toC*Ggtot,"NO")</f>
        <v>58330.916309538901</v>
      </c>
      <c r="BM96" s="95">
        <f>IF('[2]Mitigation summary'!AP58*CO2toC*Ggtot&gt;0,'[2]Mitigation summary'!AP58*CO2toC*Ggtot,"NO")</f>
        <v>58330.916309538901</v>
      </c>
      <c r="BN96" s="95">
        <f>IF('[2]Mitigation summary'!AQ58*CO2toC*Ggtot&gt;0,'[2]Mitigation summary'!AQ58*CO2toC*Ggtot,"NO")</f>
        <v>58330.916309538901</v>
      </c>
      <c r="BO96" s="95">
        <f>IF('[2]Mitigation summary'!AR58*CO2toC*Ggtot&gt;0,'[2]Mitigation summary'!AR58*CO2toC*Ggtot,"NO")</f>
        <v>58330.916309538901</v>
      </c>
      <c r="BP96" s="95">
        <f>IF('[2]Mitigation summary'!AS58*CO2toC*Ggtot&gt;0,'[2]Mitigation summary'!AS58*CO2toC*Ggtot,"NO")</f>
        <v>58330.916309538901</v>
      </c>
      <c r="BQ96" s="82"/>
    </row>
    <row r="97" spans="1:69" x14ac:dyDescent="0.25">
      <c r="A97" t="str">
        <f>A95</f>
        <v>3C Aggregated and non-CO2 emissions on land</v>
      </c>
      <c r="B97" t="str">
        <f>B95</f>
        <v>3C4 Direct N2O from managed soils (N2O)</v>
      </c>
      <c r="C97" t="s">
        <v>60</v>
      </c>
      <c r="D97" t="s">
        <v>110</v>
      </c>
      <c r="F97" t="s">
        <v>719</v>
      </c>
      <c r="H97" s="21" t="str">
        <f>IF('[3]Baseline emission summary'!G63*CO2toC*Ggtot&gt;0,'[3]Baseline emission summary'!G63*CO2toC*Ggtot,"NO")</f>
        <v>NO</v>
      </c>
      <c r="I97" s="21" t="str">
        <f>IF('[3]Baseline emission summary'!H63*CO2toC*Ggtot&gt;0,'[3]Baseline emission summary'!H63*CO2toC*Ggtot,"NO")</f>
        <v>NO</v>
      </c>
      <c r="J97" s="21" t="str">
        <f>IF('[3]Baseline emission summary'!I63*CO2toC*Ggtot&gt;0,'[3]Baseline emission summary'!I63*CO2toC*Ggtot,"NO")</f>
        <v>NO</v>
      </c>
      <c r="K97" s="21" t="str">
        <f>IF('[3]Baseline emission summary'!J63*CO2toC*Ggtot&gt;0,'[3]Baseline emission summary'!J63*CO2toC*Ggtot,"NO")</f>
        <v>NO</v>
      </c>
      <c r="L97" s="21" t="str">
        <f>IF('[3]Baseline emission summary'!K63*CO2toC*Ggtot&gt;0,'[3]Baseline emission summary'!K63*CO2toC*Ggtot,"NO")</f>
        <v>NO</v>
      </c>
      <c r="M97" s="21" t="str">
        <f>IF('[3]Baseline emission summary'!L63*CO2toC*Ggtot&gt;0,'[3]Baseline emission summary'!L63*CO2toC*Ggtot,"NO")</f>
        <v>NO</v>
      </c>
      <c r="N97" s="21" t="str">
        <f>IF('[3]Baseline emission summary'!M63*CO2toC*Ggtot&gt;0,'[3]Baseline emission summary'!M63*CO2toC*Ggtot,"NO")</f>
        <v>NO</v>
      </c>
      <c r="O97" s="21" t="str">
        <f>IF('[3]Baseline emission summary'!N63*CO2toC*Ggtot&gt;0,'[3]Baseline emission summary'!N63*CO2toC*Ggtot,"NO")</f>
        <v>NO</v>
      </c>
      <c r="P97" s="21" t="str">
        <f>IF('[3]Baseline emission summary'!O63*CO2toC*Ggtot&gt;0,'[3]Baseline emission summary'!O63*CO2toC*Ggtot,"NO")</f>
        <v>NO</v>
      </c>
      <c r="Q97" s="21" t="str">
        <f>IF('[3]Baseline emission summary'!P63*CO2toC*Ggtot&gt;0,'[3]Baseline emission summary'!P63*CO2toC*Ggtot,"NO")</f>
        <v>NO</v>
      </c>
      <c r="R97" s="21" t="str">
        <f>IF('[3]Baseline emission summary'!Q63*CO2toC*Ggtot&gt;0,'[3]Baseline emission summary'!Q63*CO2toC*Ggtot,"NO")</f>
        <v>NO</v>
      </c>
      <c r="S97" s="21" t="str">
        <f>IF('[3]Baseline emission summary'!R63*CO2toC*Ggtot&gt;0,'[3]Baseline emission summary'!R63*CO2toC*Ggtot,"NO")</f>
        <v>NO</v>
      </c>
      <c r="T97" s="21" t="str">
        <f>IF('[3]Baseline emission summary'!S63*CO2toC*Ggtot&gt;0,'[3]Baseline emission summary'!S63*CO2toC*Ggtot,"NO")</f>
        <v>NO</v>
      </c>
      <c r="U97" s="21" t="str">
        <f>IF('[3]Baseline emission summary'!T63*CO2toC*Ggtot&gt;0,'[3]Baseline emission summary'!T63*CO2toC*Ggtot,"NO")</f>
        <v>NO</v>
      </c>
      <c r="V97" s="21" t="str">
        <f>IF('[3]Baseline emission summary'!U63*CO2toC*Ggtot&gt;0,'[3]Baseline emission summary'!U63*CO2toC*Ggtot,"NO")</f>
        <v>NO</v>
      </c>
      <c r="W97" s="21" t="str">
        <f>IF('[3]Baseline emission summary'!V63*CO2toC*Ggtot&gt;0,'[3]Baseline emission summary'!V63*CO2toC*Ggtot,"NO")</f>
        <v>NO</v>
      </c>
      <c r="X97" s="21" t="str">
        <f>IF('[3]Baseline emission summary'!W63*CO2toC*Ggtot&gt;0,'[3]Baseline emission summary'!W63*CO2toC*Ggtot,"NO")</f>
        <v>NO</v>
      </c>
      <c r="Y97" s="21" t="str">
        <f>IF('[3]Baseline emission summary'!X63*CO2toC*Ggtot&gt;0,'[3]Baseline emission summary'!X63*CO2toC*Ggtot,"NO")</f>
        <v>NO</v>
      </c>
      <c r="Z97" s="21" t="str">
        <f>IF('[3]Baseline emission summary'!Y63*CO2toC*Ggtot&gt;0,'[3]Baseline emission summary'!Y63*CO2toC*Ggtot,"NO")</f>
        <v>NO</v>
      </c>
      <c r="AA97" s="21" t="str">
        <f>IF('[3]Baseline emission summary'!Z63*CO2toC*Ggtot&gt;0,'[3]Baseline emission summary'!Z63*CO2toC*Ggtot,"NO")</f>
        <v>NO</v>
      </c>
      <c r="AB97" s="43" t="str">
        <f>IF('[3]Baseline emission summary'!AA63*CO2toC*Ggtot&gt;0,'[3]Baseline emission summary'!AA63*CO2toC*Ggtot,"NO")</f>
        <v>NO</v>
      </c>
      <c r="AC97" s="43" t="str">
        <f>IF('[3]Baseline emission summary'!AB63*CO2toC*Ggtot&gt;0,'[3]Baseline emission summary'!AB63*CO2toC*Ggtot,"NO")</f>
        <v>NO</v>
      </c>
      <c r="AD97" s="95" t="str">
        <f>IF('[2]Mitigation summary'!G66*CO2toC*Ggtot&gt;0,'[2]Mitigation summary'!G66*CO2toC*Ggtot,"NO")</f>
        <v>NO</v>
      </c>
      <c r="AE97" s="95" t="str">
        <f>IF('[2]Mitigation summary'!H66*CO2toC*Ggtot&gt;0,'[2]Mitigation summary'!H66*CO2toC*Ggtot,"NO")</f>
        <v>NO</v>
      </c>
      <c r="AF97" s="95" t="str">
        <f>IF('[2]Mitigation summary'!I66*CO2toC*Ggtot&gt;0,'[2]Mitigation summary'!I66*CO2toC*Ggtot,"NO")</f>
        <v>NO</v>
      </c>
      <c r="AG97" s="95" t="str">
        <f>IF('[2]Mitigation summary'!J66*CO2toC*Ggtot&gt;0,'[2]Mitigation summary'!J66*CO2toC*Ggtot,"NO")</f>
        <v>NO</v>
      </c>
      <c r="AH97" s="95" t="str">
        <f>IF('[2]Mitigation summary'!K66*CO2toC*Ggtot&gt;0,'[2]Mitigation summary'!K66*CO2toC*Ggtot,"NO")</f>
        <v>NO</v>
      </c>
      <c r="AI97" s="95" t="str">
        <f>IF('[2]Mitigation summary'!L66*CO2toC*Ggtot&gt;0,'[2]Mitigation summary'!L66*CO2toC*Ggtot,"NO")</f>
        <v>NO</v>
      </c>
      <c r="AJ97" s="95" t="str">
        <f>IF('[2]Mitigation summary'!M66*CO2toC*Ggtot&gt;0,'[2]Mitigation summary'!M66*CO2toC*Ggtot,"NO")</f>
        <v>NO</v>
      </c>
      <c r="AK97" s="95" t="str">
        <f>IF('[2]Mitigation summary'!N66*CO2toC*Ggtot&gt;0,'[2]Mitigation summary'!N66*CO2toC*Ggtot,"NO")</f>
        <v>NO</v>
      </c>
      <c r="AL97" s="95" t="str">
        <f>IF('[2]Mitigation summary'!O66*CO2toC*Ggtot&gt;0,'[2]Mitigation summary'!O66*CO2toC*Ggtot,"NO")</f>
        <v>NO</v>
      </c>
      <c r="AM97" s="95" t="str">
        <f>IF('[2]Mitigation summary'!P66*CO2toC*Ggtot&gt;0,'[2]Mitigation summary'!P66*CO2toC*Ggtot,"NO")</f>
        <v>NO</v>
      </c>
      <c r="AN97" s="95" t="str">
        <f>IF('[2]Mitigation summary'!Q66*CO2toC*Ggtot&gt;0,'[2]Mitigation summary'!Q66*CO2toC*Ggtot,"NO")</f>
        <v>NO</v>
      </c>
      <c r="AO97" s="95" t="str">
        <f>IF('[2]Mitigation summary'!R66*CO2toC*Ggtot&gt;0,'[2]Mitigation summary'!R66*CO2toC*Ggtot,"NO")</f>
        <v>NO</v>
      </c>
      <c r="AP97" s="95" t="str">
        <f>IF('[2]Mitigation summary'!S66*CO2toC*Ggtot&gt;0,'[2]Mitigation summary'!S66*CO2toC*Ggtot,"NO")</f>
        <v>NO</v>
      </c>
      <c r="AQ97" s="95" t="str">
        <f>IF('[2]Mitigation summary'!T66*CO2toC*Ggtot&gt;0,'[2]Mitigation summary'!T66*CO2toC*Ggtot,"NO")</f>
        <v>NO</v>
      </c>
      <c r="AR97" s="95" t="str">
        <f>IF('[2]Mitigation summary'!U66*CO2toC*Ggtot&gt;0,'[2]Mitigation summary'!U66*CO2toC*Ggtot,"NO")</f>
        <v>NO</v>
      </c>
      <c r="AS97" s="95" t="str">
        <f>IF('[2]Mitigation summary'!V66*CO2toC*Ggtot&gt;0,'[2]Mitigation summary'!V66*CO2toC*Ggtot,"NO")</f>
        <v>NO</v>
      </c>
      <c r="AT97" s="95" t="str">
        <f>IF('[2]Mitigation summary'!W66*CO2toC*Ggtot&gt;0,'[2]Mitigation summary'!W66*CO2toC*Ggtot,"NO")</f>
        <v>NO</v>
      </c>
      <c r="AU97" s="95" t="str">
        <f>IF('[2]Mitigation summary'!X66*CO2toC*Ggtot&gt;0,'[2]Mitigation summary'!X66*CO2toC*Ggtot,"NO")</f>
        <v>NO</v>
      </c>
      <c r="AV97" s="95" t="str">
        <f>IF('[2]Mitigation summary'!Y66*CO2toC*Ggtot&gt;0,'[2]Mitigation summary'!Y66*CO2toC*Ggtot,"NO")</f>
        <v>NO</v>
      </c>
      <c r="AW97" s="95" t="str">
        <f>IF('[2]Mitigation summary'!Z66*CO2toC*Ggtot&gt;0,'[2]Mitigation summary'!Z66*CO2toC*Ggtot,"NO")</f>
        <v>NO</v>
      </c>
      <c r="AX97" s="95" t="str">
        <f>IF('[2]Mitigation summary'!AA66*CO2toC*Ggtot&gt;0,'[2]Mitigation summary'!AA66*CO2toC*Ggtot,"NO")</f>
        <v>NO</v>
      </c>
      <c r="AY97" s="95" t="str">
        <f>IF('[2]Mitigation summary'!AB66*CO2toC*Ggtot&gt;0,'[2]Mitigation summary'!AB66*CO2toC*Ggtot,"NO")</f>
        <v>NO</v>
      </c>
      <c r="AZ97" s="95" t="str">
        <f>IF('[2]Mitigation summary'!AC66*CO2toC*Ggtot&gt;0,'[2]Mitigation summary'!AC66*CO2toC*Ggtot,"NO")</f>
        <v>NO</v>
      </c>
      <c r="BA97" s="95" t="str">
        <f>IF('[2]Mitigation summary'!AD66*CO2toC*Ggtot&gt;0,'[2]Mitigation summary'!AD66*CO2toC*Ggtot,"NO")</f>
        <v>NO</v>
      </c>
      <c r="BB97" s="95" t="str">
        <f>IF('[2]Mitigation summary'!AE66*CO2toC*Ggtot&gt;0,'[2]Mitigation summary'!AE66*CO2toC*Ggtot,"NO")</f>
        <v>NO</v>
      </c>
      <c r="BC97" s="95" t="str">
        <f>IF('[2]Mitigation summary'!AF66*CO2toC*Ggtot&gt;0,'[2]Mitigation summary'!AF66*CO2toC*Ggtot,"NO")</f>
        <v>NO</v>
      </c>
      <c r="BD97" s="95" t="str">
        <f>IF('[2]Mitigation summary'!AG66*CO2toC*Ggtot&gt;0,'[2]Mitigation summary'!AG66*CO2toC*Ggtot,"NO")</f>
        <v>NO</v>
      </c>
      <c r="BE97" s="95" t="str">
        <f>IF('[2]Mitigation summary'!AH66*CO2toC*Ggtot&gt;0,'[2]Mitigation summary'!AH66*CO2toC*Ggtot,"NO")</f>
        <v>NO</v>
      </c>
      <c r="BF97" s="95" t="str">
        <f>IF('[2]Mitigation summary'!AI66*CO2toC*Ggtot&gt;0,'[2]Mitigation summary'!AI66*CO2toC*Ggtot,"NO")</f>
        <v>NO</v>
      </c>
      <c r="BG97" s="95" t="str">
        <f>IF('[2]Mitigation summary'!AJ66*CO2toC*Ggtot&gt;0,'[2]Mitigation summary'!AJ66*CO2toC*Ggtot,"NO")</f>
        <v>NO</v>
      </c>
      <c r="BH97" s="95" t="str">
        <f>IF('[2]Mitigation summary'!AK66*CO2toC*Ggtot&gt;0,'[2]Mitigation summary'!AK66*CO2toC*Ggtot,"NO")</f>
        <v>NO</v>
      </c>
      <c r="BI97" s="95" t="str">
        <f>IF('[2]Mitigation summary'!AL66*CO2toC*Ggtot&gt;0,'[2]Mitigation summary'!AL66*CO2toC*Ggtot,"NO")</f>
        <v>NO</v>
      </c>
      <c r="BJ97" s="95" t="str">
        <f>IF('[2]Mitigation summary'!AM66*CO2toC*Ggtot&gt;0,'[2]Mitigation summary'!AM66*CO2toC*Ggtot,"NO")</f>
        <v>NO</v>
      </c>
      <c r="BK97" s="95" t="str">
        <f>IF('[2]Mitigation summary'!AN66*CO2toC*Ggtot&gt;0,'[2]Mitigation summary'!AN66*CO2toC*Ggtot,"NO")</f>
        <v>NO</v>
      </c>
      <c r="BL97" s="95" t="str">
        <f>IF('[2]Mitigation summary'!AO66*CO2toC*Ggtot&gt;0,'[2]Mitigation summary'!AO66*CO2toC*Ggtot,"NO")</f>
        <v>NO</v>
      </c>
      <c r="BM97" s="95" t="str">
        <f>IF('[2]Mitigation summary'!AP66*CO2toC*Ggtot&gt;0,'[2]Mitigation summary'!AP66*CO2toC*Ggtot,"NO")</f>
        <v>NO</v>
      </c>
      <c r="BN97" s="95" t="str">
        <f>IF('[2]Mitigation summary'!AQ66*CO2toC*Ggtot&gt;0,'[2]Mitigation summary'!AQ66*CO2toC*Ggtot,"NO")</f>
        <v>NO</v>
      </c>
      <c r="BO97" s="95" t="str">
        <f>IF('[2]Mitigation summary'!AR66*CO2toC*Ggtot&gt;0,'[2]Mitigation summary'!AR66*CO2toC*Ggtot,"NO")</f>
        <v>NO</v>
      </c>
      <c r="BP97" s="95" t="str">
        <f>IF('[2]Mitigation summary'!AS66*CO2toC*Ggtot&gt;0,'[2]Mitigation summary'!AS66*CO2toC*Ggtot,"NO")</f>
        <v>NO</v>
      </c>
      <c r="BQ97" s="82"/>
    </row>
    <row r="98" spans="1:69" x14ac:dyDescent="0.25">
      <c r="C98" t="s">
        <v>60</v>
      </c>
      <c r="D98" t="s">
        <v>793</v>
      </c>
      <c r="F98" t="s">
        <v>719</v>
      </c>
      <c r="H98" s="21">
        <v>0</v>
      </c>
      <c r="I98" s="21">
        <v>269926.33928069618</v>
      </c>
      <c r="J98" s="21">
        <v>269926.33928069618</v>
      </c>
      <c r="K98" s="21">
        <v>269926.33928069618</v>
      </c>
      <c r="L98" s="21">
        <v>269926.33928069618</v>
      </c>
      <c r="M98" s="21">
        <v>269926.33928069618</v>
      </c>
      <c r="N98" s="21">
        <v>269926.33928069618</v>
      </c>
      <c r="O98" s="21">
        <v>269926.33928069618</v>
      </c>
      <c r="P98" s="21">
        <v>269926.33928069618</v>
      </c>
      <c r="Q98" s="21">
        <v>269926.33928069618</v>
      </c>
      <c r="R98" s="21">
        <v>269926.33928069618</v>
      </c>
      <c r="S98" s="21">
        <v>269926.33928069618</v>
      </c>
      <c r="T98" s="21">
        <v>269926.33928069618</v>
      </c>
      <c r="U98" s="21">
        <v>269926.33928069618</v>
      </c>
      <c r="V98" s="21">
        <v>269926.33928069618</v>
      </c>
      <c r="W98" s="21">
        <v>269926.33928069618</v>
      </c>
      <c r="X98" s="21">
        <v>269926.33928069618</v>
      </c>
      <c r="Y98" s="21">
        <v>269926.33928069618</v>
      </c>
      <c r="Z98" s="21">
        <v>269926.33928069618</v>
      </c>
      <c r="AA98" s="21">
        <v>269926.33928069618</v>
      </c>
      <c r="AB98" s="43">
        <v>269926.33928069618</v>
      </c>
      <c r="AC98" s="43">
        <v>269926.33928069618</v>
      </c>
      <c r="AD98" s="95">
        <f>IF('[2]Mitigation summary'!G71*CO2toC*Ggtot&gt;0,'[2]Mitigation summary'!G71*CO2toC*Ggtot,"NO")</f>
        <v>3050891.1887046536</v>
      </c>
      <c r="AE98" s="95">
        <f>IF('[2]Mitigation summary'!H71*CO2toC*Ggtot&gt;0,'[2]Mitigation summary'!H71*CO2toC*Ggtot,"NO")</f>
        <v>3050891.1887046532</v>
      </c>
      <c r="AF98" s="95">
        <f>IF('[2]Mitigation summary'!I71*CO2toC*Ggtot&gt;0,'[2]Mitigation summary'!I71*CO2toC*Ggtot,"NO")</f>
        <v>3050891.1887046532</v>
      </c>
      <c r="AG98" s="95">
        <f>IF('[2]Mitigation summary'!J71*CO2toC*Ggtot&gt;0,'[2]Mitigation summary'!J71*CO2toC*Ggtot,"NO")</f>
        <v>3050891.1887046532</v>
      </c>
      <c r="AH98" s="95">
        <f>IF('[2]Mitigation summary'!K71*CO2toC*Ggtot&gt;0,'[2]Mitigation summary'!K71*CO2toC*Ggtot,"NO")</f>
        <v>3050891.1887046532</v>
      </c>
      <c r="AI98" s="95">
        <f>IF('[2]Mitigation summary'!L71*CO2toC*Ggtot&gt;0,'[2]Mitigation summary'!L71*CO2toC*Ggtot,"NO")</f>
        <v>3050891.1887046532</v>
      </c>
      <c r="AJ98" s="95">
        <f>IF('[2]Mitigation summary'!M71*CO2toC*Ggtot&gt;0,'[2]Mitigation summary'!M71*CO2toC*Ggtot,"NO")</f>
        <v>3050891.1887046532</v>
      </c>
      <c r="AK98" s="95">
        <f>IF('[2]Mitigation summary'!N71*CO2toC*Ggtot&gt;0,'[2]Mitigation summary'!N71*CO2toC*Ggtot,"NO")</f>
        <v>3050891.1887046532</v>
      </c>
      <c r="AL98" s="95">
        <f>IF('[2]Mitigation summary'!O71*CO2toC*Ggtot&gt;0,'[2]Mitigation summary'!O71*CO2toC*Ggtot,"NO")</f>
        <v>3050891.1887046532</v>
      </c>
      <c r="AM98" s="95">
        <f>IF('[2]Mitigation summary'!P71*CO2toC*Ggtot&gt;0,'[2]Mitigation summary'!P71*CO2toC*Ggtot,"NO")</f>
        <v>3050891.1887046532</v>
      </c>
      <c r="AN98" s="95">
        <f>IF('[2]Mitigation summary'!Q71*CO2toC*Ggtot&gt;0,'[2]Mitigation summary'!Q71*CO2toC*Ggtot,"NO")</f>
        <v>3050891.1887046532</v>
      </c>
      <c r="AO98" s="95">
        <f>IF('[2]Mitigation summary'!R71*CO2toC*Ggtot&gt;0,'[2]Mitigation summary'!R71*CO2toC*Ggtot,"NO")</f>
        <v>3050891.1887046532</v>
      </c>
      <c r="AP98" s="95">
        <f>IF('[2]Mitigation summary'!S71*CO2toC*Ggtot&gt;0,'[2]Mitigation summary'!S71*CO2toC*Ggtot,"NO")</f>
        <v>3050891.1887046532</v>
      </c>
      <c r="AQ98" s="95">
        <f>IF('[2]Mitigation summary'!T71*CO2toC*Ggtot&gt;0,'[2]Mitigation summary'!T71*CO2toC*Ggtot,"NO")</f>
        <v>3050891.1887046532</v>
      </c>
      <c r="AR98" s="95">
        <f>IF('[2]Mitigation summary'!U71*CO2toC*Ggtot&gt;0,'[2]Mitigation summary'!U71*CO2toC*Ggtot,"NO")</f>
        <v>3050891.1887046532</v>
      </c>
      <c r="AS98" s="95">
        <f>IF('[2]Mitigation summary'!V71*CO2toC*Ggtot&gt;0,'[2]Mitigation summary'!V71*CO2toC*Ggtot,"NO")</f>
        <v>3050891.1887046532</v>
      </c>
      <c r="AT98" s="95">
        <f>IF('[2]Mitigation summary'!W71*CO2toC*Ggtot&gt;0,'[2]Mitigation summary'!W71*CO2toC*Ggtot,"NO")</f>
        <v>3050891.1887046532</v>
      </c>
      <c r="AU98" s="95">
        <f>IF('[2]Mitigation summary'!X71*CO2toC*Ggtot&gt;0,'[2]Mitigation summary'!X71*CO2toC*Ggtot,"NO")</f>
        <v>3050891.1887046532</v>
      </c>
      <c r="AV98" s="95">
        <f>IF('[2]Mitigation summary'!Y71*CO2toC*Ggtot&gt;0,'[2]Mitigation summary'!Y71*CO2toC*Ggtot,"NO")</f>
        <v>3050891.1887046532</v>
      </c>
      <c r="AW98" s="95">
        <f>IF('[2]Mitigation summary'!Z71*CO2toC*Ggtot&gt;0,'[2]Mitigation summary'!Z71*CO2toC*Ggtot,"NO")</f>
        <v>3050891.1887046532</v>
      </c>
      <c r="AX98" s="95">
        <f>IF('[2]Mitigation summary'!AA71*CO2toC*Ggtot&gt;0,'[2]Mitigation summary'!AA71*CO2toC*Ggtot,"NO")</f>
        <v>3050891.1887046532</v>
      </c>
      <c r="AY98" s="95">
        <f>IF('[2]Mitigation summary'!AB71*CO2toC*Ggtot&gt;0,'[2]Mitigation summary'!AB71*CO2toC*Ggtot,"NO")</f>
        <v>3050891.1887046532</v>
      </c>
      <c r="AZ98" s="95">
        <f>IF('[2]Mitigation summary'!AC71*CO2toC*Ggtot&gt;0,'[2]Mitigation summary'!AC71*CO2toC*Ggtot,"NO")</f>
        <v>3050891.1887046532</v>
      </c>
      <c r="BA98" s="95">
        <f>IF('[2]Mitigation summary'!AD71*CO2toC*Ggtot&gt;0,'[2]Mitigation summary'!AD71*CO2toC*Ggtot,"NO")</f>
        <v>3050891.1887046532</v>
      </c>
      <c r="BB98" s="95">
        <f>IF('[2]Mitigation summary'!AE71*CO2toC*Ggtot&gt;0,'[2]Mitigation summary'!AE71*CO2toC*Ggtot,"NO")</f>
        <v>3050891.1887046532</v>
      </c>
      <c r="BC98" s="95">
        <f>IF('[2]Mitigation summary'!AF71*CO2toC*Ggtot&gt;0,'[2]Mitigation summary'!AF71*CO2toC*Ggtot,"NO")</f>
        <v>3050891.1887046532</v>
      </c>
      <c r="BD98" s="95">
        <f>IF('[2]Mitigation summary'!AG71*CO2toC*Ggtot&gt;0,'[2]Mitigation summary'!AG71*CO2toC*Ggtot,"NO")</f>
        <v>3050891.1887046532</v>
      </c>
      <c r="BE98" s="95">
        <f>IF('[2]Mitigation summary'!AH71*CO2toC*Ggtot&gt;0,'[2]Mitigation summary'!AH71*CO2toC*Ggtot,"NO")</f>
        <v>3050891.1887046532</v>
      </c>
      <c r="BF98" s="95">
        <f>IF('[2]Mitigation summary'!AI71*CO2toC*Ggtot&gt;0,'[2]Mitigation summary'!AI71*CO2toC*Ggtot,"NO")</f>
        <v>3050891.1887046532</v>
      </c>
      <c r="BG98" s="95">
        <f>IF('[2]Mitigation summary'!AJ71*CO2toC*Ggtot&gt;0,'[2]Mitigation summary'!AJ71*CO2toC*Ggtot,"NO")</f>
        <v>3050891.1887046532</v>
      </c>
      <c r="BH98" s="95">
        <f>IF('[2]Mitigation summary'!AK71*CO2toC*Ggtot&gt;0,'[2]Mitigation summary'!AK71*CO2toC*Ggtot,"NO")</f>
        <v>3050891.1887046532</v>
      </c>
      <c r="BI98" s="95">
        <f>IF('[2]Mitigation summary'!AL71*CO2toC*Ggtot&gt;0,'[2]Mitigation summary'!AL71*CO2toC*Ggtot,"NO")</f>
        <v>3050891.1887046532</v>
      </c>
      <c r="BJ98" s="95">
        <f>IF('[2]Mitigation summary'!AM71*CO2toC*Ggtot&gt;0,'[2]Mitigation summary'!AM71*CO2toC*Ggtot,"NO")</f>
        <v>3050891.1887046532</v>
      </c>
      <c r="BK98" s="95">
        <f>IF('[2]Mitigation summary'!AN71*CO2toC*Ggtot&gt;0,'[2]Mitigation summary'!AN71*CO2toC*Ggtot,"NO")</f>
        <v>3050891.1887046532</v>
      </c>
      <c r="BL98" s="95">
        <f>IF('[2]Mitigation summary'!AO71*CO2toC*Ggtot&gt;0,'[2]Mitigation summary'!AO71*CO2toC*Ggtot,"NO")</f>
        <v>3050891.1887046532</v>
      </c>
      <c r="BM98" s="95">
        <f>IF('[2]Mitigation summary'!AP71*CO2toC*Ggtot&gt;0,'[2]Mitigation summary'!AP71*CO2toC*Ggtot,"NO")</f>
        <v>3050891.1887046532</v>
      </c>
      <c r="BN98" s="95">
        <f>IF('[2]Mitigation summary'!AQ71*CO2toC*Ggtot&gt;0,'[2]Mitigation summary'!AQ71*CO2toC*Ggtot,"NO")</f>
        <v>3050891.1887046532</v>
      </c>
      <c r="BO98" s="95">
        <f>IF('[2]Mitigation summary'!AR71*CO2toC*Ggtot&gt;0,'[2]Mitigation summary'!AR71*CO2toC*Ggtot,"NO")</f>
        <v>3050891.1887046532</v>
      </c>
      <c r="BP98" s="95">
        <f>IF('[2]Mitigation summary'!AS71*CO2toC*Ggtot&gt;0,'[2]Mitigation summary'!AS71*CO2toC*Ggtot,"NO")</f>
        <v>3050891.1887046532</v>
      </c>
      <c r="BQ98" s="23"/>
    </row>
    <row r="99" spans="1:69" x14ac:dyDescent="0.25">
      <c r="AB99" s="11"/>
    </row>
    <row r="100" spans="1:69" x14ac:dyDescent="0.25">
      <c r="AB100" s="11"/>
    </row>
  </sheetData>
  <pageMargins left="0.7" right="0.7" top="0.75" bottom="0.75" header="0.3" footer="0.3"/>
  <drawing r:id="rId1"/>
  <extLst>
    <ext xmlns:x14="http://schemas.microsoft.com/office/spreadsheetml/2009/9/main" uri="{05C60535-1F16-4fd2-B633-F4F36F0B64E0}">
      <x14:sparklineGroups xmlns:xm="http://schemas.microsoft.com/office/excel/2006/main">
        <x14:sparklineGroup displayEmptyCellsAs="gap" xr2:uid="{00000000-0003-0000-0D00-000005000000}">
          <x14:colorSeries rgb="FF376092"/>
          <x14:colorNegative rgb="FFD00000"/>
          <x14:colorAxis rgb="FF000000"/>
          <x14:colorMarkers rgb="FFD00000"/>
          <x14:colorFirst rgb="FFD00000"/>
          <x14:colorLast rgb="FFD00000"/>
          <x14:colorHigh rgb="FFD00000"/>
          <x14:colorLow rgb="FFD00000"/>
          <x14:sparklines>
            <x14:sparkline>
              <xm:f>'Activity data'!AB41:BP41</xm:f>
              <xm:sqref>BR41</xm:sqref>
            </x14:sparkline>
            <x14:sparkline>
              <xm:f>'Activity data'!AB42:BP42</xm:f>
              <xm:sqref>BR42</xm:sqref>
            </x14:sparkline>
            <x14:sparkline>
              <xm:f>'Activity data'!AB43:BP43</xm:f>
              <xm:sqref>BR43</xm:sqref>
            </x14:sparkline>
          </x14:sparklines>
        </x14:sparklineGroup>
        <x14:sparklineGroup displayEmptyCellsAs="gap" xr2:uid="{00000000-0003-0000-0D00-000004000000}">
          <x14:colorSeries rgb="FF376092"/>
          <x14:colorNegative rgb="FFD00000"/>
          <x14:colorAxis rgb="FF000000"/>
          <x14:colorMarkers rgb="FFD00000"/>
          <x14:colorFirst rgb="FFD00000"/>
          <x14:colorLast rgb="FFD00000"/>
          <x14:colorHigh rgb="FFD00000"/>
          <x14:colorLow rgb="FFD00000"/>
          <x14:sparklines>
            <x14:sparkline>
              <xm:f>'Activity data'!AB24:BP24</xm:f>
              <xm:sqref>BR24</xm:sqref>
            </x14:sparkline>
            <x14:sparkline>
              <xm:f>'Activity data'!AB25:BP25</xm:f>
              <xm:sqref>BR25</xm:sqref>
            </x14:sparkline>
            <x14:sparkline>
              <xm:f>'Activity data'!AB26:BP26</xm:f>
              <xm:sqref>BR26</xm:sqref>
            </x14:sparkline>
            <x14:sparkline>
              <xm:f>'Activity data'!AB27:BP27</xm:f>
              <xm:sqref>BR27</xm:sqref>
            </x14:sparkline>
            <x14:sparkline>
              <xm:f>'Activity data'!AB28:BP28</xm:f>
              <xm:sqref>BR28</xm:sqref>
            </x14:sparkline>
            <x14:sparkline>
              <xm:f>'Activity data'!AB29:BP29</xm:f>
              <xm:sqref>BR29</xm:sqref>
            </x14:sparkline>
            <x14:sparkline>
              <xm:f>'Activity data'!AB30:BP30</xm:f>
              <xm:sqref>BR30</xm:sqref>
            </x14:sparkline>
            <x14:sparkline>
              <xm:f>'Activity data'!AB31:BP31</xm:f>
              <xm:sqref>BR31</xm:sqref>
            </x14:sparkline>
            <x14:sparkline>
              <xm:f>'Activity data'!AB32:BP32</xm:f>
              <xm:sqref>BR32</xm:sqref>
            </x14:sparkline>
            <x14:sparkline>
              <xm:f>'Activity data'!AB33:BP33</xm:f>
              <xm:sqref>BR33</xm:sqref>
            </x14:sparkline>
            <x14:sparkline>
              <xm:f>'Activity data'!AB34:BP34</xm:f>
              <xm:sqref>BR34</xm:sqref>
            </x14:sparkline>
            <x14:sparkline>
              <xm:f>'Activity data'!AB35:BP35</xm:f>
              <xm:sqref>BR35</xm:sqref>
            </x14:sparkline>
            <x14:sparkline>
              <xm:f>'Activity data'!AB36:BP36</xm:f>
              <xm:sqref>BR36</xm:sqref>
            </x14:sparkline>
            <x14:sparkline>
              <xm:f>'Activity data'!AB37:BP37</xm:f>
              <xm:sqref>BR37</xm:sqref>
            </x14:sparkline>
            <x14:sparkline>
              <xm:f>'Activity data'!AB38:BP38</xm:f>
              <xm:sqref>BR38</xm:sqref>
            </x14:sparkline>
            <x14:sparkline>
              <xm:f>'Activity data'!AB39:BP39</xm:f>
              <xm:sqref>BR39</xm:sqref>
            </x14:sparkline>
          </x14:sparklines>
        </x14:sparklineGroup>
        <x14:sparklineGroup displayEmptyCellsAs="gap" xr2:uid="{00000000-0003-0000-0D00-000003000000}">
          <x14:colorSeries rgb="FF376092"/>
          <x14:colorNegative rgb="FFD00000"/>
          <x14:colorAxis rgb="FF000000"/>
          <x14:colorMarkers rgb="FFD00000"/>
          <x14:colorFirst rgb="FFD00000"/>
          <x14:colorLast rgb="FFD00000"/>
          <x14:colorHigh rgb="FFD00000"/>
          <x14:colorLow rgb="FFD00000"/>
          <x14:sparklines>
            <x14:sparkline>
              <xm:f>'Activity data'!AB5:BP5</xm:f>
              <xm:sqref>BR5</xm:sqref>
            </x14:sparkline>
            <x14:sparkline>
              <xm:f>'Activity data'!AB6:BP6</xm:f>
              <xm:sqref>BR6</xm:sqref>
            </x14:sparkline>
            <x14:sparkline>
              <xm:f>'Activity data'!AB7:BP7</xm:f>
              <xm:sqref>BR7</xm:sqref>
            </x14:sparkline>
            <x14:sparkline>
              <xm:f>'Activity data'!AB8:BP8</xm:f>
              <xm:sqref>BR8</xm:sqref>
            </x14:sparkline>
            <x14:sparkline>
              <xm:f>'Activity data'!AB9:BP9</xm:f>
              <xm:sqref>BR9</xm:sqref>
            </x14:sparkline>
            <x14:sparkline>
              <xm:f>'Activity data'!AB10:BP10</xm:f>
              <xm:sqref>BR10</xm:sqref>
            </x14:sparkline>
            <x14:sparkline>
              <xm:f>'Activity data'!AB11:BP11</xm:f>
              <xm:sqref>BR11</xm:sqref>
            </x14:sparkline>
            <x14:sparkline>
              <xm:f>'Activity data'!AB12:BP12</xm:f>
              <xm:sqref>BR12</xm:sqref>
            </x14:sparkline>
            <x14:sparkline>
              <xm:f>'Activity data'!AB13:BP13</xm:f>
              <xm:sqref>BR13</xm:sqref>
            </x14:sparkline>
            <x14:sparkline>
              <xm:f>'Activity data'!AB14:BP14</xm:f>
              <xm:sqref>BR14</xm:sqref>
            </x14:sparkline>
            <x14:sparkline>
              <xm:f>'Activity data'!AB15:BP15</xm:f>
              <xm:sqref>BR15</xm:sqref>
            </x14:sparkline>
            <x14:sparkline>
              <xm:f>'Activity data'!AB16:BP16</xm:f>
              <xm:sqref>BR16</xm:sqref>
            </x14:sparkline>
            <x14:sparkline>
              <xm:f>'Activity data'!AB17:BP17</xm:f>
              <xm:sqref>BR17</xm:sqref>
            </x14:sparkline>
            <x14:sparkline>
              <xm:f>'Activity data'!AB18:BP18</xm:f>
              <xm:sqref>BR18</xm:sqref>
            </x14:sparkline>
            <x14:sparkline>
              <xm:f>'Activity data'!AB19:BP19</xm:f>
              <xm:sqref>BR19</xm:sqref>
            </x14:sparkline>
            <x14:sparkline>
              <xm:f>'Activity data'!AB20:BP20</xm:f>
              <xm:sqref>BR20</xm:sqref>
            </x14:sparkline>
            <x14:sparkline>
              <xm:f>'Activity data'!AB21:BP21</xm:f>
              <xm:sqref>BR21</xm:sqref>
            </x14:sparkline>
            <x14:sparkline>
              <xm:f>'Activity data'!AB22:BP22</xm:f>
              <xm:sqref>BR22</xm:sqref>
            </x14:sparkline>
          </x14:sparklines>
        </x14:sparklineGroup>
        <x14:sparklineGroup displayEmptyCellsAs="gap" xr2:uid="{00000000-0003-0000-0D00-000002000000}">
          <x14:colorSeries rgb="FF376092"/>
          <x14:colorNegative rgb="FFD00000"/>
          <x14:colorAxis rgb="FF000000"/>
          <x14:colorMarkers rgb="FFD00000"/>
          <x14:colorFirst rgb="FFD00000"/>
          <x14:colorLast rgb="FFD00000"/>
          <x14:colorHigh rgb="FFD00000"/>
          <x14:colorLow rgb="FFD00000"/>
          <x14:sparklines>
            <x14:sparkline>
              <xm:f>'Activity data'!AB45:BP45</xm:f>
              <xm:sqref>BR45</xm:sqref>
            </x14:sparkline>
            <x14:sparkline>
              <xm:f>'Activity data'!AB46:BP46</xm:f>
              <xm:sqref>BR46</xm:sqref>
            </x14:sparkline>
            <x14:sparkline>
              <xm:f>'Activity data'!AB47:BP47</xm:f>
              <xm:sqref>BR47</xm:sqref>
            </x14:sparkline>
            <x14:sparkline>
              <xm:f>'Activity data'!AB48:BP48</xm:f>
              <xm:sqref>BR48</xm:sqref>
            </x14:sparkline>
          </x14:sparklines>
        </x14:sparklineGroup>
      </x14:sparklineGroup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92D050"/>
  </sheetPr>
  <dimension ref="A1:AO221"/>
  <sheetViews>
    <sheetView topLeftCell="A185" workbookViewId="0">
      <selection activeCell="H193" sqref="H193"/>
    </sheetView>
  </sheetViews>
  <sheetFormatPr defaultRowHeight="15" x14ac:dyDescent="0.25"/>
  <cols>
    <col min="1" max="1" width="19.42578125" customWidth="1"/>
    <col min="2" max="2" width="33.140625" customWidth="1"/>
    <col min="3" max="3" width="27.7109375" customWidth="1"/>
    <col min="4" max="4" width="27.5703125" customWidth="1"/>
    <col min="5" max="5" width="24.42578125" customWidth="1"/>
    <col min="6" max="6" width="9" customWidth="1"/>
    <col min="7" max="7" width="16.42578125" customWidth="1"/>
    <col min="8" max="8" width="9.85546875" customWidth="1"/>
  </cols>
  <sheetData>
    <row r="1" spans="1:41" ht="18.75" x14ac:dyDescent="0.3">
      <c r="A1" s="1" t="s">
        <v>143</v>
      </c>
    </row>
    <row r="3" spans="1:41" s="19" customFormat="1" ht="29.25" customHeight="1" x14ac:dyDescent="0.25">
      <c r="A3" s="17" t="s">
        <v>4</v>
      </c>
      <c r="B3" s="17" t="s">
        <v>313</v>
      </c>
      <c r="C3" s="17" t="s">
        <v>315</v>
      </c>
      <c r="D3" s="17" t="s">
        <v>149</v>
      </c>
      <c r="E3" s="17" t="s">
        <v>150</v>
      </c>
      <c r="F3" s="17" t="s">
        <v>5</v>
      </c>
      <c r="G3" s="17" t="s">
        <v>0</v>
      </c>
      <c r="H3" s="18" t="s">
        <v>751</v>
      </c>
      <c r="I3" s="18">
        <v>2018</v>
      </c>
      <c r="J3" s="18">
        <v>2019</v>
      </c>
      <c r="K3" s="18">
        <v>2020</v>
      </c>
      <c r="L3" s="18">
        <v>2021</v>
      </c>
      <c r="M3" s="18">
        <v>2022</v>
      </c>
      <c r="N3" s="18">
        <v>2023</v>
      </c>
      <c r="O3" s="18">
        <v>2024</v>
      </c>
      <c r="P3" s="18">
        <v>2025</v>
      </c>
      <c r="Q3" s="18">
        <v>2026</v>
      </c>
      <c r="R3" s="18">
        <v>2027</v>
      </c>
      <c r="S3" s="18">
        <v>2028</v>
      </c>
      <c r="T3" s="18">
        <v>2029</v>
      </c>
      <c r="U3" s="18">
        <v>2030</v>
      </c>
      <c r="V3" s="18">
        <v>2031</v>
      </c>
      <c r="W3" s="18">
        <v>2032</v>
      </c>
      <c r="X3" s="18">
        <v>2033</v>
      </c>
      <c r="Y3" s="18">
        <v>2034</v>
      </c>
      <c r="Z3" s="18">
        <v>2035</v>
      </c>
      <c r="AA3" s="18">
        <v>2036</v>
      </c>
      <c r="AB3" s="18">
        <v>2037</v>
      </c>
      <c r="AC3" s="18">
        <v>2038</v>
      </c>
      <c r="AD3" s="18">
        <v>2039</v>
      </c>
      <c r="AE3" s="18">
        <v>2040</v>
      </c>
      <c r="AF3" s="18">
        <v>2041</v>
      </c>
      <c r="AG3" s="18">
        <v>2042</v>
      </c>
      <c r="AH3" s="18">
        <v>2043</v>
      </c>
      <c r="AI3" s="18">
        <v>2044</v>
      </c>
      <c r="AJ3" s="18">
        <v>2045</v>
      </c>
      <c r="AK3" s="18">
        <v>2046</v>
      </c>
      <c r="AL3" s="18">
        <v>2047</v>
      </c>
      <c r="AM3" s="18">
        <v>2048</v>
      </c>
      <c r="AN3" s="18">
        <v>2049</v>
      </c>
      <c r="AO3" s="18">
        <v>2050</v>
      </c>
    </row>
    <row r="4" spans="1:41" x14ac:dyDescent="0.25">
      <c r="A4" t="str">
        <f>'IPCC Categories'!A5</f>
        <v>3A Livestock</v>
      </c>
      <c r="B4" t="str">
        <f>'IPCC Categories'!B5</f>
        <v>3A1 Enteric fermentation (CH4)</v>
      </c>
      <c r="C4" t="str">
        <f>'Activity data'!C5</f>
        <v>3A1ai Dairy cattle</v>
      </c>
      <c r="D4" t="str">
        <f>'Activity data'!D5</f>
        <v>TMR</v>
      </c>
      <c r="E4" t="str">
        <f>'IPCC Categories'!F32&amp;" EF"</f>
        <v>Enteric fermentation EF</v>
      </c>
      <c r="F4" t="s">
        <v>121</v>
      </c>
      <c r="G4" t="s">
        <v>144</v>
      </c>
      <c r="H4" s="26">
        <f>SUM('Aggregated EF'!H8:H10)</f>
        <v>122.43852137301079</v>
      </c>
    </row>
    <row r="5" spans="1:41" x14ac:dyDescent="0.25">
      <c r="A5" t="str">
        <f>A4</f>
        <v>3A Livestock</v>
      </c>
      <c r="B5" t="str">
        <f>B4</f>
        <v>3A1 Enteric fermentation (CH4)</v>
      </c>
      <c r="C5" t="str">
        <f>'Activity data'!C6</f>
        <v>3A1ai Dairy cattle</v>
      </c>
      <c r="D5" t="str">
        <f>'Activity data'!D6</f>
        <v>Pasture</v>
      </c>
      <c r="E5" t="str">
        <f t="shared" ref="E5:E17" si="0">E4</f>
        <v>Enteric fermentation EF</v>
      </c>
      <c r="F5" t="str">
        <f>F4</f>
        <v>CH4</v>
      </c>
      <c r="G5" t="str">
        <f>G4</f>
        <v>kg CH4/head/yr</v>
      </c>
      <c r="H5" s="26">
        <f>SUM('Aggregated EF'!H5:H7)</f>
        <v>118.18939556126456</v>
      </c>
    </row>
    <row r="6" spans="1:41" x14ac:dyDescent="0.25">
      <c r="A6" t="str">
        <f t="shared" ref="A6:A69" si="1">A5</f>
        <v>3A Livestock</v>
      </c>
      <c r="B6" t="str">
        <f t="shared" ref="B6:B17" si="2">B5</f>
        <v>3A1 Enteric fermentation (CH4)</v>
      </c>
      <c r="C6" t="str">
        <f>'Activity data'!C7</f>
        <v>3A1aii Other cattle</v>
      </c>
      <c r="D6" t="str">
        <f>'Activity data'!D7</f>
        <v>Non-lactating</v>
      </c>
      <c r="E6" t="str">
        <f t="shared" si="0"/>
        <v>Enteric fermentation EF</v>
      </c>
      <c r="F6" t="str">
        <f>F5</f>
        <v>CH4</v>
      </c>
      <c r="G6" t="str">
        <f>G5</f>
        <v>kg CH4/head/yr</v>
      </c>
      <c r="H6" s="26">
        <f>SUM('Aggregated EF'!H12:H21)</f>
        <v>43.047261887683739</v>
      </c>
    </row>
    <row r="7" spans="1:41" x14ac:dyDescent="0.25">
      <c r="A7" t="str">
        <f t="shared" si="1"/>
        <v>3A Livestock</v>
      </c>
      <c r="B7" t="str">
        <f t="shared" si="2"/>
        <v>3A1 Enteric fermentation (CH4)</v>
      </c>
      <c r="C7" t="str">
        <f>'Activity data'!C8</f>
        <v>3A1aii Other cattle</v>
      </c>
      <c r="D7" t="str">
        <f>'Activity data'!D8</f>
        <v>Commercial</v>
      </c>
      <c r="E7" t="str">
        <f>E5</f>
        <v>Enteric fermentation EF</v>
      </c>
      <c r="F7" t="str">
        <f>F5</f>
        <v>CH4</v>
      </c>
      <c r="G7" t="str">
        <f>G5</f>
        <v>kg CH4/head/yr</v>
      </c>
      <c r="H7" s="26">
        <f>SUM('Aggregated EF'!H22:H24,'Aggregated EF'!H26:H28)</f>
        <v>77.790815813890134</v>
      </c>
    </row>
    <row r="8" spans="1:41" x14ac:dyDescent="0.25">
      <c r="A8" t="str">
        <f t="shared" si="1"/>
        <v>3A Livestock</v>
      </c>
      <c r="B8" t="str">
        <f t="shared" si="2"/>
        <v>3A1 Enteric fermentation (CH4)</v>
      </c>
      <c r="C8" t="str">
        <f>'Activity data'!C9</f>
        <v>3A1aii Other cattle</v>
      </c>
      <c r="D8" t="str">
        <f>'Activity data'!D9</f>
        <v>Subsistence</v>
      </c>
      <c r="E8" t="str">
        <f t="shared" si="0"/>
        <v>Enteric fermentation EF</v>
      </c>
      <c r="F8" t="str">
        <f t="shared" ref="F8:F35" si="3">F7</f>
        <v>CH4</v>
      </c>
      <c r="G8" t="str">
        <f t="shared" ref="G8:G17" si="4">G7</f>
        <v>kg CH4/head/yr</v>
      </c>
      <c r="H8" s="26">
        <f>SUM('Aggregated EF'!H29:H34)</f>
        <v>61.771690572163486</v>
      </c>
    </row>
    <row r="9" spans="1:41" x14ac:dyDescent="0.25">
      <c r="A9" t="str">
        <f t="shared" si="1"/>
        <v>3A Livestock</v>
      </c>
      <c r="B9" t="str">
        <f t="shared" si="2"/>
        <v>3A1 Enteric fermentation (CH4)</v>
      </c>
      <c r="C9" t="str">
        <f>'Activity data'!C10</f>
        <v>3A1aii Other cattle</v>
      </c>
      <c r="D9" t="str">
        <f>'Activity data'!D10</f>
        <v>Feedlot</v>
      </c>
      <c r="E9" t="str">
        <f t="shared" si="0"/>
        <v>Enteric fermentation EF</v>
      </c>
      <c r="F9" t="str">
        <f t="shared" si="3"/>
        <v>CH4</v>
      </c>
      <c r="G9" t="str">
        <f t="shared" si="4"/>
        <v>kg CH4/head/yr</v>
      </c>
      <c r="H9" s="26">
        <f>'Aggregated EF'!H25</f>
        <v>58.9</v>
      </c>
    </row>
    <row r="10" spans="1:41" x14ac:dyDescent="0.25">
      <c r="A10" t="str">
        <f t="shared" si="1"/>
        <v>3A Livestock</v>
      </c>
      <c r="B10" t="str">
        <f t="shared" si="2"/>
        <v>3A1 Enteric fermentation (CH4)</v>
      </c>
      <c r="C10" t="str">
        <f>'Activity data'!C11</f>
        <v>3A1c Sheep</v>
      </c>
      <c r="D10" t="str">
        <f>'Activity data'!D11</f>
        <v>Commercial</v>
      </c>
      <c r="E10" t="str">
        <f t="shared" si="0"/>
        <v>Enteric fermentation EF</v>
      </c>
      <c r="F10" t="str">
        <f t="shared" si="3"/>
        <v>CH4</v>
      </c>
      <c r="G10" t="str">
        <f t="shared" si="4"/>
        <v>kg CH4/head/yr</v>
      </c>
      <c r="H10" s="26">
        <f>SUM('Aggregated EF'!H36:H59)</f>
        <v>6.9715683106127573</v>
      </c>
    </row>
    <row r="11" spans="1:41" x14ac:dyDescent="0.25">
      <c r="A11" t="str">
        <f t="shared" si="1"/>
        <v>3A Livestock</v>
      </c>
      <c r="B11" t="str">
        <f t="shared" si="2"/>
        <v>3A1 Enteric fermentation (CH4)</v>
      </c>
      <c r="C11" t="str">
        <f>'Activity data'!C12</f>
        <v>3A1c Sheep</v>
      </c>
      <c r="D11" t="str">
        <f>'Activity data'!D12</f>
        <v>Subsistence</v>
      </c>
      <c r="E11" t="str">
        <f t="shared" si="0"/>
        <v>Enteric fermentation EF</v>
      </c>
      <c r="F11" t="str">
        <f t="shared" si="3"/>
        <v>CH4</v>
      </c>
      <c r="G11" t="str">
        <f t="shared" si="4"/>
        <v>kg CH4/head/yr</v>
      </c>
      <c r="H11" s="26">
        <f>SUM('Aggregated EF'!H60:H83)</f>
        <v>5.0562757874656858</v>
      </c>
    </row>
    <row r="12" spans="1:41" x14ac:dyDescent="0.25">
      <c r="A12" t="str">
        <f t="shared" si="1"/>
        <v>3A Livestock</v>
      </c>
      <c r="B12" t="str">
        <f t="shared" si="2"/>
        <v>3A1 Enteric fermentation (CH4)</v>
      </c>
      <c r="C12" t="str">
        <f>'Activity data'!C13</f>
        <v>3A1d Goats</v>
      </c>
      <c r="D12" t="str">
        <f>'Activity data'!D13</f>
        <v>Commercial</v>
      </c>
      <c r="E12" t="str">
        <f t="shared" si="0"/>
        <v>Enteric fermentation EF</v>
      </c>
      <c r="F12" t="str">
        <f t="shared" si="3"/>
        <v>CH4</v>
      </c>
      <c r="G12" t="str">
        <f t="shared" si="4"/>
        <v>kg CH4/head/yr</v>
      </c>
      <c r="H12" s="26">
        <f>SUM('Aggregated EF'!H85:H102)</f>
        <v>7.3127480970496874</v>
      </c>
    </row>
    <row r="13" spans="1:41" x14ac:dyDescent="0.25">
      <c r="A13" t="str">
        <f t="shared" si="1"/>
        <v>3A Livestock</v>
      </c>
      <c r="B13" t="str">
        <f t="shared" si="2"/>
        <v>3A1 Enteric fermentation (CH4)</v>
      </c>
      <c r="C13" t="str">
        <f>'Activity data'!C14</f>
        <v>3A1d Goats</v>
      </c>
      <c r="D13" t="str">
        <f>'Activity data'!D14</f>
        <v>Subsistence</v>
      </c>
      <c r="E13" t="str">
        <f t="shared" si="0"/>
        <v>Enteric fermentation EF</v>
      </c>
      <c r="F13" t="str">
        <f t="shared" si="3"/>
        <v>CH4</v>
      </c>
      <c r="G13" t="str">
        <f t="shared" si="4"/>
        <v>kg CH4/head/yr</v>
      </c>
      <c r="H13" s="26">
        <f>SUM('Aggregated EF'!H103:H108)</f>
        <v>5.5750300000000008</v>
      </c>
    </row>
    <row r="14" spans="1:41" x14ac:dyDescent="0.25">
      <c r="A14" t="str">
        <f t="shared" si="1"/>
        <v>3A Livestock</v>
      </c>
      <c r="B14" t="str">
        <f t="shared" si="2"/>
        <v>3A1 Enteric fermentation (CH4)</v>
      </c>
      <c r="C14" t="str">
        <f>'Activity data'!C15</f>
        <v>3A1f Horses</v>
      </c>
      <c r="D14" t="str">
        <f>'Activity data'!D15</f>
        <v>Horses</v>
      </c>
      <c r="E14" t="str">
        <f t="shared" si="0"/>
        <v>Enteric fermentation EF</v>
      </c>
      <c r="F14" t="str">
        <f t="shared" si="3"/>
        <v>CH4</v>
      </c>
      <c r="G14" t="str">
        <f t="shared" si="4"/>
        <v>kg CH4/head/yr</v>
      </c>
      <c r="H14" s="26">
        <f>'Aggregated EF'!H110</f>
        <v>18</v>
      </c>
    </row>
    <row r="15" spans="1:41" x14ac:dyDescent="0.25">
      <c r="A15" t="str">
        <f t="shared" si="1"/>
        <v>3A Livestock</v>
      </c>
      <c r="B15" t="str">
        <f t="shared" si="2"/>
        <v>3A1 Enteric fermentation (CH4)</v>
      </c>
      <c r="C15" t="str">
        <f>'Activity data'!C16</f>
        <v>3A1g Mules &amp; asses</v>
      </c>
      <c r="D15" t="str">
        <f>'Activity data'!D16</f>
        <v>Mules &amp; Asses</v>
      </c>
      <c r="E15" t="str">
        <f t="shared" si="0"/>
        <v>Enteric fermentation EF</v>
      </c>
      <c r="F15" t="str">
        <f t="shared" si="3"/>
        <v>CH4</v>
      </c>
      <c r="G15" t="str">
        <f t="shared" si="4"/>
        <v>kg CH4/head/yr</v>
      </c>
      <c r="H15" s="26">
        <f>'Aggregated EF'!H112</f>
        <v>10</v>
      </c>
    </row>
    <row r="16" spans="1:41" x14ac:dyDescent="0.25">
      <c r="A16" t="str">
        <f t="shared" si="1"/>
        <v>3A Livestock</v>
      </c>
      <c r="B16" t="str">
        <f t="shared" si="2"/>
        <v>3A1 Enteric fermentation (CH4)</v>
      </c>
      <c r="C16" t="str">
        <f>'Activity data'!C17</f>
        <v>3A1h Swine</v>
      </c>
      <c r="D16" t="str">
        <f>'Activity data'!D17</f>
        <v>Commercial</v>
      </c>
      <c r="E16" t="str">
        <f t="shared" si="0"/>
        <v>Enteric fermentation EF</v>
      </c>
      <c r="F16" t="str">
        <f t="shared" si="3"/>
        <v>CH4</v>
      </c>
      <c r="G16" t="str">
        <f t="shared" si="4"/>
        <v>kg CH4/head/yr</v>
      </c>
      <c r="H16" s="26">
        <f>SUM('Aggregated EF'!H114:H123)</f>
        <v>1.1111400000000002</v>
      </c>
    </row>
    <row r="17" spans="1:8" x14ac:dyDescent="0.25">
      <c r="A17" t="str">
        <f t="shared" si="1"/>
        <v>3A Livestock</v>
      </c>
      <c r="B17" t="str">
        <f t="shared" si="2"/>
        <v>3A1 Enteric fermentation (CH4)</v>
      </c>
      <c r="C17" t="str">
        <f>'Activity data'!C18</f>
        <v>3A1h Swine</v>
      </c>
      <c r="D17" t="str">
        <f>'Activity data'!D18</f>
        <v>Subsistence</v>
      </c>
      <c r="E17" t="str">
        <f t="shared" si="0"/>
        <v>Enteric fermentation EF</v>
      </c>
      <c r="F17" t="str">
        <f t="shared" si="3"/>
        <v>CH4</v>
      </c>
      <c r="G17" t="str">
        <f t="shared" si="4"/>
        <v>kg CH4/head/yr</v>
      </c>
      <c r="H17" s="26">
        <f>SUM('Aggregated EF'!H124:H133)</f>
        <v>1.1290500000000001</v>
      </c>
    </row>
    <row r="18" spans="1:8" x14ac:dyDescent="0.25">
      <c r="A18" t="str">
        <f t="shared" si="1"/>
        <v>3A Livestock</v>
      </c>
      <c r="B18" t="str">
        <f>'IPCC Categories'!B12</f>
        <v>3A2 Manure management (CH4)</v>
      </c>
      <c r="C18" t="str">
        <f>'Activity data'!C5</f>
        <v>3A1ai Dairy cattle</v>
      </c>
      <c r="D18" t="str">
        <f>'Activity data'!D5</f>
        <v>TMR</v>
      </c>
      <c r="E18" t="str">
        <f>'IPCC Categories'!F33&amp;" EF"</f>
        <v>Manure management EF</v>
      </c>
      <c r="F18" t="str">
        <f t="shared" si="3"/>
        <v>CH4</v>
      </c>
      <c r="G18" t="s">
        <v>144</v>
      </c>
      <c r="H18" s="26">
        <f>SUM('Aggregated EF'!N8:N10)</f>
        <v>12.458616998501393</v>
      </c>
    </row>
    <row r="19" spans="1:8" x14ac:dyDescent="0.25">
      <c r="A19" t="str">
        <f t="shared" si="1"/>
        <v>3A Livestock</v>
      </c>
      <c r="B19" t="str">
        <f>B18</f>
        <v>3A2 Manure management (CH4)</v>
      </c>
      <c r="C19" t="str">
        <f>'Activity data'!C6</f>
        <v>3A1ai Dairy cattle</v>
      </c>
      <c r="D19" t="str">
        <f>'Activity data'!D6</f>
        <v>Pasture</v>
      </c>
      <c r="E19" t="str">
        <f>E18</f>
        <v>Manure management EF</v>
      </c>
      <c r="F19" t="str">
        <f t="shared" si="3"/>
        <v>CH4</v>
      </c>
      <c r="G19" t="s">
        <v>144</v>
      </c>
      <c r="H19" s="26">
        <f>SUM('Aggregated EF'!N5:N7)</f>
        <v>4.2839434810533081</v>
      </c>
    </row>
    <row r="20" spans="1:8" x14ac:dyDescent="0.25">
      <c r="A20" t="str">
        <f t="shared" si="1"/>
        <v>3A Livestock</v>
      </c>
      <c r="B20" t="str">
        <f t="shared" ref="B20:B35" si="5">B19</f>
        <v>3A2 Manure management (CH4)</v>
      </c>
      <c r="C20" t="str">
        <f>'Activity data'!C7</f>
        <v>3A1aii Other cattle</v>
      </c>
      <c r="D20" t="str">
        <f>'Activity data'!D7</f>
        <v>Non-lactating</v>
      </c>
      <c r="E20" t="str">
        <f>E19</f>
        <v>Manure management EF</v>
      </c>
      <c r="F20" t="str">
        <f t="shared" si="3"/>
        <v>CH4</v>
      </c>
      <c r="G20" t="s">
        <v>144</v>
      </c>
      <c r="H20" s="26">
        <f>SUM('Aggregated EF'!N12:N21)</f>
        <v>0.71275396941061553</v>
      </c>
    </row>
    <row r="21" spans="1:8" x14ac:dyDescent="0.25">
      <c r="A21" t="str">
        <f t="shared" si="1"/>
        <v>3A Livestock</v>
      </c>
      <c r="B21" t="str">
        <f t="shared" si="5"/>
        <v>3A2 Manure management (CH4)</v>
      </c>
      <c r="C21" t="str">
        <f>'Activity data'!C8</f>
        <v>3A1aii Other cattle</v>
      </c>
      <c r="D21" t="str">
        <f>'Activity data'!D8</f>
        <v>Commercial</v>
      </c>
      <c r="E21" t="str">
        <f>E19</f>
        <v>Manure management EF</v>
      </c>
      <c r="F21" t="str">
        <f>F19</f>
        <v>CH4</v>
      </c>
      <c r="G21" t="s">
        <v>144</v>
      </c>
      <c r="H21" s="26">
        <f>SUM('Aggregated EF'!N22:N24,'Aggregated EF'!N26:N28)</f>
        <v>1.5931745829252119E-2</v>
      </c>
    </row>
    <row r="22" spans="1:8" x14ac:dyDescent="0.25">
      <c r="A22" t="str">
        <f t="shared" si="1"/>
        <v>3A Livestock</v>
      </c>
      <c r="B22" t="str">
        <f t="shared" si="5"/>
        <v>3A2 Manure management (CH4)</v>
      </c>
      <c r="C22" t="str">
        <f>'Activity data'!C9</f>
        <v>3A1aii Other cattle</v>
      </c>
      <c r="D22" t="str">
        <f>'Activity data'!D9</f>
        <v>Subsistence</v>
      </c>
      <c r="E22" t="str">
        <f t="shared" ref="E22:E56" si="6">E21</f>
        <v>Manure management EF</v>
      </c>
      <c r="F22" t="str">
        <f t="shared" si="3"/>
        <v>CH4</v>
      </c>
      <c r="G22" t="s">
        <v>144</v>
      </c>
      <c r="H22" s="26">
        <f>SUM('Aggregated EF'!N29:N34)</f>
        <v>1.3196902890530698E-2</v>
      </c>
    </row>
    <row r="23" spans="1:8" x14ac:dyDescent="0.25">
      <c r="A23" t="str">
        <f t="shared" si="1"/>
        <v>3A Livestock</v>
      </c>
      <c r="B23" t="str">
        <f t="shared" si="5"/>
        <v>3A2 Manure management (CH4)</v>
      </c>
      <c r="C23" t="str">
        <f>'Activity data'!C10</f>
        <v>3A1aii Other cattle</v>
      </c>
      <c r="D23" t="str">
        <f>'Activity data'!D10</f>
        <v>Feedlot</v>
      </c>
      <c r="E23" t="str">
        <f t="shared" si="6"/>
        <v>Manure management EF</v>
      </c>
      <c r="F23" t="str">
        <f t="shared" si="3"/>
        <v>CH4</v>
      </c>
      <c r="G23" t="s">
        <v>144</v>
      </c>
      <c r="H23" s="26">
        <f>'Aggregated EF'!N25</f>
        <v>0.87</v>
      </c>
    </row>
    <row r="24" spans="1:8" x14ac:dyDescent="0.25">
      <c r="A24" t="str">
        <f t="shared" si="1"/>
        <v>3A Livestock</v>
      </c>
      <c r="B24" t="str">
        <f t="shared" si="5"/>
        <v>3A2 Manure management (CH4)</v>
      </c>
      <c r="C24" t="str">
        <f>'Activity data'!C11</f>
        <v>3A1c Sheep</v>
      </c>
      <c r="D24" t="str">
        <f>'Activity data'!D11</f>
        <v>Commercial</v>
      </c>
      <c r="E24" t="str">
        <f t="shared" si="6"/>
        <v>Manure management EF</v>
      </c>
      <c r="F24" t="str">
        <f t="shared" si="3"/>
        <v>CH4</v>
      </c>
      <c r="G24" t="s">
        <v>144</v>
      </c>
      <c r="H24" s="26">
        <f>SUM('Aggregated EF'!N36:N59)</f>
        <v>1.8957461499092729E-3</v>
      </c>
    </row>
    <row r="25" spans="1:8" x14ac:dyDescent="0.25">
      <c r="A25" t="str">
        <f t="shared" si="1"/>
        <v>3A Livestock</v>
      </c>
      <c r="B25" t="str">
        <f t="shared" si="5"/>
        <v>3A2 Manure management (CH4)</v>
      </c>
      <c r="C25" t="str">
        <f>'Activity data'!C12</f>
        <v>3A1c Sheep</v>
      </c>
      <c r="D25" t="str">
        <f>'Activity data'!D12</f>
        <v>Subsistence</v>
      </c>
      <c r="E25" t="str">
        <f t="shared" si="6"/>
        <v>Manure management EF</v>
      </c>
      <c r="F25" t="str">
        <f t="shared" si="3"/>
        <v>CH4</v>
      </c>
      <c r="G25" t="s">
        <v>144</v>
      </c>
      <c r="H25" s="26">
        <f>SUM('Aggregated EF'!N60:N83)</f>
        <v>1.4489063415995907E-3</v>
      </c>
    </row>
    <row r="26" spans="1:8" x14ac:dyDescent="0.25">
      <c r="A26" t="str">
        <f t="shared" si="1"/>
        <v>3A Livestock</v>
      </c>
      <c r="B26" t="str">
        <f t="shared" si="5"/>
        <v>3A2 Manure management (CH4)</v>
      </c>
      <c r="C26" t="str">
        <f>'Activity data'!C13</f>
        <v>3A1d Goats</v>
      </c>
      <c r="D26" t="str">
        <f>'Activity data'!D13</f>
        <v>Commercial</v>
      </c>
      <c r="E26" t="str">
        <f t="shared" si="6"/>
        <v>Manure management EF</v>
      </c>
      <c r="F26" t="str">
        <f t="shared" si="3"/>
        <v>CH4</v>
      </c>
      <c r="G26" t="s">
        <v>144</v>
      </c>
      <c r="H26" s="26">
        <f>SUM('Aggregated EF'!N85:N102)</f>
        <v>7.6349095476515513E-3</v>
      </c>
    </row>
    <row r="27" spans="1:8" x14ac:dyDescent="0.25">
      <c r="A27" t="str">
        <f t="shared" si="1"/>
        <v>3A Livestock</v>
      </c>
      <c r="B27" t="str">
        <f t="shared" si="5"/>
        <v>3A2 Manure management (CH4)</v>
      </c>
      <c r="C27" t="str">
        <f>'Activity data'!C14</f>
        <v>3A1d Goats</v>
      </c>
      <c r="D27" t="str">
        <f>'Activity data'!D14</f>
        <v>Subsistence</v>
      </c>
      <c r="E27" t="str">
        <f t="shared" si="6"/>
        <v>Manure management EF</v>
      </c>
      <c r="F27" t="str">
        <f t="shared" si="3"/>
        <v>CH4</v>
      </c>
      <c r="G27" t="s">
        <v>144</v>
      </c>
      <c r="H27" s="26">
        <f>SUM('Aggregated EF'!N103:N108)</f>
        <v>6.6239999999999988E-3</v>
      </c>
    </row>
    <row r="28" spans="1:8" x14ac:dyDescent="0.25">
      <c r="A28" t="str">
        <f t="shared" si="1"/>
        <v>3A Livestock</v>
      </c>
      <c r="B28" t="str">
        <f t="shared" si="5"/>
        <v>3A2 Manure management (CH4)</v>
      </c>
      <c r="C28" t="str">
        <f>'Activity data'!C15</f>
        <v>3A1f Horses</v>
      </c>
      <c r="D28" t="str">
        <f>'Activity data'!D15</f>
        <v>Horses</v>
      </c>
      <c r="E28" t="str">
        <f t="shared" si="6"/>
        <v>Manure management EF</v>
      </c>
      <c r="F28" t="str">
        <f t="shared" si="3"/>
        <v>CH4</v>
      </c>
      <c r="G28" t="s">
        <v>144</v>
      </c>
      <c r="H28" s="26">
        <f>'Aggregated EF'!N110</f>
        <v>1.34E-2</v>
      </c>
    </row>
    <row r="29" spans="1:8" x14ac:dyDescent="0.25">
      <c r="A29" t="str">
        <f t="shared" si="1"/>
        <v>3A Livestock</v>
      </c>
      <c r="B29" t="str">
        <f t="shared" si="5"/>
        <v>3A2 Manure management (CH4)</v>
      </c>
      <c r="C29" t="str">
        <f>'Activity data'!C16</f>
        <v>3A1g Mules &amp; asses</v>
      </c>
      <c r="D29" t="str">
        <f>'Activity data'!D16</f>
        <v>Mules &amp; Asses</v>
      </c>
      <c r="E29" t="str">
        <f t="shared" si="6"/>
        <v>Manure management EF</v>
      </c>
      <c r="F29" t="str">
        <f t="shared" si="3"/>
        <v>CH4</v>
      </c>
      <c r="G29" t="s">
        <v>144</v>
      </c>
      <c r="H29" s="26">
        <f>'Aggregated EF'!N112</f>
        <v>4.4999999999999997E-3</v>
      </c>
    </row>
    <row r="30" spans="1:8" x14ac:dyDescent="0.25">
      <c r="A30" t="str">
        <f t="shared" si="1"/>
        <v>3A Livestock</v>
      </c>
      <c r="B30" t="str">
        <f t="shared" si="5"/>
        <v>3A2 Manure management (CH4)</v>
      </c>
      <c r="C30" t="str">
        <f>'Activity data'!C17</f>
        <v>3A1h Swine</v>
      </c>
      <c r="D30" t="str">
        <f>'Activity data'!D17</f>
        <v>Commercial</v>
      </c>
      <c r="E30" t="str">
        <f t="shared" si="6"/>
        <v>Manure management EF</v>
      </c>
      <c r="F30" t="str">
        <f t="shared" si="3"/>
        <v>CH4</v>
      </c>
      <c r="G30" t="s">
        <v>144</v>
      </c>
      <c r="H30" s="26">
        <f>SUM('Aggregated EF'!N114:N123)</f>
        <v>14.057009999999998</v>
      </c>
    </row>
    <row r="31" spans="1:8" x14ac:dyDescent="0.25">
      <c r="A31" t="str">
        <f t="shared" si="1"/>
        <v>3A Livestock</v>
      </c>
      <c r="B31" t="str">
        <f t="shared" si="5"/>
        <v>3A2 Manure management (CH4)</v>
      </c>
      <c r="C31" t="str">
        <f>'Activity data'!C18</f>
        <v>3A1h Swine</v>
      </c>
      <c r="D31" t="str">
        <f>'Activity data'!D18</f>
        <v>Subsistence</v>
      </c>
      <c r="E31" t="str">
        <f t="shared" si="6"/>
        <v>Manure management EF</v>
      </c>
      <c r="F31" t="str">
        <f t="shared" si="3"/>
        <v>CH4</v>
      </c>
      <c r="G31" t="s">
        <v>144</v>
      </c>
      <c r="H31" s="26">
        <f>SUM('Aggregated EF'!N124:N133)</f>
        <v>0.34509999999999996</v>
      </c>
    </row>
    <row r="32" spans="1:8" x14ac:dyDescent="0.25">
      <c r="A32" t="str">
        <f t="shared" si="1"/>
        <v>3A Livestock</v>
      </c>
      <c r="B32" t="str">
        <f t="shared" si="5"/>
        <v>3A2 Manure management (CH4)</v>
      </c>
      <c r="C32" t="str">
        <f>'Activity data'!C19</f>
        <v>3A2i Poultry</v>
      </c>
      <c r="D32" t="str">
        <f>'Activity data'!D19</f>
        <v>Commercial layers</v>
      </c>
      <c r="E32" t="str">
        <f t="shared" si="6"/>
        <v>Manure management EF</v>
      </c>
      <c r="F32" t="str">
        <f t="shared" si="3"/>
        <v>CH4</v>
      </c>
      <c r="G32" t="s">
        <v>144</v>
      </c>
      <c r="H32" s="26">
        <f>'Aggregated EF'!N136</f>
        <v>2.35E-2</v>
      </c>
    </row>
    <row r="33" spans="1:8" x14ac:dyDescent="0.25">
      <c r="A33" t="str">
        <f t="shared" si="1"/>
        <v>3A Livestock</v>
      </c>
      <c r="B33" t="str">
        <f t="shared" si="5"/>
        <v>3A2 Manure management (CH4)</v>
      </c>
      <c r="C33" t="str">
        <f>'Activity data'!C20</f>
        <v>3A2i Poultry</v>
      </c>
      <c r="D33" t="str">
        <f>'Activity data'!D20</f>
        <v>Commercial broilers</v>
      </c>
      <c r="E33" t="str">
        <f t="shared" si="6"/>
        <v>Manure management EF</v>
      </c>
      <c r="F33" t="str">
        <f t="shared" si="3"/>
        <v>CH4</v>
      </c>
      <c r="G33" t="s">
        <v>144</v>
      </c>
      <c r="H33" s="26">
        <f>'Aggregated EF'!N135</f>
        <v>2.35E-2</v>
      </c>
    </row>
    <row r="34" spans="1:8" x14ac:dyDescent="0.25">
      <c r="A34" t="str">
        <f t="shared" si="1"/>
        <v>3A Livestock</v>
      </c>
      <c r="B34" t="str">
        <f t="shared" si="5"/>
        <v>3A2 Manure management (CH4)</v>
      </c>
      <c r="C34" t="str">
        <f>'Activity data'!C21</f>
        <v>3A2i Poultry</v>
      </c>
      <c r="D34" t="str">
        <f>'Activity data'!D21</f>
        <v>Subsistence layers</v>
      </c>
      <c r="E34" t="str">
        <f t="shared" si="6"/>
        <v>Manure management EF</v>
      </c>
      <c r="F34" t="str">
        <f t="shared" si="3"/>
        <v>CH4</v>
      </c>
      <c r="G34" t="s">
        <v>144</v>
      </c>
      <c r="H34" s="26">
        <f>'Aggregated EF'!N138</f>
        <v>2.35E-2</v>
      </c>
    </row>
    <row r="35" spans="1:8" x14ac:dyDescent="0.25">
      <c r="A35" t="str">
        <f t="shared" si="1"/>
        <v>3A Livestock</v>
      </c>
      <c r="B35" t="str">
        <f t="shared" si="5"/>
        <v>3A2 Manure management (CH4)</v>
      </c>
      <c r="C35" t="str">
        <f>'Activity data'!C22</f>
        <v>3A2i Poultry</v>
      </c>
      <c r="D35" t="str">
        <f>'Activity data'!D22</f>
        <v>Subsistence broilers</v>
      </c>
      <c r="E35" t="str">
        <f t="shared" si="6"/>
        <v>Manure management EF</v>
      </c>
      <c r="F35" t="str">
        <f t="shared" si="3"/>
        <v>CH4</v>
      </c>
      <c r="G35" t="s">
        <v>144</v>
      </c>
      <c r="H35" s="26">
        <f>'Aggregated EF'!N137</f>
        <v>2.35E-2</v>
      </c>
    </row>
    <row r="36" spans="1:8" x14ac:dyDescent="0.25">
      <c r="A36" t="str">
        <f t="shared" si="1"/>
        <v>3A Livestock</v>
      </c>
      <c r="B36" t="str">
        <f>'IPCC Categories'!B20</f>
        <v>3A2 Manure management (N2O)</v>
      </c>
      <c r="C36" t="str">
        <f>C18</f>
        <v>3A1ai Dairy cattle</v>
      </c>
      <c r="D36" t="str">
        <f t="shared" ref="D36:E37" si="7">D18</f>
        <v>TMR</v>
      </c>
      <c r="E36" t="str">
        <f t="shared" si="7"/>
        <v>Manure management EF</v>
      </c>
      <c r="F36" t="s">
        <v>139</v>
      </c>
      <c r="G36" t="s">
        <v>311</v>
      </c>
      <c r="H36" s="26">
        <f>SUM('Aggregated EF'!T8:T10)</f>
        <v>128.28236394776278</v>
      </c>
    </row>
    <row r="37" spans="1:8" x14ac:dyDescent="0.25">
      <c r="A37" t="str">
        <f t="shared" si="1"/>
        <v>3A Livestock</v>
      </c>
      <c r="B37" t="str">
        <f>B36</f>
        <v>3A2 Manure management (N2O)</v>
      </c>
      <c r="C37" t="str">
        <f>C19</f>
        <v>3A1ai Dairy cattle</v>
      </c>
      <c r="D37" t="str">
        <f t="shared" si="7"/>
        <v>Pasture</v>
      </c>
      <c r="E37" t="str">
        <f t="shared" si="7"/>
        <v>Manure management EF</v>
      </c>
      <c r="F37" t="str">
        <f>F36</f>
        <v>N2O</v>
      </c>
      <c r="G37" t="str">
        <f>G36</f>
        <v>kg N/head/yr</v>
      </c>
      <c r="H37" s="26">
        <f>SUM('Aggregated EF'!T5:T7)</f>
        <v>116.88195504174696</v>
      </c>
    </row>
    <row r="38" spans="1:8" x14ac:dyDescent="0.25">
      <c r="A38" t="str">
        <f t="shared" si="1"/>
        <v>3A Livestock</v>
      </c>
      <c r="B38" t="str">
        <f t="shared" ref="B38:B71" si="8">B37</f>
        <v>3A2 Manure management (N2O)</v>
      </c>
      <c r="C38" t="str">
        <f t="shared" ref="C38:E38" si="9">C20</f>
        <v>3A1aii Other cattle</v>
      </c>
      <c r="D38" t="str">
        <f t="shared" si="9"/>
        <v>Non-lactating</v>
      </c>
      <c r="E38" t="str">
        <f t="shared" si="9"/>
        <v>Manure management EF</v>
      </c>
      <c r="F38" t="str">
        <f t="shared" ref="F38:F53" si="10">F37</f>
        <v>N2O</v>
      </c>
      <c r="G38" t="str">
        <f t="shared" ref="G38:G53" si="11">G37</f>
        <v>kg N/head/yr</v>
      </c>
      <c r="H38" s="26">
        <f>SUM('Aggregated EF'!T12:T21)</f>
        <v>40.496928454397946</v>
      </c>
    </row>
    <row r="39" spans="1:8" x14ac:dyDescent="0.25">
      <c r="A39" t="str">
        <f t="shared" si="1"/>
        <v>3A Livestock</v>
      </c>
      <c r="B39" t="str">
        <f t="shared" si="8"/>
        <v>3A2 Manure management (N2O)</v>
      </c>
      <c r="C39" t="str">
        <f t="shared" ref="C39:E39" si="12">C21</f>
        <v>3A1aii Other cattle</v>
      </c>
      <c r="D39" t="str">
        <f t="shared" si="12"/>
        <v>Commercial</v>
      </c>
      <c r="E39" t="str">
        <f t="shared" si="12"/>
        <v>Manure management EF</v>
      </c>
      <c r="F39" t="str">
        <f t="shared" si="10"/>
        <v>N2O</v>
      </c>
      <c r="G39" t="str">
        <f t="shared" si="11"/>
        <v>kg N/head/yr</v>
      </c>
      <c r="H39" s="26">
        <f>SUM('Aggregated EF'!T22:T24,'Aggregated EF'!T26:T28)</f>
        <v>86.354881619987609</v>
      </c>
    </row>
    <row r="40" spans="1:8" x14ac:dyDescent="0.25">
      <c r="A40" t="str">
        <f t="shared" si="1"/>
        <v>3A Livestock</v>
      </c>
      <c r="B40" t="str">
        <f t="shared" si="8"/>
        <v>3A2 Manure management (N2O)</v>
      </c>
      <c r="C40" t="str">
        <f t="shared" ref="C40:E40" si="13">C22</f>
        <v>3A1aii Other cattle</v>
      </c>
      <c r="D40" t="str">
        <f t="shared" si="13"/>
        <v>Subsistence</v>
      </c>
      <c r="E40" t="str">
        <f t="shared" si="13"/>
        <v>Manure management EF</v>
      </c>
      <c r="F40" t="str">
        <f t="shared" si="10"/>
        <v>N2O</v>
      </c>
      <c r="G40" t="str">
        <f t="shared" si="11"/>
        <v>kg N/head/yr</v>
      </c>
      <c r="H40" s="26">
        <f>SUM('Aggregated EF'!T29:T34)</f>
        <v>64.633710943402036</v>
      </c>
    </row>
    <row r="41" spans="1:8" x14ac:dyDescent="0.25">
      <c r="A41" t="str">
        <f t="shared" si="1"/>
        <v>3A Livestock</v>
      </c>
      <c r="B41" t="str">
        <f t="shared" si="8"/>
        <v>3A2 Manure management (N2O)</v>
      </c>
      <c r="C41" t="str">
        <f t="shared" ref="C41:E41" si="14">C23</f>
        <v>3A1aii Other cattle</v>
      </c>
      <c r="D41" t="str">
        <f t="shared" si="14"/>
        <v>Feedlot</v>
      </c>
      <c r="E41" t="str">
        <f t="shared" si="14"/>
        <v>Manure management EF</v>
      </c>
      <c r="F41" t="str">
        <f t="shared" si="10"/>
        <v>N2O</v>
      </c>
      <c r="G41" t="str">
        <f t="shared" si="11"/>
        <v>kg N/head/yr</v>
      </c>
      <c r="H41" s="26">
        <f>'Aggregated EF'!T25</f>
        <v>65.765699999999995</v>
      </c>
    </row>
    <row r="42" spans="1:8" x14ac:dyDescent="0.25">
      <c r="A42" t="str">
        <f t="shared" si="1"/>
        <v>3A Livestock</v>
      </c>
      <c r="B42" t="str">
        <f t="shared" si="8"/>
        <v>3A2 Manure management (N2O)</v>
      </c>
      <c r="C42" t="str">
        <f t="shared" ref="C42:E42" si="15">C24</f>
        <v>3A1c Sheep</v>
      </c>
      <c r="D42" t="str">
        <f t="shared" si="15"/>
        <v>Commercial</v>
      </c>
      <c r="E42" t="str">
        <f t="shared" si="15"/>
        <v>Manure management EF</v>
      </c>
      <c r="F42" t="str">
        <f t="shared" si="10"/>
        <v>N2O</v>
      </c>
      <c r="G42" t="str">
        <f t="shared" si="11"/>
        <v>kg N/head/yr</v>
      </c>
      <c r="H42" s="26">
        <f>SUM('Aggregated EF'!T36:T59)</f>
        <v>19.60551595998232</v>
      </c>
    </row>
    <row r="43" spans="1:8" x14ac:dyDescent="0.25">
      <c r="A43" t="str">
        <f t="shared" si="1"/>
        <v>3A Livestock</v>
      </c>
      <c r="B43" t="str">
        <f t="shared" si="8"/>
        <v>3A2 Manure management (N2O)</v>
      </c>
      <c r="C43" t="str">
        <f t="shared" ref="C43:E43" si="16">C25</f>
        <v>3A1c Sheep</v>
      </c>
      <c r="D43" t="str">
        <f t="shared" si="16"/>
        <v>Subsistence</v>
      </c>
      <c r="E43" t="str">
        <f t="shared" si="16"/>
        <v>Manure management EF</v>
      </c>
      <c r="F43" t="str">
        <f t="shared" si="10"/>
        <v>N2O</v>
      </c>
      <c r="G43" t="str">
        <f t="shared" si="11"/>
        <v>kg N/head/yr</v>
      </c>
      <c r="H43" s="26">
        <f>SUM('Aggregated EF'!T60:T83)</f>
        <v>15.591414113527657</v>
      </c>
    </row>
    <row r="44" spans="1:8" x14ac:dyDescent="0.25">
      <c r="A44" t="str">
        <f t="shared" si="1"/>
        <v>3A Livestock</v>
      </c>
      <c r="B44" t="str">
        <f t="shared" si="8"/>
        <v>3A2 Manure management (N2O)</v>
      </c>
      <c r="C44" t="str">
        <f t="shared" ref="C44:E44" si="17">C26</f>
        <v>3A1d Goats</v>
      </c>
      <c r="D44" t="str">
        <f t="shared" si="17"/>
        <v>Commercial</v>
      </c>
      <c r="E44" t="str">
        <f t="shared" si="17"/>
        <v>Manure management EF</v>
      </c>
      <c r="F44" t="str">
        <f t="shared" si="10"/>
        <v>N2O</v>
      </c>
      <c r="G44" t="str">
        <f t="shared" si="11"/>
        <v>kg N/head/yr</v>
      </c>
      <c r="H44" s="26">
        <f>SUM('Aggregated EF'!T85:T102)</f>
        <v>22.287353637058541</v>
      </c>
    </row>
    <row r="45" spans="1:8" x14ac:dyDescent="0.25">
      <c r="A45" t="str">
        <f t="shared" si="1"/>
        <v>3A Livestock</v>
      </c>
      <c r="B45" t="str">
        <f t="shared" si="8"/>
        <v>3A2 Manure management (N2O)</v>
      </c>
      <c r="C45" t="str">
        <f t="shared" ref="C45:E45" si="18">C27</f>
        <v>3A1d Goats</v>
      </c>
      <c r="D45" t="str">
        <f t="shared" si="18"/>
        <v>Subsistence</v>
      </c>
      <c r="E45" t="str">
        <f t="shared" si="18"/>
        <v>Manure management EF</v>
      </c>
      <c r="F45" t="str">
        <f t="shared" si="10"/>
        <v>N2O</v>
      </c>
      <c r="G45" t="str">
        <f t="shared" si="11"/>
        <v>kg N/head/yr</v>
      </c>
      <c r="H45" s="26">
        <f>SUM('Aggregated EF'!T103:T108)</f>
        <v>20.227322529999995</v>
      </c>
    </row>
    <row r="46" spans="1:8" x14ac:dyDescent="0.25">
      <c r="A46" t="str">
        <f t="shared" si="1"/>
        <v>3A Livestock</v>
      </c>
      <c r="B46" t="str">
        <f t="shared" si="8"/>
        <v>3A2 Manure management (N2O)</v>
      </c>
      <c r="C46" t="str">
        <f t="shared" ref="C46:E46" si="19">C28</f>
        <v>3A1f Horses</v>
      </c>
      <c r="D46" t="str">
        <f t="shared" si="19"/>
        <v>Horses</v>
      </c>
      <c r="E46" t="str">
        <f t="shared" si="19"/>
        <v>Manure management EF</v>
      </c>
      <c r="F46" t="str">
        <f t="shared" si="10"/>
        <v>N2O</v>
      </c>
      <c r="G46" t="str">
        <f t="shared" si="11"/>
        <v>kg N/head/yr</v>
      </c>
      <c r="H46" s="26">
        <f>'Aggregated EF'!T110</f>
        <v>39.5</v>
      </c>
    </row>
    <row r="47" spans="1:8" x14ac:dyDescent="0.25">
      <c r="A47" t="str">
        <f t="shared" si="1"/>
        <v>3A Livestock</v>
      </c>
      <c r="B47" t="str">
        <f t="shared" si="8"/>
        <v>3A2 Manure management (N2O)</v>
      </c>
      <c r="C47" t="str">
        <f t="shared" ref="C47:E47" si="20">C29</f>
        <v>3A1g Mules &amp; asses</v>
      </c>
      <c r="D47" t="str">
        <f t="shared" si="20"/>
        <v>Mules &amp; Asses</v>
      </c>
      <c r="E47" t="str">
        <f t="shared" si="20"/>
        <v>Manure management EF</v>
      </c>
      <c r="F47" t="str">
        <f t="shared" si="10"/>
        <v>N2O</v>
      </c>
      <c r="G47" t="str">
        <f t="shared" si="11"/>
        <v>kg N/head/yr</v>
      </c>
      <c r="H47" s="26">
        <f>'Aggregated EF'!T112</f>
        <v>13.2</v>
      </c>
    </row>
    <row r="48" spans="1:8" x14ac:dyDescent="0.25">
      <c r="A48" t="str">
        <f t="shared" si="1"/>
        <v>3A Livestock</v>
      </c>
      <c r="B48" t="str">
        <f t="shared" si="8"/>
        <v>3A2 Manure management (N2O)</v>
      </c>
      <c r="C48" t="str">
        <f t="shared" ref="C48:E48" si="21">C30</f>
        <v>3A1h Swine</v>
      </c>
      <c r="D48" t="str">
        <f t="shared" si="21"/>
        <v>Commercial</v>
      </c>
      <c r="E48" t="str">
        <f t="shared" si="21"/>
        <v>Manure management EF</v>
      </c>
      <c r="F48" t="str">
        <f t="shared" si="10"/>
        <v>N2O</v>
      </c>
      <c r="G48" t="str">
        <f t="shared" si="11"/>
        <v>kg N/head/yr</v>
      </c>
      <c r="H48" s="26">
        <f>SUM('Aggregated EF'!T114:T123)</f>
        <v>13.769600000000001</v>
      </c>
    </row>
    <row r="49" spans="1:41" x14ac:dyDescent="0.25">
      <c r="A49" t="str">
        <f t="shared" si="1"/>
        <v>3A Livestock</v>
      </c>
      <c r="B49" t="str">
        <f t="shared" si="8"/>
        <v>3A2 Manure management (N2O)</v>
      </c>
      <c r="C49" t="str">
        <f t="shared" ref="C49:E49" si="22">C31</f>
        <v>3A1h Swine</v>
      </c>
      <c r="D49" t="str">
        <f t="shared" si="22"/>
        <v>Subsistence</v>
      </c>
      <c r="E49" t="str">
        <f t="shared" si="22"/>
        <v>Manure management EF</v>
      </c>
      <c r="F49" t="str">
        <f t="shared" si="10"/>
        <v>N2O</v>
      </c>
      <c r="G49" t="str">
        <f t="shared" si="11"/>
        <v>kg N/head/yr</v>
      </c>
      <c r="H49" s="26">
        <f>SUM('Aggregated EF'!T124:T133)</f>
        <v>15.091520000000001</v>
      </c>
    </row>
    <row r="50" spans="1:41" x14ac:dyDescent="0.25">
      <c r="A50" t="str">
        <f t="shared" si="1"/>
        <v>3A Livestock</v>
      </c>
      <c r="B50" t="str">
        <f t="shared" si="8"/>
        <v>3A2 Manure management (N2O)</v>
      </c>
      <c r="C50" t="str">
        <f t="shared" ref="C50:E50" si="23">C32</f>
        <v>3A2i Poultry</v>
      </c>
      <c r="D50" t="str">
        <f t="shared" si="23"/>
        <v>Commercial layers</v>
      </c>
      <c r="E50" t="str">
        <f t="shared" si="23"/>
        <v>Manure management EF</v>
      </c>
      <c r="F50" t="str">
        <f t="shared" si="10"/>
        <v>N2O</v>
      </c>
      <c r="G50" t="str">
        <f t="shared" si="11"/>
        <v>kg N/head/yr</v>
      </c>
      <c r="H50" s="26">
        <f>'Aggregated EF'!T136</f>
        <v>0.6</v>
      </c>
    </row>
    <row r="51" spans="1:41" x14ac:dyDescent="0.25">
      <c r="A51" t="str">
        <f t="shared" si="1"/>
        <v>3A Livestock</v>
      </c>
      <c r="B51" t="str">
        <f t="shared" si="8"/>
        <v>3A2 Manure management (N2O)</v>
      </c>
      <c r="C51" t="str">
        <f t="shared" ref="C51:E51" si="24">C33</f>
        <v>3A2i Poultry</v>
      </c>
      <c r="D51" t="str">
        <f t="shared" si="24"/>
        <v>Commercial broilers</v>
      </c>
      <c r="E51" t="str">
        <f t="shared" si="24"/>
        <v>Manure management EF</v>
      </c>
      <c r="F51" t="str">
        <f t="shared" si="10"/>
        <v>N2O</v>
      </c>
      <c r="G51" t="str">
        <f t="shared" si="11"/>
        <v>kg N/head/yr</v>
      </c>
      <c r="H51" s="26">
        <f>'Aggregated EF'!T135</f>
        <v>0.7</v>
      </c>
    </row>
    <row r="52" spans="1:41" x14ac:dyDescent="0.25">
      <c r="A52" t="str">
        <f t="shared" si="1"/>
        <v>3A Livestock</v>
      </c>
      <c r="B52" t="str">
        <f t="shared" si="8"/>
        <v>3A2 Manure management (N2O)</v>
      </c>
      <c r="C52" t="str">
        <f t="shared" ref="C52:E52" si="25">C34</f>
        <v>3A2i Poultry</v>
      </c>
      <c r="D52" t="str">
        <f t="shared" si="25"/>
        <v>Subsistence layers</v>
      </c>
      <c r="E52" t="str">
        <f t="shared" si="25"/>
        <v>Manure management EF</v>
      </c>
      <c r="F52" t="str">
        <f t="shared" si="10"/>
        <v>N2O</v>
      </c>
      <c r="G52" t="str">
        <f t="shared" si="11"/>
        <v>kg N/head/yr</v>
      </c>
      <c r="H52" s="26">
        <f>'Aggregated EF'!T138</f>
        <v>0.6</v>
      </c>
    </row>
    <row r="53" spans="1:41" x14ac:dyDescent="0.25">
      <c r="A53" t="str">
        <f t="shared" si="1"/>
        <v>3A Livestock</v>
      </c>
      <c r="B53" t="str">
        <f t="shared" si="8"/>
        <v>3A2 Manure management (N2O)</v>
      </c>
      <c r="C53" t="str">
        <f t="shared" ref="C53:E53" si="26">C35</f>
        <v>3A2i Poultry</v>
      </c>
      <c r="D53" t="str">
        <f t="shared" si="26"/>
        <v>Subsistence broilers</v>
      </c>
      <c r="E53" t="str">
        <f t="shared" si="26"/>
        <v>Manure management EF</v>
      </c>
      <c r="F53" t="str">
        <f t="shared" si="10"/>
        <v>N2O</v>
      </c>
      <c r="G53" t="str">
        <f t="shared" si="11"/>
        <v>kg N/head/yr</v>
      </c>
      <c r="H53" s="26">
        <f>'Aggregated EF'!T137</f>
        <v>0.7</v>
      </c>
    </row>
    <row r="54" spans="1:41" x14ac:dyDescent="0.25">
      <c r="A54" t="str">
        <f t="shared" si="1"/>
        <v>3A Livestock</v>
      </c>
      <c r="B54" t="str">
        <f t="shared" si="8"/>
        <v>3A2 Manure management (N2O)</v>
      </c>
      <c r="C54" t="str">
        <f>'Activity data'!C5</f>
        <v>3A1ai Dairy cattle</v>
      </c>
      <c r="D54" t="str">
        <f>'Activity data'!D5</f>
        <v>TMR</v>
      </c>
      <c r="E54" t="str">
        <f>E35</f>
        <v>Manure management EF</v>
      </c>
      <c r="F54" t="s">
        <v>139</v>
      </c>
      <c r="G54" s="12" t="s">
        <v>145</v>
      </c>
      <c r="H54" s="26">
        <f>(('Mitigation drivers'!C12*LagoonN2O)+('Mitigation drivers'!C13*LiquidN2O)+('Mitigation drivers'!C14*DrylotN2O)+('Mitigation drivers'!C15*SolidStorageN2O)+('Mitigation drivers'!C16*DailyspreadN2O)+('Mitigation drivers'!C17*CompostN2O)+('Mitigation drivers'!C18*ManwithbedN2O)+('Mitigation drivers'!C19*PMwithoutlitterN2O)+('Mitigation drivers'!C20*PMwithlitterN2O)+('Mitigation drivers'!C22*DigesterN2OEF))/100</f>
        <v>5.0000000000000001E-4</v>
      </c>
      <c r="I54" s="26">
        <f>(('Mitigation drivers'!D12*LagoonN2O)+('Mitigation drivers'!D13*LiquidN2O)+('Mitigation drivers'!D14*DrylotN2O)+('Mitigation drivers'!D15*SolidStorageN2O)+('Mitigation drivers'!D16*DailyspreadN2O)+('Mitigation drivers'!D17*CompostN2O)+('Mitigation drivers'!D18*ManwithbedN2O)+('Mitigation drivers'!D19*PMwithoutlitterN2O)+('Mitigation drivers'!D20*PMwithlitterN2O)+('Mitigation drivers'!D22*DigesterN2OEF))/100</f>
        <v>5.0000000000000001E-4</v>
      </c>
      <c r="J54" s="26">
        <f>(('Mitigation drivers'!E12*LagoonN2O)+('Mitigation drivers'!E13*LiquidN2O)+('Mitigation drivers'!E14*DrylotN2O)+('Mitigation drivers'!E15*SolidStorageN2O)+('Mitigation drivers'!E16*DailyspreadN2O)+('Mitigation drivers'!E17*CompostN2O)+('Mitigation drivers'!E18*ManwithbedN2O)+('Mitigation drivers'!E19*PMwithoutlitterN2O)+('Mitigation drivers'!E20*PMwithlitterN2O)+('Mitigation drivers'!E22*DigesterN2OEF))/100</f>
        <v>5.0000000000000001E-4</v>
      </c>
      <c r="K54" s="26">
        <f>(('Mitigation drivers'!F12*LagoonN2O)+('Mitigation drivers'!F13*LiquidN2O)+('Mitigation drivers'!F14*DrylotN2O)+('Mitigation drivers'!F15*SolidStorageN2O)+('Mitigation drivers'!F16*DailyspreadN2O)+('Mitigation drivers'!F17*CompostN2O)+('Mitigation drivers'!F18*ManwithbedN2O)+('Mitigation drivers'!F19*PMwithoutlitterN2O)+('Mitigation drivers'!F20*PMwithlitterN2O)+('Mitigation drivers'!F22*DigesterN2OEF))/100</f>
        <v>5.0000000000000001E-4</v>
      </c>
      <c r="L54" s="26">
        <f>(('Mitigation drivers'!G12*LagoonN2O)+('Mitigation drivers'!G13*LiquidN2O)+('Mitigation drivers'!G14*DrylotN2O)+('Mitigation drivers'!G15*SolidStorageN2O)+('Mitigation drivers'!G16*DailyspreadN2O)+('Mitigation drivers'!G17*CompostN2O)+('Mitigation drivers'!G18*ManwithbedN2O)+('Mitigation drivers'!G19*PMwithoutlitterN2O)+('Mitigation drivers'!G20*PMwithlitterN2O)+('Mitigation drivers'!G22*DigesterN2OEF))/100</f>
        <v>5.0000000000000001E-4</v>
      </c>
      <c r="M54" s="26">
        <f>(('Mitigation drivers'!H12*LagoonN2O)+('Mitigation drivers'!H13*LiquidN2O)+('Mitigation drivers'!H14*DrylotN2O)+('Mitigation drivers'!H15*SolidStorageN2O)+('Mitigation drivers'!H16*DailyspreadN2O)+('Mitigation drivers'!H17*CompostN2O)+('Mitigation drivers'!H18*ManwithbedN2O)+('Mitigation drivers'!H19*PMwithoutlitterN2O)+('Mitigation drivers'!H20*PMwithlitterN2O)+('Mitigation drivers'!H22*DigesterN2OEF))/100</f>
        <v>5.0000000000000001E-4</v>
      </c>
      <c r="N54" s="26">
        <f>(('Mitigation drivers'!I12*LagoonN2O)+('Mitigation drivers'!I13*LiquidN2O)+('Mitigation drivers'!I14*DrylotN2O)+('Mitigation drivers'!I15*SolidStorageN2O)+('Mitigation drivers'!I16*DailyspreadN2O)+('Mitigation drivers'!I17*CompostN2O)+('Mitigation drivers'!I18*ManwithbedN2O)+('Mitigation drivers'!I19*PMwithoutlitterN2O)+('Mitigation drivers'!I20*PMwithlitterN2O)+('Mitigation drivers'!I22*DigesterN2OEF))/100</f>
        <v>5.0000000000000001E-4</v>
      </c>
      <c r="O54" s="26">
        <f>(('Mitigation drivers'!J12*LagoonN2O)+('Mitigation drivers'!J13*LiquidN2O)+('Mitigation drivers'!J14*DrylotN2O)+('Mitigation drivers'!J15*SolidStorageN2O)+('Mitigation drivers'!J16*DailyspreadN2O)+('Mitigation drivers'!J17*CompostN2O)+('Mitigation drivers'!J18*ManwithbedN2O)+('Mitigation drivers'!J19*PMwithoutlitterN2O)+('Mitigation drivers'!J20*PMwithlitterN2O)+('Mitigation drivers'!J22*DigesterN2OEF))/100</f>
        <v>5.0000000000000001E-4</v>
      </c>
      <c r="P54" s="26">
        <f>(('Mitigation drivers'!K12*LagoonN2O)+('Mitigation drivers'!K13*LiquidN2O)+('Mitigation drivers'!K14*DrylotN2O)+('Mitigation drivers'!K15*SolidStorageN2O)+('Mitigation drivers'!K16*DailyspreadN2O)+('Mitigation drivers'!K17*CompostN2O)+('Mitigation drivers'!K18*ManwithbedN2O)+('Mitigation drivers'!K19*PMwithoutlitterN2O)+('Mitigation drivers'!K20*PMwithlitterN2O)+('Mitigation drivers'!K22*DigesterN2OEF))/100</f>
        <v>5.0000000000000001E-4</v>
      </c>
      <c r="Q54" s="26">
        <f>(('Mitigation drivers'!L12*LagoonN2O)+('Mitigation drivers'!L13*LiquidN2O)+('Mitigation drivers'!L14*DrylotN2O)+('Mitigation drivers'!L15*SolidStorageN2O)+('Mitigation drivers'!L16*DailyspreadN2O)+('Mitigation drivers'!L17*CompostN2O)+('Mitigation drivers'!L18*ManwithbedN2O)+('Mitigation drivers'!L19*PMwithoutlitterN2O)+('Mitigation drivers'!L20*PMwithlitterN2O)+('Mitigation drivers'!L22*DigesterN2OEF))/100</f>
        <v>5.0000000000000001E-4</v>
      </c>
      <c r="R54" s="26">
        <f>(('Mitigation drivers'!M12*LagoonN2O)+('Mitigation drivers'!M13*LiquidN2O)+('Mitigation drivers'!M14*DrylotN2O)+('Mitigation drivers'!M15*SolidStorageN2O)+('Mitigation drivers'!M16*DailyspreadN2O)+('Mitigation drivers'!M17*CompostN2O)+('Mitigation drivers'!M18*ManwithbedN2O)+('Mitigation drivers'!M19*PMwithoutlitterN2O)+('Mitigation drivers'!M20*PMwithlitterN2O)+('Mitigation drivers'!M22*DigesterN2OEF))/100</f>
        <v>5.0000000000000001E-4</v>
      </c>
      <c r="S54" s="26">
        <f>(('Mitigation drivers'!N12*LagoonN2O)+('Mitigation drivers'!N13*LiquidN2O)+('Mitigation drivers'!N14*DrylotN2O)+('Mitigation drivers'!N15*SolidStorageN2O)+('Mitigation drivers'!N16*DailyspreadN2O)+('Mitigation drivers'!N17*CompostN2O)+('Mitigation drivers'!N18*ManwithbedN2O)+('Mitigation drivers'!N19*PMwithoutlitterN2O)+('Mitigation drivers'!N20*PMwithlitterN2O)+('Mitigation drivers'!N22*DigesterN2OEF))/100</f>
        <v>5.0000000000000001E-4</v>
      </c>
      <c r="T54" s="26">
        <f>(('Mitigation drivers'!O12*LagoonN2O)+('Mitigation drivers'!O13*LiquidN2O)+('Mitigation drivers'!O14*DrylotN2O)+('Mitigation drivers'!O15*SolidStorageN2O)+('Mitigation drivers'!O16*DailyspreadN2O)+('Mitigation drivers'!O17*CompostN2O)+('Mitigation drivers'!O18*ManwithbedN2O)+('Mitigation drivers'!O19*PMwithoutlitterN2O)+('Mitigation drivers'!O20*PMwithlitterN2O)+('Mitigation drivers'!O22*DigesterN2OEF))/100</f>
        <v>5.0000000000000001E-4</v>
      </c>
      <c r="U54" s="26">
        <f>(('Mitigation drivers'!P12*LagoonN2O)+('Mitigation drivers'!P13*LiquidN2O)+('Mitigation drivers'!P14*DrylotN2O)+('Mitigation drivers'!P15*SolidStorageN2O)+('Mitigation drivers'!P16*DailyspreadN2O)+('Mitigation drivers'!P17*CompostN2O)+('Mitigation drivers'!P18*ManwithbedN2O)+('Mitigation drivers'!P19*PMwithoutlitterN2O)+('Mitigation drivers'!P20*PMwithlitterN2O)+('Mitigation drivers'!P22*DigesterN2OEF))/100</f>
        <v>5.0000000000000001E-4</v>
      </c>
      <c r="V54" s="26">
        <f>(('Mitigation drivers'!Q12*LagoonN2O)+('Mitigation drivers'!Q13*LiquidN2O)+('Mitigation drivers'!Q14*DrylotN2O)+('Mitigation drivers'!Q15*SolidStorageN2O)+('Mitigation drivers'!Q16*DailyspreadN2O)+('Mitigation drivers'!Q17*CompostN2O)+('Mitigation drivers'!Q18*ManwithbedN2O)+('Mitigation drivers'!Q19*PMwithoutlitterN2O)+('Mitigation drivers'!Q20*PMwithlitterN2O)+('Mitigation drivers'!Q22*DigesterN2OEF))/100</f>
        <v>5.0000000000000001E-4</v>
      </c>
      <c r="W54" s="26">
        <f>(('Mitigation drivers'!R12*LagoonN2O)+('Mitigation drivers'!R13*LiquidN2O)+('Mitigation drivers'!R14*DrylotN2O)+('Mitigation drivers'!R15*SolidStorageN2O)+('Mitigation drivers'!R16*DailyspreadN2O)+('Mitigation drivers'!R17*CompostN2O)+('Mitigation drivers'!R18*ManwithbedN2O)+('Mitigation drivers'!R19*PMwithoutlitterN2O)+('Mitigation drivers'!R20*PMwithlitterN2O)+('Mitigation drivers'!R22*DigesterN2OEF))/100</f>
        <v>5.0000000000000001E-4</v>
      </c>
      <c r="X54" s="26">
        <f>(('Mitigation drivers'!S12*LagoonN2O)+('Mitigation drivers'!S13*LiquidN2O)+('Mitigation drivers'!S14*DrylotN2O)+('Mitigation drivers'!S15*SolidStorageN2O)+('Mitigation drivers'!S16*DailyspreadN2O)+('Mitigation drivers'!S17*CompostN2O)+('Mitigation drivers'!S18*ManwithbedN2O)+('Mitigation drivers'!S19*PMwithoutlitterN2O)+('Mitigation drivers'!S20*PMwithlitterN2O)+('Mitigation drivers'!S22*DigesterN2OEF))/100</f>
        <v>5.0000000000000001E-4</v>
      </c>
      <c r="Y54" s="26">
        <f>(('Mitigation drivers'!T12*LagoonN2O)+('Mitigation drivers'!T13*LiquidN2O)+('Mitigation drivers'!T14*DrylotN2O)+('Mitigation drivers'!T15*SolidStorageN2O)+('Mitigation drivers'!T16*DailyspreadN2O)+('Mitigation drivers'!T17*CompostN2O)+('Mitigation drivers'!T18*ManwithbedN2O)+('Mitigation drivers'!T19*PMwithoutlitterN2O)+('Mitigation drivers'!T20*PMwithlitterN2O)+('Mitigation drivers'!T22*DigesterN2OEF))/100</f>
        <v>5.0000000000000001E-4</v>
      </c>
      <c r="Z54" s="26">
        <f>(('Mitigation drivers'!U12*LagoonN2O)+('Mitigation drivers'!U13*LiquidN2O)+('Mitigation drivers'!U14*DrylotN2O)+('Mitigation drivers'!U15*SolidStorageN2O)+('Mitigation drivers'!U16*DailyspreadN2O)+('Mitigation drivers'!U17*CompostN2O)+('Mitigation drivers'!U18*ManwithbedN2O)+('Mitigation drivers'!U19*PMwithoutlitterN2O)+('Mitigation drivers'!U20*PMwithlitterN2O)+('Mitigation drivers'!U22*DigesterN2OEF))/100</f>
        <v>5.0000000000000001E-4</v>
      </c>
      <c r="AA54" s="26">
        <f>(('Mitigation drivers'!V12*LagoonN2O)+('Mitigation drivers'!V13*LiquidN2O)+('Mitigation drivers'!V14*DrylotN2O)+('Mitigation drivers'!V15*SolidStorageN2O)+('Mitigation drivers'!V16*DailyspreadN2O)+('Mitigation drivers'!V17*CompostN2O)+('Mitigation drivers'!V18*ManwithbedN2O)+('Mitigation drivers'!V19*PMwithoutlitterN2O)+('Mitigation drivers'!V20*PMwithlitterN2O)+('Mitigation drivers'!V22*DigesterN2OEF))/100</f>
        <v>5.0000000000000001E-4</v>
      </c>
      <c r="AB54" s="26">
        <f>(('Mitigation drivers'!W12*LagoonN2O)+('Mitigation drivers'!W13*LiquidN2O)+('Mitigation drivers'!W14*DrylotN2O)+('Mitigation drivers'!W15*SolidStorageN2O)+('Mitigation drivers'!W16*DailyspreadN2O)+('Mitigation drivers'!W17*CompostN2O)+('Mitigation drivers'!W18*ManwithbedN2O)+('Mitigation drivers'!W19*PMwithoutlitterN2O)+('Mitigation drivers'!W20*PMwithlitterN2O)+('Mitigation drivers'!W22*DigesterN2OEF))/100</f>
        <v>5.0000000000000001E-4</v>
      </c>
      <c r="AC54" s="26">
        <f>(('Mitigation drivers'!X12*LagoonN2O)+('Mitigation drivers'!X13*LiquidN2O)+('Mitigation drivers'!X14*DrylotN2O)+('Mitigation drivers'!X15*SolidStorageN2O)+('Mitigation drivers'!X16*DailyspreadN2O)+('Mitigation drivers'!X17*CompostN2O)+('Mitigation drivers'!X18*ManwithbedN2O)+('Mitigation drivers'!X19*PMwithoutlitterN2O)+('Mitigation drivers'!X20*PMwithlitterN2O)+('Mitigation drivers'!X22*DigesterN2OEF))/100</f>
        <v>5.0000000000000001E-4</v>
      </c>
      <c r="AD54" s="26">
        <f>(('Mitigation drivers'!Y12*LagoonN2O)+('Mitigation drivers'!Y13*LiquidN2O)+('Mitigation drivers'!Y14*DrylotN2O)+('Mitigation drivers'!Y15*SolidStorageN2O)+('Mitigation drivers'!Y16*DailyspreadN2O)+('Mitigation drivers'!Y17*CompostN2O)+('Mitigation drivers'!Y18*ManwithbedN2O)+('Mitigation drivers'!Y19*PMwithoutlitterN2O)+('Mitigation drivers'!Y20*PMwithlitterN2O)+('Mitigation drivers'!Y22*DigesterN2OEF))/100</f>
        <v>5.0000000000000001E-4</v>
      </c>
      <c r="AE54" s="26">
        <f>(('Mitigation drivers'!Z12*LagoonN2O)+('Mitigation drivers'!Z13*LiquidN2O)+('Mitigation drivers'!Z14*DrylotN2O)+('Mitigation drivers'!Z15*SolidStorageN2O)+('Mitigation drivers'!Z16*DailyspreadN2O)+('Mitigation drivers'!Z17*CompostN2O)+('Mitigation drivers'!Z18*ManwithbedN2O)+('Mitigation drivers'!Z19*PMwithoutlitterN2O)+('Mitigation drivers'!Z20*PMwithlitterN2O)+('Mitigation drivers'!Z22*DigesterN2OEF))/100</f>
        <v>5.0000000000000001E-4</v>
      </c>
      <c r="AF54" s="26">
        <f>(('Mitigation drivers'!AA12*LagoonN2O)+('Mitigation drivers'!AA13*LiquidN2O)+('Mitigation drivers'!AA14*DrylotN2O)+('Mitigation drivers'!AA15*SolidStorageN2O)+('Mitigation drivers'!AA16*DailyspreadN2O)+('Mitigation drivers'!AA17*CompostN2O)+('Mitigation drivers'!AA18*ManwithbedN2O)+('Mitigation drivers'!AA19*PMwithoutlitterN2O)+('Mitigation drivers'!AA20*PMwithlitterN2O)+('Mitigation drivers'!AA22*DigesterN2OEF))/100</f>
        <v>5.0000000000000001E-4</v>
      </c>
      <c r="AG54" s="26">
        <f>(('Mitigation drivers'!AB12*LagoonN2O)+('Mitigation drivers'!AB13*LiquidN2O)+('Mitigation drivers'!AB14*DrylotN2O)+('Mitigation drivers'!AB15*SolidStorageN2O)+('Mitigation drivers'!AB16*DailyspreadN2O)+('Mitigation drivers'!AB17*CompostN2O)+('Mitigation drivers'!AB18*ManwithbedN2O)+('Mitigation drivers'!AB19*PMwithoutlitterN2O)+('Mitigation drivers'!AB20*PMwithlitterN2O)+('Mitigation drivers'!AB22*DigesterN2OEF))/100</f>
        <v>5.0000000000000001E-4</v>
      </c>
      <c r="AH54" s="26">
        <f>(('Mitigation drivers'!AC12*LagoonN2O)+('Mitigation drivers'!AC13*LiquidN2O)+('Mitigation drivers'!AC14*DrylotN2O)+('Mitigation drivers'!AC15*SolidStorageN2O)+('Mitigation drivers'!AC16*DailyspreadN2O)+('Mitigation drivers'!AC17*CompostN2O)+('Mitigation drivers'!AC18*ManwithbedN2O)+('Mitigation drivers'!AC19*PMwithoutlitterN2O)+('Mitigation drivers'!AC20*PMwithlitterN2O)+('Mitigation drivers'!AC22*DigesterN2OEF))/100</f>
        <v>5.0000000000000001E-4</v>
      </c>
      <c r="AI54" s="26">
        <f>(('Mitigation drivers'!AD12*LagoonN2O)+('Mitigation drivers'!AD13*LiquidN2O)+('Mitigation drivers'!AD14*DrylotN2O)+('Mitigation drivers'!AD15*SolidStorageN2O)+('Mitigation drivers'!AD16*DailyspreadN2O)+('Mitigation drivers'!AD17*CompostN2O)+('Mitigation drivers'!AD18*ManwithbedN2O)+('Mitigation drivers'!AD19*PMwithoutlitterN2O)+('Mitigation drivers'!AD20*PMwithlitterN2O)+('Mitigation drivers'!AD22*DigesterN2OEF))/100</f>
        <v>5.0000000000000001E-4</v>
      </c>
      <c r="AJ54" s="26">
        <f>(('Mitigation drivers'!AE12*LagoonN2O)+('Mitigation drivers'!AE13*LiquidN2O)+('Mitigation drivers'!AE14*DrylotN2O)+('Mitigation drivers'!AE15*SolidStorageN2O)+('Mitigation drivers'!AE16*DailyspreadN2O)+('Mitigation drivers'!AE17*CompostN2O)+('Mitigation drivers'!AE18*ManwithbedN2O)+('Mitigation drivers'!AE19*PMwithoutlitterN2O)+('Mitigation drivers'!AE20*PMwithlitterN2O)+('Mitigation drivers'!AE22*DigesterN2OEF))/100</f>
        <v>5.0000000000000001E-4</v>
      </c>
      <c r="AK54" s="26">
        <f>(('Mitigation drivers'!AF12*LagoonN2O)+('Mitigation drivers'!AF13*LiquidN2O)+('Mitigation drivers'!AF14*DrylotN2O)+('Mitigation drivers'!AF15*SolidStorageN2O)+('Mitigation drivers'!AF16*DailyspreadN2O)+('Mitigation drivers'!AF17*CompostN2O)+('Mitigation drivers'!AF18*ManwithbedN2O)+('Mitigation drivers'!AF19*PMwithoutlitterN2O)+('Mitigation drivers'!AF20*PMwithlitterN2O)+('Mitigation drivers'!AF22*DigesterN2OEF))/100</f>
        <v>5.0000000000000001E-4</v>
      </c>
      <c r="AL54" s="26">
        <f>(('Mitigation drivers'!AG12*LagoonN2O)+('Mitigation drivers'!AG13*LiquidN2O)+('Mitigation drivers'!AG14*DrylotN2O)+('Mitigation drivers'!AG15*SolidStorageN2O)+('Mitigation drivers'!AG16*DailyspreadN2O)+('Mitigation drivers'!AG17*CompostN2O)+('Mitigation drivers'!AG18*ManwithbedN2O)+('Mitigation drivers'!AG19*PMwithoutlitterN2O)+('Mitigation drivers'!AG20*PMwithlitterN2O)+('Mitigation drivers'!AG22*DigesterN2OEF))/100</f>
        <v>5.0000000000000001E-4</v>
      </c>
      <c r="AM54" s="26">
        <f>(('Mitigation drivers'!AH12*LagoonN2O)+('Mitigation drivers'!AH13*LiquidN2O)+('Mitigation drivers'!AH14*DrylotN2O)+('Mitigation drivers'!AH15*SolidStorageN2O)+('Mitigation drivers'!AH16*DailyspreadN2O)+('Mitigation drivers'!AH17*CompostN2O)+('Mitigation drivers'!AH18*ManwithbedN2O)+('Mitigation drivers'!AH19*PMwithoutlitterN2O)+('Mitigation drivers'!AH20*PMwithlitterN2O)+('Mitigation drivers'!AH22*DigesterN2OEF))/100</f>
        <v>5.0000000000000001E-4</v>
      </c>
      <c r="AN54" s="26">
        <f>(('Mitigation drivers'!AI12*LagoonN2O)+('Mitigation drivers'!AI13*LiquidN2O)+('Mitigation drivers'!AI14*DrylotN2O)+('Mitigation drivers'!AI15*SolidStorageN2O)+('Mitigation drivers'!AI16*DailyspreadN2O)+('Mitigation drivers'!AI17*CompostN2O)+('Mitigation drivers'!AI18*ManwithbedN2O)+('Mitigation drivers'!AI19*PMwithoutlitterN2O)+('Mitigation drivers'!AI20*PMwithlitterN2O)+('Mitigation drivers'!AI22*DigesterN2OEF))/100</f>
        <v>5.0000000000000001E-4</v>
      </c>
      <c r="AO54" s="26">
        <f>(('Mitigation drivers'!AJ12*LagoonN2O)+('Mitigation drivers'!AJ13*LiquidN2O)+('Mitigation drivers'!AJ14*DrylotN2O)+('Mitigation drivers'!AJ15*SolidStorageN2O)+('Mitigation drivers'!AJ16*DailyspreadN2O)+('Mitigation drivers'!AJ17*CompostN2O)+('Mitigation drivers'!AJ18*ManwithbedN2O)+('Mitigation drivers'!AJ19*PMwithoutlitterN2O)+('Mitigation drivers'!AJ20*PMwithlitterN2O)+('Mitigation drivers'!AJ22*DigesterN2OEF))/100</f>
        <v>5.0000000000000001E-4</v>
      </c>
    </row>
    <row r="55" spans="1:41" x14ac:dyDescent="0.25">
      <c r="A55" t="str">
        <f t="shared" si="1"/>
        <v>3A Livestock</v>
      </c>
      <c r="B55" t="str">
        <f t="shared" si="8"/>
        <v>3A2 Manure management (N2O)</v>
      </c>
      <c r="C55" t="str">
        <f>'Activity data'!C6</f>
        <v>3A1ai Dairy cattle</v>
      </c>
      <c r="D55" t="str">
        <f>'Activity data'!D6</f>
        <v>Pasture</v>
      </c>
      <c r="E55" t="str">
        <f t="shared" si="6"/>
        <v>Manure management EF</v>
      </c>
      <c r="F55" t="str">
        <f>F54</f>
        <v>N2O</v>
      </c>
      <c r="G55" t="str">
        <f>G54</f>
        <v>kg N2O-N/kg Nex</v>
      </c>
      <c r="H55" s="26">
        <f>(('Mitigation drivers'!C24*LagoonN2O)+('Mitigation drivers'!C25*LiquidN2O)+('Mitigation drivers'!C26*DrylotN2O)+('Mitigation drivers'!C27*SolidStorageN2O)+('Mitigation drivers'!C28*DailyspreadN2O)+('Mitigation drivers'!C29*CompostN2O)+('Mitigation drivers'!C30*ManwithbedN2O)+('Mitigation drivers'!C31*PMwithoutlitterN2O)+('Mitigation drivers'!C32*PMwithlitterN2O)+('Mitigation drivers'!C34*DigesterN2OEF))/100</f>
        <v>2.9000000000000002E-3</v>
      </c>
      <c r="I55" s="26">
        <f>(('Mitigation drivers'!D24*LagoonN2O)+('Mitigation drivers'!D25*LiquidN2O)+('Mitigation drivers'!D26*DrylotN2O)+('Mitigation drivers'!D27*SolidStorageN2O)+('Mitigation drivers'!D28*DailyspreadN2O)+('Mitigation drivers'!D29*CompostN2O)+('Mitigation drivers'!D30*ManwithbedN2O)+('Mitigation drivers'!D31*PMwithoutlitterN2O)+('Mitigation drivers'!D32*PMwithlitterN2O)+('Mitigation drivers'!D34*DigesterN2OEF))/100</f>
        <v>2.9000000000000002E-3</v>
      </c>
      <c r="J55" s="26">
        <f>(('Mitigation drivers'!E24*LagoonN2O)+('Mitigation drivers'!E25*LiquidN2O)+('Mitigation drivers'!E26*DrylotN2O)+('Mitigation drivers'!E27*SolidStorageN2O)+('Mitigation drivers'!E28*DailyspreadN2O)+('Mitigation drivers'!E29*CompostN2O)+('Mitigation drivers'!E30*ManwithbedN2O)+('Mitigation drivers'!E31*PMwithoutlitterN2O)+('Mitigation drivers'!E32*PMwithlitterN2O)+('Mitigation drivers'!E34*DigesterN2OEF))/100</f>
        <v>2.9000000000000002E-3</v>
      </c>
      <c r="K55" s="26">
        <f>(('Mitigation drivers'!F24*LagoonN2O)+('Mitigation drivers'!F25*LiquidN2O)+('Mitigation drivers'!F26*DrylotN2O)+('Mitigation drivers'!F27*SolidStorageN2O)+('Mitigation drivers'!F28*DailyspreadN2O)+('Mitigation drivers'!F29*CompostN2O)+('Mitigation drivers'!F30*ManwithbedN2O)+('Mitigation drivers'!F31*PMwithoutlitterN2O)+('Mitigation drivers'!F32*PMwithlitterN2O)+('Mitigation drivers'!F34*DigesterN2OEF))/100</f>
        <v>2.9000000000000002E-3</v>
      </c>
      <c r="L55" s="26">
        <f>(('Mitigation drivers'!G24*LagoonN2O)+('Mitigation drivers'!G25*LiquidN2O)+('Mitigation drivers'!G26*DrylotN2O)+('Mitigation drivers'!G27*SolidStorageN2O)+('Mitigation drivers'!G28*DailyspreadN2O)+('Mitigation drivers'!G29*CompostN2O)+('Mitigation drivers'!G30*ManwithbedN2O)+('Mitigation drivers'!G31*PMwithoutlitterN2O)+('Mitigation drivers'!G32*PMwithlitterN2O)+('Mitigation drivers'!G34*DigesterN2OEF))/100</f>
        <v>2.9000000000000002E-3</v>
      </c>
      <c r="M55" s="26">
        <f>(('Mitigation drivers'!H24*LagoonN2O)+('Mitigation drivers'!H25*LiquidN2O)+('Mitigation drivers'!H26*DrylotN2O)+('Mitigation drivers'!H27*SolidStorageN2O)+('Mitigation drivers'!H28*DailyspreadN2O)+('Mitigation drivers'!H29*CompostN2O)+('Mitigation drivers'!H30*ManwithbedN2O)+('Mitigation drivers'!H31*PMwithoutlitterN2O)+('Mitigation drivers'!H32*PMwithlitterN2O)+('Mitigation drivers'!H34*DigesterN2OEF))/100</f>
        <v>2.9000000000000002E-3</v>
      </c>
      <c r="N55" s="26">
        <f>(('Mitigation drivers'!I24*LagoonN2O)+('Mitigation drivers'!I25*LiquidN2O)+('Mitigation drivers'!I26*DrylotN2O)+('Mitigation drivers'!I27*SolidStorageN2O)+('Mitigation drivers'!I28*DailyspreadN2O)+('Mitigation drivers'!I29*CompostN2O)+('Mitigation drivers'!I30*ManwithbedN2O)+('Mitigation drivers'!I31*PMwithoutlitterN2O)+('Mitigation drivers'!I32*PMwithlitterN2O)+('Mitigation drivers'!I34*DigesterN2OEF))/100</f>
        <v>2.9000000000000002E-3</v>
      </c>
      <c r="O55" s="26">
        <f>(('Mitigation drivers'!J24*LagoonN2O)+('Mitigation drivers'!J25*LiquidN2O)+('Mitigation drivers'!J26*DrylotN2O)+('Mitigation drivers'!J27*SolidStorageN2O)+('Mitigation drivers'!J28*DailyspreadN2O)+('Mitigation drivers'!J29*CompostN2O)+('Mitigation drivers'!J30*ManwithbedN2O)+('Mitigation drivers'!J31*PMwithoutlitterN2O)+('Mitigation drivers'!J32*PMwithlitterN2O)+('Mitigation drivers'!J34*DigesterN2OEF))/100</f>
        <v>2.9000000000000002E-3</v>
      </c>
      <c r="P55" s="26">
        <f>(('Mitigation drivers'!K24*LagoonN2O)+('Mitigation drivers'!K25*LiquidN2O)+('Mitigation drivers'!K26*DrylotN2O)+('Mitigation drivers'!K27*SolidStorageN2O)+('Mitigation drivers'!K28*DailyspreadN2O)+('Mitigation drivers'!K29*CompostN2O)+('Mitigation drivers'!K30*ManwithbedN2O)+('Mitigation drivers'!K31*PMwithoutlitterN2O)+('Mitigation drivers'!K32*PMwithlitterN2O)+('Mitigation drivers'!K34*DigesterN2OEF))/100</f>
        <v>2.9000000000000002E-3</v>
      </c>
      <c r="Q55" s="26">
        <f>(('Mitigation drivers'!L24*LagoonN2O)+('Mitigation drivers'!L25*LiquidN2O)+('Mitigation drivers'!L26*DrylotN2O)+('Mitigation drivers'!L27*SolidStorageN2O)+('Mitigation drivers'!L28*DailyspreadN2O)+('Mitigation drivers'!L29*CompostN2O)+('Mitigation drivers'!L30*ManwithbedN2O)+('Mitigation drivers'!L31*PMwithoutlitterN2O)+('Mitigation drivers'!L32*PMwithlitterN2O)+('Mitigation drivers'!L34*DigesterN2OEF))/100</f>
        <v>2.9000000000000002E-3</v>
      </c>
      <c r="R55" s="26">
        <f>(('Mitigation drivers'!M24*LagoonN2O)+('Mitigation drivers'!M25*LiquidN2O)+('Mitigation drivers'!M26*DrylotN2O)+('Mitigation drivers'!M27*SolidStorageN2O)+('Mitigation drivers'!M28*DailyspreadN2O)+('Mitigation drivers'!M29*CompostN2O)+('Mitigation drivers'!M30*ManwithbedN2O)+('Mitigation drivers'!M31*PMwithoutlitterN2O)+('Mitigation drivers'!M32*PMwithlitterN2O)+('Mitigation drivers'!M34*DigesterN2OEF))/100</f>
        <v>2.9000000000000002E-3</v>
      </c>
      <c r="S55" s="26">
        <f>(('Mitigation drivers'!N24*LagoonN2O)+('Mitigation drivers'!N25*LiquidN2O)+('Mitigation drivers'!N26*DrylotN2O)+('Mitigation drivers'!N27*SolidStorageN2O)+('Mitigation drivers'!N28*DailyspreadN2O)+('Mitigation drivers'!N29*CompostN2O)+('Mitigation drivers'!N30*ManwithbedN2O)+('Mitigation drivers'!N31*PMwithoutlitterN2O)+('Mitigation drivers'!N32*PMwithlitterN2O)+('Mitigation drivers'!N34*DigesterN2OEF))/100</f>
        <v>2.9000000000000002E-3</v>
      </c>
      <c r="T55" s="26">
        <f>(('Mitigation drivers'!O24*LagoonN2O)+('Mitigation drivers'!O25*LiquidN2O)+('Mitigation drivers'!O26*DrylotN2O)+('Mitigation drivers'!O27*SolidStorageN2O)+('Mitigation drivers'!O28*DailyspreadN2O)+('Mitigation drivers'!O29*CompostN2O)+('Mitigation drivers'!O30*ManwithbedN2O)+('Mitigation drivers'!O31*PMwithoutlitterN2O)+('Mitigation drivers'!O32*PMwithlitterN2O)+('Mitigation drivers'!O34*DigesterN2OEF))/100</f>
        <v>2.9000000000000002E-3</v>
      </c>
      <c r="U55" s="26">
        <f>(('Mitigation drivers'!P24*LagoonN2O)+('Mitigation drivers'!P25*LiquidN2O)+('Mitigation drivers'!P26*DrylotN2O)+('Mitigation drivers'!P27*SolidStorageN2O)+('Mitigation drivers'!P28*DailyspreadN2O)+('Mitigation drivers'!P29*CompostN2O)+('Mitigation drivers'!P30*ManwithbedN2O)+('Mitigation drivers'!P31*PMwithoutlitterN2O)+('Mitigation drivers'!P32*PMwithlitterN2O)+('Mitigation drivers'!P34*DigesterN2OEF))/100</f>
        <v>2.9000000000000002E-3</v>
      </c>
      <c r="V55" s="26">
        <f>(('Mitigation drivers'!Q24*LagoonN2O)+('Mitigation drivers'!Q25*LiquidN2O)+('Mitigation drivers'!Q26*DrylotN2O)+('Mitigation drivers'!Q27*SolidStorageN2O)+('Mitigation drivers'!Q28*DailyspreadN2O)+('Mitigation drivers'!Q29*CompostN2O)+('Mitigation drivers'!Q30*ManwithbedN2O)+('Mitigation drivers'!Q31*PMwithoutlitterN2O)+('Mitigation drivers'!Q32*PMwithlitterN2O)+('Mitigation drivers'!Q34*DigesterN2OEF))/100</f>
        <v>2.9000000000000002E-3</v>
      </c>
      <c r="W55" s="26">
        <f>(('Mitigation drivers'!R24*LagoonN2O)+('Mitigation drivers'!R25*LiquidN2O)+('Mitigation drivers'!R26*DrylotN2O)+('Mitigation drivers'!R27*SolidStorageN2O)+('Mitigation drivers'!R28*DailyspreadN2O)+('Mitigation drivers'!R29*CompostN2O)+('Mitigation drivers'!R30*ManwithbedN2O)+('Mitigation drivers'!R31*PMwithoutlitterN2O)+('Mitigation drivers'!R32*PMwithlitterN2O)+('Mitigation drivers'!R34*DigesterN2OEF))/100</f>
        <v>2.9000000000000002E-3</v>
      </c>
      <c r="X55" s="26">
        <f>(('Mitigation drivers'!S24*LagoonN2O)+('Mitigation drivers'!S25*LiquidN2O)+('Mitigation drivers'!S26*DrylotN2O)+('Mitigation drivers'!S27*SolidStorageN2O)+('Mitigation drivers'!S28*DailyspreadN2O)+('Mitigation drivers'!S29*CompostN2O)+('Mitigation drivers'!S30*ManwithbedN2O)+('Mitigation drivers'!S31*PMwithoutlitterN2O)+('Mitigation drivers'!S32*PMwithlitterN2O)+('Mitigation drivers'!S34*DigesterN2OEF))/100</f>
        <v>2.9000000000000002E-3</v>
      </c>
      <c r="Y55" s="26">
        <f>(('Mitigation drivers'!T24*LagoonN2O)+('Mitigation drivers'!T25*LiquidN2O)+('Mitigation drivers'!T26*DrylotN2O)+('Mitigation drivers'!T27*SolidStorageN2O)+('Mitigation drivers'!T28*DailyspreadN2O)+('Mitigation drivers'!T29*CompostN2O)+('Mitigation drivers'!T30*ManwithbedN2O)+('Mitigation drivers'!T31*PMwithoutlitterN2O)+('Mitigation drivers'!T32*PMwithlitterN2O)+('Mitigation drivers'!T34*DigesterN2OEF))/100</f>
        <v>2.9000000000000002E-3</v>
      </c>
      <c r="Z55" s="26">
        <f>(('Mitigation drivers'!U24*LagoonN2O)+('Mitigation drivers'!U25*LiquidN2O)+('Mitigation drivers'!U26*DrylotN2O)+('Mitigation drivers'!U27*SolidStorageN2O)+('Mitigation drivers'!U28*DailyspreadN2O)+('Mitigation drivers'!U29*CompostN2O)+('Mitigation drivers'!U30*ManwithbedN2O)+('Mitigation drivers'!U31*PMwithoutlitterN2O)+('Mitigation drivers'!U32*PMwithlitterN2O)+('Mitigation drivers'!U34*DigesterN2OEF))/100</f>
        <v>2.9000000000000002E-3</v>
      </c>
      <c r="AA55" s="26">
        <f>(('Mitigation drivers'!V24*LagoonN2O)+('Mitigation drivers'!V25*LiquidN2O)+('Mitigation drivers'!V26*DrylotN2O)+('Mitigation drivers'!V27*SolidStorageN2O)+('Mitigation drivers'!V28*DailyspreadN2O)+('Mitigation drivers'!V29*CompostN2O)+('Mitigation drivers'!V30*ManwithbedN2O)+('Mitigation drivers'!V31*PMwithoutlitterN2O)+('Mitigation drivers'!V32*PMwithlitterN2O)+('Mitigation drivers'!V34*DigesterN2OEF))/100</f>
        <v>2.9000000000000002E-3</v>
      </c>
      <c r="AB55" s="26">
        <f>(('Mitigation drivers'!W24*LagoonN2O)+('Mitigation drivers'!W25*LiquidN2O)+('Mitigation drivers'!W26*DrylotN2O)+('Mitigation drivers'!W27*SolidStorageN2O)+('Mitigation drivers'!W28*DailyspreadN2O)+('Mitigation drivers'!W29*CompostN2O)+('Mitigation drivers'!W30*ManwithbedN2O)+('Mitigation drivers'!W31*PMwithoutlitterN2O)+('Mitigation drivers'!W32*PMwithlitterN2O)+('Mitigation drivers'!W34*DigesterN2OEF))/100</f>
        <v>2.9000000000000002E-3</v>
      </c>
      <c r="AC55" s="26">
        <f>(('Mitigation drivers'!X24*LagoonN2O)+('Mitigation drivers'!X25*LiquidN2O)+('Mitigation drivers'!X26*DrylotN2O)+('Mitigation drivers'!X27*SolidStorageN2O)+('Mitigation drivers'!X28*DailyspreadN2O)+('Mitigation drivers'!X29*CompostN2O)+('Mitigation drivers'!X30*ManwithbedN2O)+('Mitigation drivers'!X31*PMwithoutlitterN2O)+('Mitigation drivers'!X32*PMwithlitterN2O)+('Mitigation drivers'!X34*DigesterN2OEF))/100</f>
        <v>2.9000000000000002E-3</v>
      </c>
      <c r="AD55" s="26">
        <f>(('Mitigation drivers'!Y24*LagoonN2O)+('Mitigation drivers'!Y25*LiquidN2O)+('Mitigation drivers'!Y26*DrylotN2O)+('Mitigation drivers'!Y27*SolidStorageN2O)+('Mitigation drivers'!Y28*DailyspreadN2O)+('Mitigation drivers'!Y29*CompostN2O)+('Mitigation drivers'!Y30*ManwithbedN2O)+('Mitigation drivers'!Y31*PMwithoutlitterN2O)+('Mitigation drivers'!Y32*PMwithlitterN2O)+('Mitigation drivers'!Y34*DigesterN2OEF))/100</f>
        <v>2.9000000000000002E-3</v>
      </c>
      <c r="AE55" s="26">
        <f>(('Mitigation drivers'!Z24*LagoonN2O)+('Mitigation drivers'!Z25*LiquidN2O)+('Mitigation drivers'!Z26*DrylotN2O)+('Mitigation drivers'!Z27*SolidStorageN2O)+('Mitigation drivers'!Z28*DailyspreadN2O)+('Mitigation drivers'!Z29*CompostN2O)+('Mitigation drivers'!Z30*ManwithbedN2O)+('Mitigation drivers'!Z31*PMwithoutlitterN2O)+('Mitigation drivers'!Z32*PMwithlitterN2O)+('Mitigation drivers'!Z34*DigesterN2OEF))/100</f>
        <v>2.9000000000000002E-3</v>
      </c>
      <c r="AF55" s="26">
        <f>(('Mitigation drivers'!AA24*LagoonN2O)+('Mitigation drivers'!AA25*LiquidN2O)+('Mitigation drivers'!AA26*DrylotN2O)+('Mitigation drivers'!AA27*SolidStorageN2O)+('Mitigation drivers'!AA28*DailyspreadN2O)+('Mitigation drivers'!AA29*CompostN2O)+('Mitigation drivers'!AA30*ManwithbedN2O)+('Mitigation drivers'!AA31*PMwithoutlitterN2O)+('Mitigation drivers'!AA32*PMwithlitterN2O)+('Mitigation drivers'!AA34*DigesterN2OEF))/100</f>
        <v>2.9000000000000002E-3</v>
      </c>
      <c r="AG55" s="26">
        <f>(('Mitigation drivers'!AB24*LagoonN2O)+('Mitigation drivers'!AB25*LiquidN2O)+('Mitigation drivers'!AB26*DrylotN2O)+('Mitigation drivers'!AB27*SolidStorageN2O)+('Mitigation drivers'!AB28*DailyspreadN2O)+('Mitigation drivers'!AB29*CompostN2O)+('Mitigation drivers'!AB30*ManwithbedN2O)+('Mitigation drivers'!AB31*PMwithoutlitterN2O)+('Mitigation drivers'!AB32*PMwithlitterN2O)+('Mitigation drivers'!AB34*DigesterN2OEF))/100</f>
        <v>2.9000000000000002E-3</v>
      </c>
      <c r="AH55" s="26">
        <f>(('Mitigation drivers'!AC24*LagoonN2O)+('Mitigation drivers'!AC25*LiquidN2O)+('Mitigation drivers'!AC26*DrylotN2O)+('Mitigation drivers'!AC27*SolidStorageN2O)+('Mitigation drivers'!AC28*DailyspreadN2O)+('Mitigation drivers'!AC29*CompostN2O)+('Mitigation drivers'!AC30*ManwithbedN2O)+('Mitigation drivers'!AC31*PMwithoutlitterN2O)+('Mitigation drivers'!AC32*PMwithlitterN2O)+('Mitigation drivers'!AC34*DigesterN2OEF))/100</f>
        <v>2.9000000000000002E-3</v>
      </c>
      <c r="AI55" s="26">
        <f>(('Mitigation drivers'!AD24*LagoonN2O)+('Mitigation drivers'!AD25*LiquidN2O)+('Mitigation drivers'!AD26*DrylotN2O)+('Mitigation drivers'!AD27*SolidStorageN2O)+('Mitigation drivers'!AD28*DailyspreadN2O)+('Mitigation drivers'!AD29*CompostN2O)+('Mitigation drivers'!AD30*ManwithbedN2O)+('Mitigation drivers'!AD31*PMwithoutlitterN2O)+('Mitigation drivers'!AD32*PMwithlitterN2O)+('Mitigation drivers'!AD34*DigesterN2OEF))/100</f>
        <v>2.9000000000000002E-3</v>
      </c>
      <c r="AJ55" s="26">
        <f>(('Mitigation drivers'!AE24*LagoonN2O)+('Mitigation drivers'!AE25*LiquidN2O)+('Mitigation drivers'!AE26*DrylotN2O)+('Mitigation drivers'!AE27*SolidStorageN2O)+('Mitigation drivers'!AE28*DailyspreadN2O)+('Mitigation drivers'!AE29*CompostN2O)+('Mitigation drivers'!AE30*ManwithbedN2O)+('Mitigation drivers'!AE31*PMwithoutlitterN2O)+('Mitigation drivers'!AE32*PMwithlitterN2O)+('Mitigation drivers'!AE34*DigesterN2OEF))/100</f>
        <v>2.9000000000000002E-3</v>
      </c>
      <c r="AK55" s="26">
        <f>(('Mitigation drivers'!AF24*LagoonN2O)+('Mitigation drivers'!AF25*LiquidN2O)+('Mitigation drivers'!AF26*DrylotN2O)+('Mitigation drivers'!AF27*SolidStorageN2O)+('Mitigation drivers'!AF28*DailyspreadN2O)+('Mitigation drivers'!AF29*CompostN2O)+('Mitigation drivers'!AF30*ManwithbedN2O)+('Mitigation drivers'!AF31*PMwithoutlitterN2O)+('Mitigation drivers'!AF32*PMwithlitterN2O)+('Mitigation drivers'!AF34*DigesterN2OEF))/100</f>
        <v>2.9000000000000002E-3</v>
      </c>
      <c r="AL55" s="26">
        <f>(('Mitigation drivers'!AG24*LagoonN2O)+('Mitigation drivers'!AG25*LiquidN2O)+('Mitigation drivers'!AG26*DrylotN2O)+('Mitigation drivers'!AG27*SolidStorageN2O)+('Mitigation drivers'!AG28*DailyspreadN2O)+('Mitigation drivers'!AG29*CompostN2O)+('Mitigation drivers'!AG30*ManwithbedN2O)+('Mitigation drivers'!AG31*PMwithoutlitterN2O)+('Mitigation drivers'!AG32*PMwithlitterN2O)+('Mitigation drivers'!AG34*DigesterN2OEF))/100</f>
        <v>2.9000000000000002E-3</v>
      </c>
      <c r="AM55" s="26">
        <f>(('Mitigation drivers'!AH24*LagoonN2O)+('Mitigation drivers'!AH25*LiquidN2O)+('Mitigation drivers'!AH26*DrylotN2O)+('Mitigation drivers'!AH27*SolidStorageN2O)+('Mitigation drivers'!AH28*DailyspreadN2O)+('Mitigation drivers'!AH29*CompostN2O)+('Mitigation drivers'!AH30*ManwithbedN2O)+('Mitigation drivers'!AH31*PMwithoutlitterN2O)+('Mitigation drivers'!AH32*PMwithlitterN2O)+('Mitigation drivers'!AH34*DigesterN2OEF))/100</f>
        <v>2.9000000000000002E-3</v>
      </c>
      <c r="AN55" s="26">
        <f>(('Mitigation drivers'!AI24*LagoonN2O)+('Mitigation drivers'!AI25*LiquidN2O)+('Mitigation drivers'!AI26*DrylotN2O)+('Mitigation drivers'!AI27*SolidStorageN2O)+('Mitigation drivers'!AI28*DailyspreadN2O)+('Mitigation drivers'!AI29*CompostN2O)+('Mitigation drivers'!AI30*ManwithbedN2O)+('Mitigation drivers'!AI31*PMwithoutlitterN2O)+('Mitigation drivers'!AI32*PMwithlitterN2O)+('Mitigation drivers'!AI34*DigesterN2OEF))/100</f>
        <v>2.9000000000000002E-3</v>
      </c>
      <c r="AO55" s="26">
        <f>(('Mitigation drivers'!AJ24*LagoonN2O)+('Mitigation drivers'!AJ25*LiquidN2O)+('Mitigation drivers'!AJ26*DrylotN2O)+('Mitigation drivers'!AJ27*SolidStorageN2O)+('Mitigation drivers'!AJ28*DailyspreadN2O)+('Mitigation drivers'!AJ29*CompostN2O)+('Mitigation drivers'!AJ30*ManwithbedN2O)+('Mitigation drivers'!AJ31*PMwithoutlitterN2O)+('Mitigation drivers'!AJ32*PMwithlitterN2O)+('Mitigation drivers'!AJ34*DigesterN2OEF))/100</f>
        <v>2.9000000000000002E-3</v>
      </c>
    </row>
    <row r="56" spans="1:41" x14ac:dyDescent="0.25">
      <c r="A56" t="str">
        <f t="shared" si="1"/>
        <v>3A Livestock</v>
      </c>
      <c r="B56" t="str">
        <f t="shared" si="8"/>
        <v>3A2 Manure management (N2O)</v>
      </c>
      <c r="C56" t="str">
        <f>'Activity data'!C7</f>
        <v>3A1aii Other cattle</v>
      </c>
      <c r="D56" t="str">
        <f>'Activity data'!D7</f>
        <v>Non-lactating</v>
      </c>
      <c r="E56" t="str">
        <f t="shared" si="6"/>
        <v>Manure management EF</v>
      </c>
      <c r="F56" t="str">
        <f>F55</f>
        <v>N2O</v>
      </c>
      <c r="G56" t="str">
        <f>G55</f>
        <v>kg N2O-N/kg Nex</v>
      </c>
      <c r="H56" s="26">
        <f>(('Mitigation drivers'!C36*LagoonN2O)+('Mitigation drivers'!C37*LiquidN2O)+('Mitigation drivers'!C38*DrylotN2O)+('Mitigation drivers'!C39*SolidStorageN2O)+('Mitigation drivers'!C40*DailyspreadN2O)+('Mitigation drivers'!C41*CompostN2O)+('Mitigation drivers'!C42*ManwithbedN2O)+('Mitigation drivers'!C43*PMwithoutlitterN2O)+('Mitigation drivers'!C44*PMwithlitterN2O)+('Mitigation drivers'!C46*DigesterN2OEF))/100</f>
        <v>2.9999999999999997E-4</v>
      </c>
      <c r="I56" s="26">
        <f>(('Mitigation drivers'!D36*LagoonN2O)+('Mitigation drivers'!D37*LiquidN2O)+('Mitigation drivers'!D38*DrylotN2O)+('Mitigation drivers'!D39*SolidStorageN2O)+('Mitigation drivers'!D40*DailyspreadN2O)+('Mitigation drivers'!D41*CompostN2O)+('Mitigation drivers'!D42*ManwithbedN2O)+('Mitigation drivers'!D43*PMwithoutlitterN2O)+('Mitigation drivers'!D44*PMwithlitterN2O)+('Mitigation drivers'!D46*DigesterN2OEF))/100</f>
        <v>2.9999999999999997E-4</v>
      </c>
      <c r="J56" s="26">
        <f>(('Mitigation drivers'!E36*LagoonN2O)+('Mitigation drivers'!E37*LiquidN2O)+('Mitigation drivers'!E38*DrylotN2O)+('Mitigation drivers'!E39*SolidStorageN2O)+('Mitigation drivers'!E40*DailyspreadN2O)+('Mitigation drivers'!E41*CompostN2O)+('Mitigation drivers'!E42*ManwithbedN2O)+('Mitigation drivers'!E43*PMwithoutlitterN2O)+('Mitigation drivers'!E44*PMwithlitterN2O)+('Mitigation drivers'!E46*DigesterN2OEF))/100</f>
        <v>2.9999999999999997E-4</v>
      </c>
      <c r="K56" s="26">
        <f>(('Mitigation drivers'!F36*LagoonN2O)+('Mitigation drivers'!F37*LiquidN2O)+('Mitigation drivers'!F38*DrylotN2O)+('Mitigation drivers'!F39*SolidStorageN2O)+('Mitigation drivers'!F40*DailyspreadN2O)+('Mitigation drivers'!F41*CompostN2O)+('Mitigation drivers'!F42*ManwithbedN2O)+('Mitigation drivers'!F43*PMwithoutlitterN2O)+('Mitigation drivers'!F44*PMwithlitterN2O)+('Mitigation drivers'!F46*DigesterN2OEF))/100</f>
        <v>2.9999999999999997E-4</v>
      </c>
      <c r="L56" s="26">
        <f>(('Mitigation drivers'!G36*LagoonN2O)+('Mitigation drivers'!G37*LiquidN2O)+('Mitigation drivers'!G38*DrylotN2O)+('Mitigation drivers'!G39*SolidStorageN2O)+('Mitigation drivers'!G40*DailyspreadN2O)+('Mitigation drivers'!G41*CompostN2O)+('Mitigation drivers'!G42*ManwithbedN2O)+('Mitigation drivers'!G43*PMwithoutlitterN2O)+('Mitigation drivers'!G44*PMwithlitterN2O)+('Mitigation drivers'!G46*DigesterN2OEF))/100</f>
        <v>2.9999999999999997E-4</v>
      </c>
      <c r="M56" s="26">
        <f>(('Mitigation drivers'!H36*LagoonN2O)+('Mitigation drivers'!H37*LiquidN2O)+('Mitigation drivers'!H38*DrylotN2O)+('Mitigation drivers'!H39*SolidStorageN2O)+('Mitigation drivers'!H40*DailyspreadN2O)+('Mitigation drivers'!H41*CompostN2O)+('Mitigation drivers'!H42*ManwithbedN2O)+('Mitigation drivers'!H43*PMwithoutlitterN2O)+('Mitigation drivers'!H44*PMwithlitterN2O)+('Mitigation drivers'!H46*DigesterN2OEF))/100</f>
        <v>2.9999999999999997E-4</v>
      </c>
      <c r="N56" s="26">
        <f>(('Mitigation drivers'!I36*LagoonN2O)+('Mitigation drivers'!I37*LiquidN2O)+('Mitigation drivers'!I38*DrylotN2O)+('Mitigation drivers'!I39*SolidStorageN2O)+('Mitigation drivers'!I40*DailyspreadN2O)+('Mitigation drivers'!I41*CompostN2O)+('Mitigation drivers'!I42*ManwithbedN2O)+('Mitigation drivers'!I43*PMwithoutlitterN2O)+('Mitigation drivers'!I44*PMwithlitterN2O)+('Mitigation drivers'!I46*DigesterN2OEF))/100</f>
        <v>2.9999999999999997E-4</v>
      </c>
      <c r="O56" s="26">
        <f>(('Mitigation drivers'!J36*LagoonN2O)+('Mitigation drivers'!J37*LiquidN2O)+('Mitigation drivers'!J38*DrylotN2O)+('Mitigation drivers'!J39*SolidStorageN2O)+('Mitigation drivers'!J40*DailyspreadN2O)+('Mitigation drivers'!J41*CompostN2O)+('Mitigation drivers'!J42*ManwithbedN2O)+('Mitigation drivers'!J43*PMwithoutlitterN2O)+('Mitigation drivers'!J44*PMwithlitterN2O)+('Mitigation drivers'!J46*DigesterN2OEF))/100</f>
        <v>2.9999999999999997E-4</v>
      </c>
      <c r="P56" s="26">
        <f>(('Mitigation drivers'!K36*LagoonN2O)+('Mitigation drivers'!K37*LiquidN2O)+('Mitigation drivers'!K38*DrylotN2O)+('Mitigation drivers'!K39*SolidStorageN2O)+('Mitigation drivers'!K40*DailyspreadN2O)+('Mitigation drivers'!K41*CompostN2O)+('Mitigation drivers'!K42*ManwithbedN2O)+('Mitigation drivers'!K43*PMwithoutlitterN2O)+('Mitigation drivers'!K44*PMwithlitterN2O)+('Mitigation drivers'!K46*DigesterN2OEF))/100</f>
        <v>2.9999999999999997E-4</v>
      </c>
      <c r="Q56" s="26">
        <f>(('Mitigation drivers'!L36*LagoonN2O)+('Mitigation drivers'!L37*LiquidN2O)+('Mitigation drivers'!L38*DrylotN2O)+('Mitigation drivers'!L39*SolidStorageN2O)+('Mitigation drivers'!L40*DailyspreadN2O)+('Mitigation drivers'!L41*CompostN2O)+('Mitigation drivers'!L42*ManwithbedN2O)+('Mitigation drivers'!L43*PMwithoutlitterN2O)+('Mitigation drivers'!L44*PMwithlitterN2O)+('Mitigation drivers'!L46*DigesterN2OEF))/100</f>
        <v>2.9999999999999997E-4</v>
      </c>
      <c r="R56" s="26">
        <f>(('Mitigation drivers'!M36*LagoonN2O)+('Mitigation drivers'!M37*LiquidN2O)+('Mitigation drivers'!M38*DrylotN2O)+('Mitigation drivers'!M39*SolidStorageN2O)+('Mitigation drivers'!M40*DailyspreadN2O)+('Mitigation drivers'!M41*CompostN2O)+('Mitigation drivers'!M42*ManwithbedN2O)+('Mitigation drivers'!M43*PMwithoutlitterN2O)+('Mitigation drivers'!M44*PMwithlitterN2O)+('Mitigation drivers'!M46*DigesterN2OEF))/100</f>
        <v>2.9999999999999997E-4</v>
      </c>
      <c r="S56" s="26">
        <f>(('Mitigation drivers'!N36*LagoonN2O)+('Mitigation drivers'!N37*LiquidN2O)+('Mitigation drivers'!N38*DrylotN2O)+('Mitigation drivers'!N39*SolidStorageN2O)+('Mitigation drivers'!N40*DailyspreadN2O)+('Mitigation drivers'!N41*CompostN2O)+('Mitigation drivers'!N42*ManwithbedN2O)+('Mitigation drivers'!N43*PMwithoutlitterN2O)+('Mitigation drivers'!N44*PMwithlitterN2O)+('Mitigation drivers'!N46*DigesterN2OEF))/100</f>
        <v>2.9999999999999997E-4</v>
      </c>
      <c r="T56" s="26">
        <f>(('Mitigation drivers'!O36*LagoonN2O)+('Mitigation drivers'!O37*LiquidN2O)+('Mitigation drivers'!O38*DrylotN2O)+('Mitigation drivers'!O39*SolidStorageN2O)+('Mitigation drivers'!O40*DailyspreadN2O)+('Mitigation drivers'!O41*CompostN2O)+('Mitigation drivers'!O42*ManwithbedN2O)+('Mitigation drivers'!O43*PMwithoutlitterN2O)+('Mitigation drivers'!O44*PMwithlitterN2O)+('Mitigation drivers'!O46*DigesterN2OEF))/100</f>
        <v>2.9999999999999997E-4</v>
      </c>
      <c r="U56" s="26">
        <f>(('Mitigation drivers'!P36*LagoonN2O)+('Mitigation drivers'!P37*LiquidN2O)+('Mitigation drivers'!P38*DrylotN2O)+('Mitigation drivers'!P39*SolidStorageN2O)+('Mitigation drivers'!P40*DailyspreadN2O)+('Mitigation drivers'!P41*CompostN2O)+('Mitigation drivers'!P42*ManwithbedN2O)+('Mitigation drivers'!P43*PMwithoutlitterN2O)+('Mitigation drivers'!P44*PMwithlitterN2O)+('Mitigation drivers'!P46*DigesterN2OEF))/100</f>
        <v>2.9999999999999997E-4</v>
      </c>
      <c r="V56" s="26">
        <f>(('Mitigation drivers'!Q36*LagoonN2O)+('Mitigation drivers'!Q37*LiquidN2O)+('Mitigation drivers'!Q38*DrylotN2O)+('Mitigation drivers'!Q39*SolidStorageN2O)+('Mitigation drivers'!Q40*DailyspreadN2O)+('Mitigation drivers'!Q41*CompostN2O)+('Mitigation drivers'!Q42*ManwithbedN2O)+('Mitigation drivers'!Q43*PMwithoutlitterN2O)+('Mitigation drivers'!Q44*PMwithlitterN2O)+('Mitigation drivers'!Q46*DigesterN2OEF))/100</f>
        <v>2.9999999999999997E-4</v>
      </c>
      <c r="W56" s="26">
        <f>(('Mitigation drivers'!R36*LagoonN2O)+('Mitigation drivers'!R37*LiquidN2O)+('Mitigation drivers'!R38*DrylotN2O)+('Mitigation drivers'!R39*SolidStorageN2O)+('Mitigation drivers'!R40*DailyspreadN2O)+('Mitigation drivers'!R41*CompostN2O)+('Mitigation drivers'!R42*ManwithbedN2O)+('Mitigation drivers'!R43*PMwithoutlitterN2O)+('Mitigation drivers'!R44*PMwithlitterN2O)+('Mitigation drivers'!R46*DigesterN2OEF))/100</f>
        <v>2.9999999999999997E-4</v>
      </c>
      <c r="X56" s="26">
        <f>(('Mitigation drivers'!S36*LagoonN2O)+('Mitigation drivers'!S37*LiquidN2O)+('Mitigation drivers'!S38*DrylotN2O)+('Mitigation drivers'!S39*SolidStorageN2O)+('Mitigation drivers'!S40*DailyspreadN2O)+('Mitigation drivers'!S41*CompostN2O)+('Mitigation drivers'!S42*ManwithbedN2O)+('Mitigation drivers'!S43*PMwithoutlitterN2O)+('Mitigation drivers'!S44*PMwithlitterN2O)+('Mitigation drivers'!S46*DigesterN2OEF))/100</f>
        <v>2.9999999999999997E-4</v>
      </c>
      <c r="Y56" s="26">
        <f>(('Mitigation drivers'!T36*LagoonN2O)+('Mitigation drivers'!T37*LiquidN2O)+('Mitigation drivers'!T38*DrylotN2O)+('Mitigation drivers'!T39*SolidStorageN2O)+('Mitigation drivers'!T40*DailyspreadN2O)+('Mitigation drivers'!T41*CompostN2O)+('Mitigation drivers'!T42*ManwithbedN2O)+('Mitigation drivers'!T43*PMwithoutlitterN2O)+('Mitigation drivers'!T44*PMwithlitterN2O)+('Mitigation drivers'!T46*DigesterN2OEF))/100</f>
        <v>2.9999999999999997E-4</v>
      </c>
      <c r="Z56" s="26">
        <f>(('Mitigation drivers'!U36*LagoonN2O)+('Mitigation drivers'!U37*LiquidN2O)+('Mitigation drivers'!U38*DrylotN2O)+('Mitigation drivers'!U39*SolidStorageN2O)+('Mitigation drivers'!U40*DailyspreadN2O)+('Mitigation drivers'!U41*CompostN2O)+('Mitigation drivers'!U42*ManwithbedN2O)+('Mitigation drivers'!U43*PMwithoutlitterN2O)+('Mitigation drivers'!U44*PMwithlitterN2O)+('Mitigation drivers'!U46*DigesterN2OEF))/100</f>
        <v>2.9999999999999997E-4</v>
      </c>
      <c r="AA56" s="26">
        <f>(('Mitigation drivers'!V36*LagoonN2O)+('Mitigation drivers'!V37*LiquidN2O)+('Mitigation drivers'!V38*DrylotN2O)+('Mitigation drivers'!V39*SolidStorageN2O)+('Mitigation drivers'!V40*DailyspreadN2O)+('Mitigation drivers'!V41*CompostN2O)+('Mitigation drivers'!V42*ManwithbedN2O)+('Mitigation drivers'!V43*PMwithoutlitterN2O)+('Mitigation drivers'!V44*PMwithlitterN2O)+('Mitigation drivers'!V46*DigesterN2OEF))/100</f>
        <v>2.9999999999999997E-4</v>
      </c>
      <c r="AB56" s="26">
        <f>(('Mitigation drivers'!W36*LagoonN2O)+('Mitigation drivers'!W37*LiquidN2O)+('Mitigation drivers'!W38*DrylotN2O)+('Mitigation drivers'!W39*SolidStorageN2O)+('Mitigation drivers'!W40*DailyspreadN2O)+('Mitigation drivers'!W41*CompostN2O)+('Mitigation drivers'!W42*ManwithbedN2O)+('Mitigation drivers'!W43*PMwithoutlitterN2O)+('Mitigation drivers'!W44*PMwithlitterN2O)+('Mitigation drivers'!W46*DigesterN2OEF))/100</f>
        <v>2.9999999999999997E-4</v>
      </c>
      <c r="AC56" s="26">
        <f>(('Mitigation drivers'!X36*LagoonN2O)+('Mitigation drivers'!X37*LiquidN2O)+('Mitigation drivers'!X38*DrylotN2O)+('Mitigation drivers'!X39*SolidStorageN2O)+('Mitigation drivers'!X40*DailyspreadN2O)+('Mitigation drivers'!X41*CompostN2O)+('Mitigation drivers'!X42*ManwithbedN2O)+('Mitigation drivers'!X43*PMwithoutlitterN2O)+('Mitigation drivers'!X44*PMwithlitterN2O)+('Mitigation drivers'!X46*DigesterN2OEF))/100</f>
        <v>2.9999999999999997E-4</v>
      </c>
      <c r="AD56" s="26">
        <f>(('Mitigation drivers'!Y36*LagoonN2O)+('Mitigation drivers'!Y37*LiquidN2O)+('Mitigation drivers'!Y38*DrylotN2O)+('Mitigation drivers'!Y39*SolidStorageN2O)+('Mitigation drivers'!Y40*DailyspreadN2O)+('Mitigation drivers'!Y41*CompostN2O)+('Mitigation drivers'!Y42*ManwithbedN2O)+('Mitigation drivers'!Y43*PMwithoutlitterN2O)+('Mitigation drivers'!Y44*PMwithlitterN2O)+('Mitigation drivers'!Y46*DigesterN2OEF))/100</f>
        <v>2.9999999999999997E-4</v>
      </c>
      <c r="AE56" s="26">
        <f>(('Mitigation drivers'!Z36*LagoonN2O)+('Mitigation drivers'!Z37*LiquidN2O)+('Mitigation drivers'!Z38*DrylotN2O)+('Mitigation drivers'!Z39*SolidStorageN2O)+('Mitigation drivers'!Z40*DailyspreadN2O)+('Mitigation drivers'!Z41*CompostN2O)+('Mitigation drivers'!Z42*ManwithbedN2O)+('Mitigation drivers'!Z43*PMwithoutlitterN2O)+('Mitigation drivers'!Z44*PMwithlitterN2O)+('Mitigation drivers'!Z46*DigesterN2OEF))/100</f>
        <v>2.9999999999999997E-4</v>
      </c>
      <c r="AF56" s="26">
        <f>(('Mitigation drivers'!AA36*LagoonN2O)+('Mitigation drivers'!AA37*LiquidN2O)+('Mitigation drivers'!AA38*DrylotN2O)+('Mitigation drivers'!AA39*SolidStorageN2O)+('Mitigation drivers'!AA40*DailyspreadN2O)+('Mitigation drivers'!AA41*CompostN2O)+('Mitigation drivers'!AA42*ManwithbedN2O)+('Mitigation drivers'!AA43*PMwithoutlitterN2O)+('Mitigation drivers'!AA44*PMwithlitterN2O)+('Mitigation drivers'!AA46*DigesterN2OEF))/100</f>
        <v>2.9999999999999997E-4</v>
      </c>
      <c r="AG56" s="26">
        <f>(('Mitigation drivers'!AB36*LagoonN2O)+('Mitigation drivers'!AB37*LiquidN2O)+('Mitigation drivers'!AB38*DrylotN2O)+('Mitigation drivers'!AB39*SolidStorageN2O)+('Mitigation drivers'!AB40*DailyspreadN2O)+('Mitigation drivers'!AB41*CompostN2O)+('Mitigation drivers'!AB42*ManwithbedN2O)+('Mitigation drivers'!AB43*PMwithoutlitterN2O)+('Mitigation drivers'!AB44*PMwithlitterN2O)+('Mitigation drivers'!AB46*DigesterN2OEF))/100</f>
        <v>2.9999999999999997E-4</v>
      </c>
      <c r="AH56" s="26">
        <f>(('Mitigation drivers'!AC36*LagoonN2O)+('Mitigation drivers'!AC37*LiquidN2O)+('Mitigation drivers'!AC38*DrylotN2O)+('Mitigation drivers'!AC39*SolidStorageN2O)+('Mitigation drivers'!AC40*DailyspreadN2O)+('Mitigation drivers'!AC41*CompostN2O)+('Mitigation drivers'!AC42*ManwithbedN2O)+('Mitigation drivers'!AC43*PMwithoutlitterN2O)+('Mitigation drivers'!AC44*PMwithlitterN2O)+('Mitigation drivers'!AC46*DigesterN2OEF))/100</f>
        <v>2.9999999999999997E-4</v>
      </c>
      <c r="AI56" s="26">
        <f>(('Mitigation drivers'!AD36*LagoonN2O)+('Mitigation drivers'!AD37*LiquidN2O)+('Mitigation drivers'!AD38*DrylotN2O)+('Mitigation drivers'!AD39*SolidStorageN2O)+('Mitigation drivers'!AD40*DailyspreadN2O)+('Mitigation drivers'!AD41*CompostN2O)+('Mitigation drivers'!AD42*ManwithbedN2O)+('Mitigation drivers'!AD43*PMwithoutlitterN2O)+('Mitigation drivers'!AD44*PMwithlitterN2O)+('Mitigation drivers'!AD46*DigesterN2OEF))/100</f>
        <v>2.9999999999999997E-4</v>
      </c>
      <c r="AJ56" s="26">
        <f>(('Mitigation drivers'!AE36*LagoonN2O)+('Mitigation drivers'!AE37*LiquidN2O)+('Mitigation drivers'!AE38*DrylotN2O)+('Mitigation drivers'!AE39*SolidStorageN2O)+('Mitigation drivers'!AE40*DailyspreadN2O)+('Mitigation drivers'!AE41*CompostN2O)+('Mitigation drivers'!AE42*ManwithbedN2O)+('Mitigation drivers'!AE43*PMwithoutlitterN2O)+('Mitigation drivers'!AE44*PMwithlitterN2O)+('Mitigation drivers'!AE46*DigesterN2OEF))/100</f>
        <v>2.9999999999999997E-4</v>
      </c>
      <c r="AK56" s="26">
        <f>(('Mitigation drivers'!AF36*LagoonN2O)+('Mitigation drivers'!AF37*LiquidN2O)+('Mitigation drivers'!AF38*DrylotN2O)+('Mitigation drivers'!AF39*SolidStorageN2O)+('Mitigation drivers'!AF40*DailyspreadN2O)+('Mitigation drivers'!AF41*CompostN2O)+('Mitigation drivers'!AF42*ManwithbedN2O)+('Mitigation drivers'!AF43*PMwithoutlitterN2O)+('Mitigation drivers'!AF44*PMwithlitterN2O)+('Mitigation drivers'!AF46*DigesterN2OEF))/100</f>
        <v>2.9999999999999997E-4</v>
      </c>
      <c r="AL56" s="26">
        <f>(('Mitigation drivers'!AG36*LagoonN2O)+('Mitigation drivers'!AG37*LiquidN2O)+('Mitigation drivers'!AG38*DrylotN2O)+('Mitigation drivers'!AG39*SolidStorageN2O)+('Mitigation drivers'!AG40*DailyspreadN2O)+('Mitigation drivers'!AG41*CompostN2O)+('Mitigation drivers'!AG42*ManwithbedN2O)+('Mitigation drivers'!AG43*PMwithoutlitterN2O)+('Mitigation drivers'!AG44*PMwithlitterN2O)+('Mitigation drivers'!AG46*DigesterN2OEF))/100</f>
        <v>2.9999999999999997E-4</v>
      </c>
      <c r="AM56" s="26">
        <f>(('Mitigation drivers'!AH36*LagoonN2O)+('Mitigation drivers'!AH37*LiquidN2O)+('Mitigation drivers'!AH38*DrylotN2O)+('Mitigation drivers'!AH39*SolidStorageN2O)+('Mitigation drivers'!AH40*DailyspreadN2O)+('Mitigation drivers'!AH41*CompostN2O)+('Mitigation drivers'!AH42*ManwithbedN2O)+('Mitigation drivers'!AH43*PMwithoutlitterN2O)+('Mitigation drivers'!AH44*PMwithlitterN2O)+('Mitigation drivers'!AH46*DigesterN2OEF))/100</f>
        <v>2.9999999999999997E-4</v>
      </c>
      <c r="AN56" s="26">
        <f>(('Mitigation drivers'!AI36*LagoonN2O)+('Mitigation drivers'!AI37*LiquidN2O)+('Mitigation drivers'!AI38*DrylotN2O)+('Mitigation drivers'!AI39*SolidStorageN2O)+('Mitigation drivers'!AI40*DailyspreadN2O)+('Mitigation drivers'!AI41*CompostN2O)+('Mitigation drivers'!AI42*ManwithbedN2O)+('Mitigation drivers'!AI43*PMwithoutlitterN2O)+('Mitigation drivers'!AI44*PMwithlitterN2O)+('Mitigation drivers'!AI46*DigesterN2OEF))/100</f>
        <v>2.9999999999999997E-4</v>
      </c>
      <c r="AO56" s="26">
        <f>(('Mitigation drivers'!AJ36*LagoonN2O)+('Mitigation drivers'!AJ37*LiquidN2O)+('Mitigation drivers'!AJ38*DrylotN2O)+('Mitigation drivers'!AJ39*SolidStorageN2O)+('Mitigation drivers'!AJ40*DailyspreadN2O)+('Mitigation drivers'!AJ41*CompostN2O)+('Mitigation drivers'!AJ42*ManwithbedN2O)+('Mitigation drivers'!AJ43*PMwithoutlitterN2O)+('Mitigation drivers'!AJ44*PMwithlitterN2O)+('Mitigation drivers'!AJ46*DigesterN2OEF))/100</f>
        <v>2.9999999999999997E-4</v>
      </c>
    </row>
    <row r="57" spans="1:41" x14ac:dyDescent="0.25">
      <c r="A57" t="str">
        <f t="shared" si="1"/>
        <v>3A Livestock</v>
      </c>
      <c r="B57" t="str">
        <f t="shared" si="8"/>
        <v>3A2 Manure management (N2O)</v>
      </c>
      <c r="C57" t="str">
        <f>'Activity data'!C8</f>
        <v>3A1aii Other cattle</v>
      </c>
      <c r="D57" t="str">
        <f>'Activity data'!D8</f>
        <v>Commercial</v>
      </c>
      <c r="E57" t="str">
        <f>E55</f>
        <v>Manure management EF</v>
      </c>
      <c r="F57" t="str">
        <f>F55</f>
        <v>N2O</v>
      </c>
      <c r="G57" t="str">
        <f>G55</f>
        <v>kg N2O-N/kg Nex</v>
      </c>
      <c r="H57" s="26">
        <f>(('Mitigation drivers'!C49*LagoonN2O)+('Mitigation drivers'!C50*LiquidN2O)+('Mitigation drivers'!C51*DrylotN2O)+('Mitigation drivers'!C52*SolidStorageN2O)+('Mitigation drivers'!C53*DailyspreadN2O)+('Mitigation drivers'!C54*CompostN2O)+('Mitigation drivers'!C55*ManwithbedN2O)+('Mitigation drivers'!C56*PMwithoutlitterN2O)+('Mitigation drivers'!C57*PMwithlitterN2O)+('Mitigation drivers'!C59*DigesterN2OEF))/100</f>
        <v>6.4999999999999997E-4</v>
      </c>
      <c r="I57" s="26">
        <f>(('Mitigation drivers'!D49*LagoonN2O)+('Mitigation drivers'!D50*LiquidN2O)+('Mitigation drivers'!D51*DrylotN2O)+('Mitigation drivers'!D52*SolidStorageN2O)+('Mitigation drivers'!D53*DailyspreadN2O)+('Mitigation drivers'!D54*CompostN2O)+('Mitigation drivers'!D55*ManwithbedN2O)+('Mitigation drivers'!D56*PMwithoutlitterN2O)+('Mitigation drivers'!D57*PMwithlitterN2O)+('Mitigation drivers'!D59*DigesterN2OEF))/100</f>
        <v>6.4999999999999997E-4</v>
      </c>
      <c r="J57" s="26">
        <f>(('Mitigation drivers'!E49*LagoonN2O)+('Mitigation drivers'!E50*LiquidN2O)+('Mitigation drivers'!E51*DrylotN2O)+('Mitigation drivers'!E52*SolidStorageN2O)+('Mitigation drivers'!E53*DailyspreadN2O)+('Mitigation drivers'!E54*CompostN2O)+('Mitigation drivers'!E55*ManwithbedN2O)+('Mitigation drivers'!E56*PMwithoutlitterN2O)+('Mitigation drivers'!E57*PMwithlitterN2O)+('Mitigation drivers'!E59*DigesterN2OEF))/100</f>
        <v>6.4999999999999997E-4</v>
      </c>
      <c r="K57" s="26">
        <f>(('Mitigation drivers'!F49*LagoonN2O)+('Mitigation drivers'!F50*LiquidN2O)+('Mitigation drivers'!F51*DrylotN2O)+('Mitigation drivers'!F52*SolidStorageN2O)+('Mitigation drivers'!F53*DailyspreadN2O)+('Mitigation drivers'!F54*CompostN2O)+('Mitigation drivers'!F55*ManwithbedN2O)+('Mitigation drivers'!F56*PMwithoutlitterN2O)+('Mitigation drivers'!F57*PMwithlitterN2O)+('Mitigation drivers'!F59*DigesterN2OEF))/100</f>
        <v>6.4999999999999997E-4</v>
      </c>
      <c r="L57" s="26">
        <f>(('Mitigation drivers'!G49*LagoonN2O)+('Mitigation drivers'!G50*LiquidN2O)+('Mitigation drivers'!G51*DrylotN2O)+('Mitigation drivers'!G52*SolidStorageN2O)+('Mitigation drivers'!G53*DailyspreadN2O)+('Mitigation drivers'!G54*CompostN2O)+('Mitigation drivers'!G55*ManwithbedN2O)+('Mitigation drivers'!G56*PMwithoutlitterN2O)+('Mitigation drivers'!G57*PMwithlitterN2O)+('Mitigation drivers'!G59*DigesterN2OEF))/100</f>
        <v>6.4999999999999997E-4</v>
      </c>
      <c r="M57" s="26">
        <f>(('Mitigation drivers'!H49*LagoonN2O)+('Mitigation drivers'!H50*LiquidN2O)+('Mitigation drivers'!H51*DrylotN2O)+('Mitigation drivers'!H52*SolidStorageN2O)+('Mitigation drivers'!H53*DailyspreadN2O)+('Mitigation drivers'!H54*CompostN2O)+('Mitigation drivers'!H55*ManwithbedN2O)+('Mitigation drivers'!H56*PMwithoutlitterN2O)+('Mitigation drivers'!H57*PMwithlitterN2O)+('Mitigation drivers'!H59*DigesterN2OEF))/100</f>
        <v>6.4999999999999997E-4</v>
      </c>
      <c r="N57" s="26">
        <f>(('Mitigation drivers'!I49*LagoonN2O)+('Mitigation drivers'!I50*LiquidN2O)+('Mitigation drivers'!I51*DrylotN2O)+('Mitigation drivers'!I52*SolidStorageN2O)+('Mitigation drivers'!I53*DailyspreadN2O)+('Mitigation drivers'!I54*CompostN2O)+('Mitigation drivers'!I55*ManwithbedN2O)+('Mitigation drivers'!I56*PMwithoutlitterN2O)+('Mitigation drivers'!I57*PMwithlitterN2O)+('Mitigation drivers'!I59*DigesterN2OEF))/100</f>
        <v>6.4999999999999997E-4</v>
      </c>
      <c r="O57" s="26">
        <f>(('Mitigation drivers'!J49*LagoonN2O)+('Mitigation drivers'!J50*LiquidN2O)+('Mitigation drivers'!J51*DrylotN2O)+('Mitigation drivers'!J52*SolidStorageN2O)+('Mitigation drivers'!J53*DailyspreadN2O)+('Mitigation drivers'!J54*CompostN2O)+('Mitigation drivers'!J55*ManwithbedN2O)+('Mitigation drivers'!J56*PMwithoutlitterN2O)+('Mitigation drivers'!J57*PMwithlitterN2O)+('Mitigation drivers'!J59*DigesterN2OEF))/100</f>
        <v>6.4999999999999997E-4</v>
      </c>
      <c r="P57" s="26">
        <f>(('Mitigation drivers'!K49*LagoonN2O)+('Mitigation drivers'!K50*LiquidN2O)+('Mitigation drivers'!K51*DrylotN2O)+('Mitigation drivers'!K52*SolidStorageN2O)+('Mitigation drivers'!K53*DailyspreadN2O)+('Mitigation drivers'!K54*CompostN2O)+('Mitigation drivers'!K55*ManwithbedN2O)+('Mitigation drivers'!K56*PMwithoutlitterN2O)+('Mitigation drivers'!K57*PMwithlitterN2O)+('Mitigation drivers'!K59*DigesterN2OEF))/100</f>
        <v>6.4999999999999997E-4</v>
      </c>
      <c r="Q57" s="26">
        <f>(('Mitigation drivers'!L49*LagoonN2O)+('Mitigation drivers'!L50*LiquidN2O)+('Mitigation drivers'!L51*DrylotN2O)+('Mitigation drivers'!L52*SolidStorageN2O)+('Mitigation drivers'!L53*DailyspreadN2O)+('Mitigation drivers'!L54*CompostN2O)+('Mitigation drivers'!L55*ManwithbedN2O)+('Mitigation drivers'!L56*PMwithoutlitterN2O)+('Mitigation drivers'!L57*PMwithlitterN2O)+('Mitigation drivers'!L59*DigesterN2OEF))/100</f>
        <v>6.4999999999999997E-4</v>
      </c>
      <c r="R57" s="26">
        <f>(('Mitigation drivers'!M49*LagoonN2O)+('Mitigation drivers'!M50*LiquidN2O)+('Mitigation drivers'!M51*DrylotN2O)+('Mitigation drivers'!M52*SolidStorageN2O)+('Mitigation drivers'!M53*DailyspreadN2O)+('Mitigation drivers'!M54*CompostN2O)+('Mitigation drivers'!M55*ManwithbedN2O)+('Mitigation drivers'!M56*PMwithoutlitterN2O)+('Mitigation drivers'!M57*PMwithlitterN2O)+('Mitigation drivers'!M59*DigesterN2OEF))/100</f>
        <v>6.4999999999999997E-4</v>
      </c>
      <c r="S57" s="26">
        <f>(('Mitigation drivers'!N49*LagoonN2O)+('Mitigation drivers'!N50*LiquidN2O)+('Mitigation drivers'!N51*DrylotN2O)+('Mitigation drivers'!N52*SolidStorageN2O)+('Mitigation drivers'!N53*DailyspreadN2O)+('Mitigation drivers'!N54*CompostN2O)+('Mitigation drivers'!N55*ManwithbedN2O)+('Mitigation drivers'!N56*PMwithoutlitterN2O)+('Mitigation drivers'!N57*PMwithlitterN2O)+('Mitigation drivers'!N59*DigesterN2OEF))/100</f>
        <v>6.4999999999999997E-4</v>
      </c>
      <c r="T57" s="26">
        <f>(('Mitigation drivers'!O49*LagoonN2O)+('Mitigation drivers'!O50*LiquidN2O)+('Mitigation drivers'!O51*DrylotN2O)+('Mitigation drivers'!O52*SolidStorageN2O)+('Mitigation drivers'!O53*DailyspreadN2O)+('Mitigation drivers'!O54*CompostN2O)+('Mitigation drivers'!O55*ManwithbedN2O)+('Mitigation drivers'!O56*PMwithoutlitterN2O)+('Mitigation drivers'!O57*PMwithlitterN2O)+('Mitigation drivers'!O59*DigesterN2OEF))/100</f>
        <v>6.4999999999999997E-4</v>
      </c>
      <c r="U57" s="26">
        <f>(('Mitigation drivers'!P49*LagoonN2O)+('Mitigation drivers'!P50*LiquidN2O)+('Mitigation drivers'!P51*DrylotN2O)+('Mitigation drivers'!P52*SolidStorageN2O)+('Mitigation drivers'!P53*DailyspreadN2O)+('Mitigation drivers'!P54*CompostN2O)+('Mitigation drivers'!P55*ManwithbedN2O)+('Mitigation drivers'!P56*PMwithoutlitterN2O)+('Mitigation drivers'!P57*PMwithlitterN2O)+('Mitigation drivers'!P59*DigesterN2OEF))/100</f>
        <v>6.4999999999999997E-4</v>
      </c>
      <c r="V57" s="26">
        <f>(('Mitigation drivers'!Q49*LagoonN2O)+('Mitigation drivers'!Q50*LiquidN2O)+('Mitigation drivers'!Q51*DrylotN2O)+('Mitigation drivers'!Q52*SolidStorageN2O)+('Mitigation drivers'!Q53*DailyspreadN2O)+('Mitigation drivers'!Q54*CompostN2O)+('Mitigation drivers'!Q55*ManwithbedN2O)+('Mitigation drivers'!Q56*PMwithoutlitterN2O)+('Mitigation drivers'!Q57*PMwithlitterN2O)+('Mitigation drivers'!Q59*DigesterN2OEF))/100</f>
        <v>6.4999999999999997E-4</v>
      </c>
      <c r="W57" s="26">
        <f>(('Mitigation drivers'!R49*LagoonN2O)+('Mitigation drivers'!R50*LiquidN2O)+('Mitigation drivers'!R51*DrylotN2O)+('Mitigation drivers'!R52*SolidStorageN2O)+('Mitigation drivers'!R53*DailyspreadN2O)+('Mitigation drivers'!R54*CompostN2O)+('Mitigation drivers'!R55*ManwithbedN2O)+('Mitigation drivers'!R56*PMwithoutlitterN2O)+('Mitigation drivers'!R57*PMwithlitterN2O)+('Mitigation drivers'!R59*DigesterN2OEF))/100</f>
        <v>6.4999999999999997E-4</v>
      </c>
      <c r="X57" s="26">
        <f>(('Mitigation drivers'!S49*LagoonN2O)+('Mitigation drivers'!S50*LiquidN2O)+('Mitigation drivers'!S51*DrylotN2O)+('Mitigation drivers'!S52*SolidStorageN2O)+('Mitigation drivers'!S53*DailyspreadN2O)+('Mitigation drivers'!S54*CompostN2O)+('Mitigation drivers'!S55*ManwithbedN2O)+('Mitigation drivers'!S56*PMwithoutlitterN2O)+('Mitigation drivers'!S57*PMwithlitterN2O)+('Mitigation drivers'!S59*DigesterN2OEF))/100</f>
        <v>6.4999999999999997E-4</v>
      </c>
      <c r="Y57" s="26">
        <f>(('Mitigation drivers'!T49*LagoonN2O)+('Mitigation drivers'!T50*LiquidN2O)+('Mitigation drivers'!T51*DrylotN2O)+('Mitigation drivers'!T52*SolidStorageN2O)+('Mitigation drivers'!T53*DailyspreadN2O)+('Mitigation drivers'!T54*CompostN2O)+('Mitigation drivers'!T55*ManwithbedN2O)+('Mitigation drivers'!T56*PMwithoutlitterN2O)+('Mitigation drivers'!T57*PMwithlitterN2O)+('Mitigation drivers'!T59*DigesterN2OEF))/100</f>
        <v>6.4999999999999997E-4</v>
      </c>
      <c r="Z57" s="26">
        <f>(('Mitigation drivers'!U49*LagoonN2O)+('Mitigation drivers'!U50*LiquidN2O)+('Mitigation drivers'!U51*DrylotN2O)+('Mitigation drivers'!U52*SolidStorageN2O)+('Mitigation drivers'!U53*DailyspreadN2O)+('Mitigation drivers'!U54*CompostN2O)+('Mitigation drivers'!U55*ManwithbedN2O)+('Mitigation drivers'!U56*PMwithoutlitterN2O)+('Mitigation drivers'!U57*PMwithlitterN2O)+('Mitigation drivers'!U59*DigesterN2OEF))/100</f>
        <v>6.4999999999999997E-4</v>
      </c>
      <c r="AA57" s="26">
        <f>(('Mitigation drivers'!V49*LagoonN2O)+('Mitigation drivers'!V50*LiquidN2O)+('Mitigation drivers'!V51*DrylotN2O)+('Mitigation drivers'!V52*SolidStorageN2O)+('Mitigation drivers'!V53*DailyspreadN2O)+('Mitigation drivers'!V54*CompostN2O)+('Mitigation drivers'!V55*ManwithbedN2O)+('Mitigation drivers'!V56*PMwithoutlitterN2O)+('Mitigation drivers'!V57*PMwithlitterN2O)+('Mitigation drivers'!V59*DigesterN2OEF))/100</f>
        <v>6.4999999999999997E-4</v>
      </c>
      <c r="AB57" s="26">
        <f>(('Mitigation drivers'!W49*LagoonN2O)+('Mitigation drivers'!W50*LiquidN2O)+('Mitigation drivers'!W51*DrylotN2O)+('Mitigation drivers'!W52*SolidStorageN2O)+('Mitigation drivers'!W53*DailyspreadN2O)+('Mitigation drivers'!W54*CompostN2O)+('Mitigation drivers'!W55*ManwithbedN2O)+('Mitigation drivers'!W56*PMwithoutlitterN2O)+('Mitigation drivers'!W57*PMwithlitterN2O)+('Mitigation drivers'!W59*DigesterN2OEF))/100</f>
        <v>6.4999999999999997E-4</v>
      </c>
      <c r="AC57" s="26">
        <f>(('Mitigation drivers'!X49*LagoonN2O)+('Mitigation drivers'!X50*LiquidN2O)+('Mitigation drivers'!X51*DrylotN2O)+('Mitigation drivers'!X52*SolidStorageN2O)+('Mitigation drivers'!X53*DailyspreadN2O)+('Mitigation drivers'!X54*CompostN2O)+('Mitigation drivers'!X55*ManwithbedN2O)+('Mitigation drivers'!X56*PMwithoutlitterN2O)+('Mitigation drivers'!X57*PMwithlitterN2O)+('Mitigation drivers'!X59*DigesterN2OEF))/100</f>
        <v>6.4999999999999997E-4</v>
      </c>
      <c r="AD57" s="26">
        <f>(('Mitigation drivers'!Y49*LagoonN2O)+('Mitigation drivers'!Y50*LiquidN2O)+('Mitigation drivers'!Y51*DrylotN2O)+('Mitigation drivers'!Y52*SolidStorageN2O)+('Mitigation drivers'!Y53*DailyspreadN2O)+('Mitigation drivers'!Y54*CompostN2O)+('Mitigation drivers'!Y55*ManwithbedN2O)+('Mitigation drivers'!Y56*PMwithoutlitterN2O)+('Mitigation drivers'!Y57*PMwithlitterN2O)+('Mitigation drivers'!Y59*DigesterN2OEF))/100</f>
        <v>6.4999999999999997E-4</v>
      </c>
      <c r="AE57" s="26">
        <f>(('Mitigation drivers'!Z49*LagoonN2O)+('Mitigation drivers'!Z50*LiquidN2O)+('Mitigation drivers'!Z51*DrylotN2O)+('Mitigation drivers'!Z52*SolidStorageN2O)+('Mitigation drivers'!Z53*DailyspreadN2O)+('Mitigation drivers'!Z54*CompostN2O)+('Mitigation drivers'!Z55*ManwithbedN2O)+('Mitigation drivers'!Z56*PMwithoutlitterN2O)+('Mitigation drivers'!Z57*PMwithlitterN2O)+('Mitigation drivers'!Z59*DigesterN2OEF))/100</f>
        <v>6.4999999999999997E-4</v>
      </c>
      <c r="AF57" s="26">
        <f>(('Mitigation drivers'!AA49*LagoonN2O)+('Mitigation drivers'!AA50*LiquidN2O)+('Mitigation drivers'!AA51*DrylotN2O)+('Mitigation drivers'!AA52*SolidStorageN2O)+('Mitigation drivers'!AA53*DailyspreadN2O)+('Mitigation drivers'!AA54*CompostN2O)+('Mitigation drivers'!AA55*ManwithbedN2O)+('Mitigation drivers'!AA56*PMwithoutlitterN2O)+('Mitigation drivers'!AA57*PMwithlitterN2O)+('Mitigation drivers'!AA59*DigesterN2OEF))/100</f>
        <v>6.4999999999999997E-4</v>
      </c>
      <c r="AG57" s="26">
        <f>(('Mitigation drivers'!AB49*LagoonN2O)+('Mitigation drivers'!AB50*LiquidN2O)+('Mitigation drivers'!AB51*DrylotN2O)+('Mitigation drivers'!AB52*SolidStorageN2O)+('Mitigation drivers'!AB53*DailyspreadN2O)+('Mitigation drivers'!AB54*CompostN2O)+('Mitigation drivers'!AB55*ManwithbedN2O)+('Mitigation drivers'!AB56*PMwithoutlitterN2O)+('Mitigation drivers'!AB57*PMwithlitterN2O)+('Mitigation drivers'!AB59*DigesterN2OEF))/100</f>
        <v>6.4999999999999997E-4</v>
      </c>
      <c r="AH57" s="26">
        <f>(('Mitigation drivers'!AC49*LagoonN2O)+('Mitigation drivers'!AC50*LiquidN2O)+('Mitigation drivers'!AC51*DrylotN2O)+('Mitigation drivers'!AC52*SolidStorageN2O)+('Mitigation drivers'!AC53*DailyspreadN2O)+('Mitigation drivers'!AC54*CompostN2O)+('Mitigation drivers'!AC55*ManwithbedN2O)+('Mitigation drivers'!AC56*PMwithoutlitterN2O)+('Mitigation drivers'!AC57*PMwithlitterN2O)+('Mitigation drivers'!AC59*DigesterN2OEF))/100</f>
        <v>6.4999999999999997E-4</v>
      </c>
      <c r="AI57" s="26">
        <f>(('Mitigation drivers'!AD49*LagoonN2O)+('Mitigation drivers'!AD50*LiquidN2O)+('Mitigation drivers'!AD51*DrylotN2O)+('Mitigation drivers'!AD52*SolidStorageN2O)+('Mitigation drivers'!AD53*DailyspreadN2O)+('Mitigation drivers'!AD54*CompostN2O)+('Mitigation drivers'!AD55*ManwithbedN2O)+('Mitigation drivers'!AD56*PMwithoutlitterN2O)+('Mitigation drivers'!AD57*PMwithlitterN2O)+('Mitigation drivers'!AD59*DigesterN2OEF))/100</f>
        <v>6.4999999999999997E-4</v>
      </c>
      <c r="AJ57" s="26">
        <f>(('Mitigation drivers'!AE49*LagoonN2O)+('Mitigation drivers'!AE50*LiquidN2O)+('Mitigation drivers'!AE51*DrylotN2O)+('Mitigation drivers'!AE52*SolidStorageN2O)+('Mitigation drivers'!AE53*DailyspreadN2O)+('Mitigation drivers'!AE54*CompostN2O)+('Mitigation drivers'!AE55*ManwithbedN2O)+('Mitigation drivers'!AE56*PMwithoutlitterN2O)+('Mitigation drivers'!AE57*PMwithlitterN2O)+('Mitigation drivers'!AE59*DigesterN2OEF))/100</f>
        <v>6.4999999999999997E-4</v>
      </c>
      <c r="AK57" s="26">
        <f>(('Mitigation drivers'!AF49*LagoonN2O)+('Mitigation drivers'!AF50*LiquidN2O)+('Mitigation drivers'!AF51*DrylotN2O)+('Mitigation drivers'!AF52*SolidStorageN2O)+('Mitigation drivers'!AF53*DailyspreadN2O)+('Mitigation drivers'!AF54*CompostN2O)+('Mitigation drivers'!AF55*ManwithbedN2O)+('Mitigation drivers'!AF56*PMwithoutlitterN2O)+('Mitigation drivers'!AF57*PMwithlitterN2O)+('Mitigation drivers'!AF59*DigesterN2OEF))/100</f>
        <v>6.4999999999999997E-4</v>
      </c>
      <c r="AL57" s="26">
        <f>(('Mitigation drivers'!AG49*LagoonN2O)+('Mitigation drivers'!AG50*LiquidN2O)+('Mitigation drivers'!AG51*DrylotN2O)+('Mitigation drivers'!AG52*SolidStorageN2O)+('Mitigation drivers'!AG53*DailyspreadN2O)+('Mitigation drivers'!AG54*CompostN2O)+('Mitigation drivers'!AG55*ManwithbedN2O)+('Mitigation drivers'!AG56*PMwithoutlitterN2O)+('Mitigation drivers'!AG57*PMwithlitterN2O)+('Mitigation drivers'!AG59*DigesterN2OEF))/100</f>
        <v>6.4999999999999997E-4</v>
      </c>
      <c r="AM57" s="26">
        <f>(('Mitigation drivers'!AH49*LagoonN2O)+('Mitigation drivers'!AH50*LiquidN2O)+('Mitigation drivers'!AH51*DrylotN2O)+('Mitigation drivers'!AH52*SolidStorageN2O)+('Mitigation drivers'!AH53*DailyspreadN2O)+('Mitigation drivers'!AH54*CompostN2O)+('Mitigation drivers'!AH55*ManwithbedN2O)+('Mitigation drivers'!AH56*PMwithoutlitterN2O)+('Mitigation drivers'!AH57*PMwithlitterN2O)+('Mitigation drivers'!AH59*DigesterN2OEF))/100</f>
        <v>6.4999999999999997E-4</v>
      </c>
      <c r="AN57" s="26">
        <f>(('Mitigation drivers'!AI49*LagoonN2O)+('Mitigation drivers'!AI50*LiquidN2O)+('Mitigation drivers'!AI51*DrylotN2O)+('Mitigation drivers'!AI52*SolidStorageN2O)+('Mitigation drivers'!AI53*DailyspreadN2O)+('Mitigation drivers'!AI54*CompostN2O)+('Mitigation drivers'!AI55*ManwithbedN2O)+('Mitigation drivers'!AI56*PMwithoutlitterN2O)+('Mitigation drivers'!AI57*PMwithlitterN2O)+('Mitigation drivers'!AI59*DigesterN2OEF))/100</f>
        <v>6.4999999999999997E-4</v>
      </c>
      <c r="AO57" s="26">
        <f>(('Mitigation drivers'!AJ49*LagoonN2O)+('Mitigation drivers'!AJ50*LiquidN2O)+('Mitigation drivers'!AJ51*DrylotN2O)+('Mitigation drivers'!AJ52*SolidStorageN2O)+('Mitigation drivers'!AJ53*DailyspreadN2O)+('Mitigation drivers'!AJ54*CompostN2O)+('Mitigation drivers'!AJ55*ManwithbedN2O)+('Mitigation drivers'!AJ56*PMwithoutlitterN2O)+('Mitigation drivers'!AJ57*PMwithlitterN2O)+('Mitigation drivers'!AJ59*DigesterN2OEF))/100</f>
        <v>6.4999999999999997E-4</v>
      </c>
    </row>
    <row r="58" spans="1:41" x14ac:dyDescent="0.25">
      <c r="A58" t="str">
        <f t="shared" si="1"/>
        <v>3A Livestock</v>
      </c>
      <c r="B58" t="str">
        <f t="shared" si="8"/>
        <v>3A2 Manure management (N2O)</v>
      </c>
      <c r="C58" t="str">
        <f>'Activity data'!C9</f>
        <v>3A1aii Other cattle</v>
      </c>
      <c r="D58" t="str">
        <f>'Activity data'!D9</f>
        <v>Subsistence</v>
      </c>
      <c r="E58" t="str">
        <f t="shared" ref="E58:E71" si="27">E57</f>
        <v>Manure management EF</v>
      </c>
      <c r="F58" t="str">
        <f t="shared" ref="F58:F71" si="28">F57</f>
        <v>N2O</v>
      </c>
      <c r="G58" t="str">
        <f t="shared" ref="G58:G71" si="29">G57</f>
        <v>kg N2O-N/kg Nex</v>
      </c>
      <c r="H58" s="26">
        <f>(('Mitigation drivers'!C61*LagoonN2O)+('Mitigation drivers'!C62*LiquidN2O)+('Mitigation drivers'!C63*DrylotN2O)+('Mitigation drivers'!C64*SolidStorageN2O)+('Mitigation drivers'!C65*DailyspreadN2O)+('Mitigation drivers'!C66*CompostN2O)+('Mitigation drivers'!C67*ManwithbedN2O)+('Mitigation drivers'!C68*PMwithoutlitterN2O)+('Mitigation drivers'!C69*PMwithlitterN2O)+('Mitigation drivers'!C71*DigesterN2OEF))/100</f>
        <v>1.5000000000000002E-3</v>
      </c>
      <c r="I58" s="26">
        <f>(('Mitigation drivers'!D61*LagoonN2O)+('Mitigation drivers'!D62*LiquidN2O)+('Mitigation drivers'!D63*DrylotN2O)+('Mitigation drivers'!D64*SolidStorageN2O)+('Mitigation drivers'!D65*DailyspreadN2O)+('Mitigation drivers'!D66*CompostN2O)+('Mitigation drivers'!D67*ManwithbedN2O)+('Mitigation drivers'!D68*PMwithoutlitterN2O)+('Mitigation drivers'!D69*PMwithlitterN2O)+('Mitigation drivers'!D71*DigesterN2OEF))/100</f>
        <v>1.5000000000000002E-3</v>
      </c>
      <c r="J58" s="26">
        <f>(('Mitigation drivers'!E61*LagoonN2O)+('Mitigation drivers'!E62*LiquidN2O)+('Mitigation drivers'!E63*DrylotN2O)+('Mitigation drivers'!E64*SolidStorageN2O)+('Mitigation drivers'!E65*DailyspreadN2O)+('Mitigation drivers'!E66*CompostN2O)+('Mitigation drivers'!E67*ManwithbedN2O)+('Mitigation drivers'!E68*PMwithoutlitterN2O)+('Mitigation drivers'!E69*PMwithlitterN2O)+('Mitigation drivers'!E71*DigesterN2OEF))/100</f>
        <v>1.5000000000000002E-3</v>
      </c>
      <c r="K58" s="26">
        <f>(('Mitigation drivers'!F61*LagoonN2O)+('Mitigation drivers'!F62*LiquidN2O)+('Mitigation drivers'!F63*DrylotN2O)+('Mitigation drivers'!F64*SolidStorageN2O)+('Mitigation drivers'!F65*DailyspreadN2O)+('Mitigation drivers'!F66*CompostN2O)+('Mitigation drivers'!F67*ManwithbedN2O)+('Mitigation drivers'!F68*PMwithoutlitterN2O)+('Mitigation drivers'!F69*PMwithlitterN2O)+('Mitigation drivers'!F71*DigesterN2OEF))/100</f>
        <v>1.5000000000000002E-3</v>
      </c>
      <c r="L58" s="26">
        <f>(('Mitigation drivers'!G61*LagoonN2O)+('Mitigation drivers'!G62*LiquidN2O)+('Mitigation drivers'!G63*DrylotN2O)+('Mitigation drivers'!G64*SolidStorageN2O)+('Mitigation drivers'!G65*DailyspreadN2O)+('Mitigation drivers'!G66*CompostN2O)+('Mitigation drivers'!G67*ManwithbedN2O)+('Mitigation drivers'!G68*PMwithoutlitterN2O)+('Mitigation drivers'!G69*PMwithlitterN2O)+('Mitigation drivers'!G71*DigesterN2OEF))/100</f>
        <v>1.5000000000000002E-3</v>
      </c>
      <c r="M58" s="26">
        <f>(('Mitigation drivers'!H61*LagoonN2O)+('Mitigation drivers'!H62*LiquidN2O)+('Mitigation drivers'!H63*DrylotN2O)+('Mitigation drivers'!H64*SolidStorageN2O)+('Mitigation drivers'!H65*DailyspreadN2O)+('Mitigation drivers'!H66*CompostN2O)+('Mitigation drivers'!H67*ManwithbedN2O)+('Mitigation drivers'!H68*PMwithoutlitterN2O)+('Mitigation drivers'!H69*PMwithlitterN2O)+('Mitigation drivers'!H71*DigesterN2OEF))/100</f>
        <v>1.5000000000000002E-3</v>
      </c>
      <c r="N58" s="26">
        <f>(('Mitigation drivers'!I61*LagoonN2O)+('Mitigation drivers'!I62*LiquidN2O)+('Mitigation drivers'!I63*DrylotN2O)+('Mitigation drivers'!I64*SolidStorageN2O)+('Mitigation drivers'!I65*DailyspreadN2O)+('Mitigation drivers'!I66*CompostN2O)+('Mitigation drivers'!I67*ManwithbedN2O)+('Mitigation drivers'!I68*PMwithoutlitterN2O)+('Mitigation drivers'!I69*PMwithlitterN2O)+('Mitigation drivers'!I71*DigesterN2OEF))/100</f>
        <v>1.5000000000000002E-3</v>
      </c>
      <c r="O58" s="26">
        <f>(('Mitigation drivers'!J61*LagoonN2O)+('Mitigation drivers'!J62*LiquidN2O)+('Mitigation drivers'!J63*DrylotN2O)+('Mitigation drivers'!J64*SolidStorageN2O)+('Mitigation drivers'!J65*DailyspreadN2O)+('Mitigation drivers'!J66*CompostN2O)+('Mitigation drivers'!J67*ManwithbedN2O)+('Mitigation drivers'!J68*PMwithoutlitterN2O)+('Mitigation drivers'!J69*PMwithlitterN2O)+('Mitigation drivers'!J71*DigesterN2OEF))/100</f>
        <v>1.5000000000000002E-3</v>
      </c>
      <c r="P58" s="26">
        <f>(('Mitigation drivers'!K61*LagoonN2O)+('Mitigation drivers'!K62*LiquidN2O)+('Mitigation drivers'!K63*DrylotN2O)+('Mitigation drivers'!K64*SolidStorageN2O)+('Mitigation drivers'!K65*DailyspreadN2O)+('Mitigation drivers'!K66*CompostN2O)+('Mitigation drivers'!K67*ManwithbedN2O)+('Mitigation drivers'!K68*PMwithoutlitterN2O)+('Mitigation drivers'!K69*PMwithlitterN2O)+('Mitigation drivers'!K71*DigesterN2OEF))/100</f>
        <v>1.5000000000000002E-3</v>
      </c>
      <c r="Q58" s="26">
        <f>(('Mitigation drivers'!L61*LagoonN2O)+('Mitigation drivers'!L62*LiquidN2O)+('Mitigation drivers'!L63*DrylotN2O)+('Mitigation drivers'!L64*SolidStorageN2O)+('Mitigation drivers'!L65*DailyspreadN2O)+('Mitigation drivers'!L66*CompostN2O)+('Mitigation drivers'!L67*ManwithbedN2O)+('Mitigation drivers'!L68*PMwithoutlitterN2O)+('Mitigation drivers'!L69*PMwithlitterN2O)+('Mitigation drivers'!L71*DigesterN2OEF))/100</f>
        <v>1.5000000000000002E-3</v>
      </c>
      <c r="R58" s="26">
        <f>(('Mitigation drivers'!M61*LagoonN2O)+('Mitigation drivers'!M62*LiquidN2O)+('Mitigation drivers'!M63*DrylotN2O)+('Mitigation drivers'!M64*SolidStorageN2O)+('Mitigation drivers'!M65*DailyspreadN2O)+('Mitigation drivers'!M66*CompostN2O)+('Mitigation drivers'!M67*ManwithbedN2O)+('Mitigation drivers'!M68*PMwithoutlitterN2O)+('Mitigation drivers'!M69*PMwithlitterN2O)+('Mitigation drivers'!M71*DigesterN2OEF))/100</f>
        <v>1.5000000000000002E-3</v>
      </c>
      <c r="S58" s="26">
        <f>(('Mitigation drivers'!N61*LagoonN2O)+('Mitigation drivers'!N62*LiquidN2O)+('Mitigation drivers'!N63*DrylotN2O)+('Mitigation drivers'!N64*SolidStorageN2O)+('Mitigation drivers'!N65*DailyspreadN2O)+('Mitigation drivers'!N66*CompostN2O)+('Mitigation drivers'!N67*ManwithbedN2O)+('Mitigation drivers'!N68*PMwithoutlitterN2O)+('Mitigation drivers'!N69*PMwithlitterN2O)+('Mitigation drivers'!N71*DigesterN2OEF))/100</f>
        <v>1.5000000000000002E-3</v>
      </c>
      <c r="T58" s="26">
        <f>(('Mitigation drivers'!O61*LagoonN2O)+('Mitigation drivers'!O62*LiquidN2O)+('Mitigation drivers'!O63*DrylotN2O)+('Mitigation drivers'!O64*SolidStorageN2O)+('Mitigation drivers'!O65*DailyspreadN2O)+('Mitigation drivers'!O66*CompostN2O)+('Mitigation drivers'!O67*ManwithbedN2O)+('Mitigation drivers'!O68*PMwithoutlitterN2O)+('Mitigation drivers'!O69*PMwithlitterN2O)+('Mitigation drivers'!O71*DigesterN2OEF))/100</f>
        <v>1.5000000000000002E-3</v>
      </c>
      <c r="U58" s="26">
        <f>(('Mitigation drivers'!P61*LagoonN2O)+('Mitigation drivers'!P62*LiquidN2O)+('Mitigation drivers'!P63*DrylotN2O)+('Mitigation drivers'!P64*SolidStorageN2O)+('Mitigation drivers'!P65*DailyspreadN2O)+('Mitigation drivers'!P66*CompostN2O)+('Mitigation drivers'!P67*ManwithbedN2O)+('Mitigation drivers'!P68*PMwithoutlitterN2O)+('Mitigation drivers'!P69*PMwithlitterN2O)+('Mitigation drivers'!P71*DigesterN2OEF))/100</f>
        <v>1.5000000000000002E-3</v>
      </c>
      <c r="V58" s="26">
        <f>(('Mitigation drivers'!Q61*LagoonN2O)+('Mitigation drivers'!Q62*LiquidN2O)+('Mitigation drivers'!Q63*DrylotN2O)+('Mitigation drivers'!Q64*SolidStorageN2O)+('Mitigation drivers'!Q65*DailyspreadN2O)+('Mitigation drivers'!Q66*CompostN2O)+('Mitigation drivers'!Q67*ManwithbedN2O)+('Mitigation drivers'!Q68*PMwithoutlitterN2O)+('Mitigation drivers'!Q69*PMwithlitterN2O)+('Mitigation drivers'!Q71*DigesterN2OEF))/100</f>
        <v>1.5000000000000002E-3</v>
      </c>
      <c r="W58" s="26">
        <f>(('Mitigation drivers'!R61*LagoonN2O)+('Mitigation drivers'!R62*LiquidN2O)+('Mitigation drivers'!R63*DrylotN2O)+('Mitigation drivers'!R64*SolidStorageN2O)+('Mitigation drivers'!R65*DailyspreadN2O)+('Mitigation drivers'!R66*CompostN2O)+('Mitigation drivers'!R67*ManwithbedN2O)+('Mitigation drivers'!R68*PMwithoutlitterN2O)+('Mitigation drivers'!R69*PMwithlitterN2O)+('Mitigation drivers'!R71*DigesterN2OEF))/100</f>
        <v>1.5000000000000002E-3</v>
      </c>
      <c r="X58" s="26">
        <f>(('Mitigation drivers'!S61*LagoonN2O)+('Mitigation drivers'!S62*LiquidN2O)+('Mitigation drivers'!S63*DrylotN2O)+('Mitigation drivers'!S64*SolidStorageN2O)+('Mitigation drivers'!S65*DailyspreadN2O)+('Mitigation drivers'!S66*CompostN2O)+('Mitigation drivers'!S67*ManwithbedN2O)+('Mitigation drivers'!S68*PMwithoutlitterN2O)+('Mitigation drivers'!S69*PMwithlitterN2O)+('Mitigation drivers'!S71*DigesterN2OEF))/100</f>
        <v>1.5000000000000002E-3</v>
      </c>
      <c r="Y58" s="26">
        <f>(('Mitigation drivers'!T61*LagoonN2O)+('Mitigation drivers'!T62*LiquidN2O)+('Mitigation drivers'!T63*DrylotN2O)+('Mitigation drivers'!T64*SolidStorageN2O)+('Mitigation drivers'!T65*DailyspreadN2O)+('Mitigation drivers'!T66*CompostN2O)+('Mitigation drivers'!T67*ManwithbedN2O)+('Mitigation drivers'!T68*PMwithoutlitterN2O)+('Mitigation drivers'!T69*PMwithlitterN2O)+('Mitigation drivers'!T71*DigesterN2OEF))/100</f>
        <v>1.5000000000000002E-3</v>
      </c>
      <c r="Z58" s="26">
        <f>(('Mitigation drivers'!U61*LagoonN2O)+('Mitigation drivers'!U62*LiquidN2O)+('Mitigation drivers'!U63*DrylotN2O)+('Mitigation drivers'!U64*SolidStorageN2O)+('Mitigation drivers'!U65*DailyspreadN2O)+('Mitigation drivers'!U66*CompostN2O)+('Mitigation drivers'!U67*ManwithbedN2O)+('Mitigation drivers'!U68*PMwithoutlitterN2O)+('Mitigation drivers'!U69*PMwithlitterN2O)+('Mitigation drivers'!U71*DigesterN2OEF))/100</f>
        <v>1.5000000000000002E-3</v>
      </c>
      <c r="AA58" s="26">
        <f>(('Mitigation drivers'!V61*LagoonN2O)+('Mitigation drivers'!V62*LiquidN2O)+('Mitigation drivers'!V63*DrylotN2O)+('Mitigation drivers'!V64*SolidStorageN2O)+('Mitigation drivers'!V65*DailyspreadN2O)+('Mitigation drivers'!V66*CompostN2O)+('Mitigation drivers'!V67*ManwithbedN2O)+('Mitigation drivers'!V68*PMwithoutlitterN2O)+('Mitigation drivers'!V69*PMwithlitterN2O)+('Mitigation drivers'!V71*DigesterN2OEF))/100</f>
        <v>1.5000000000000002E-3</v>
      </c>
      <c r="AB58" s="26">
        <f>(('Mitigation drivers'!W61*LagoonN2O)+('Mitigation drivers'!W62*LiquidN2O)+('Mitigation drivers'!W63*DrylotN2O)+('Mitigation drivers'!W64*SolidStorageN2O)+('Mitigation drivers'!W65*DailyspreadN2O)+('Mitigation drivers'!W66*CompostN2O)+('Mitigation drivers'!W67*ManwithbedN2O)+('Mitigation drivers'!W68*PMwithoutlitterN2O)+('Mitigation drivers'!W69*PMwithlitterN2O)+('Mitigation drivers'!W71*DigesterN2OEF))/100</f>
        <v>1.5000000000000002E-3</v>
      </c>
      <c r="AC58" s="26">
        <f>(('Mitigation drivers'!X61*LagoonN2O)+('Mitigation drivers'!X62*LiquidN2O)+('Mitigation drivers'!X63*DrylotN2O)+('Mitigation drivers'!X64*SolidStorageN2O)+('Mitigation drivers'!X65*DailyspreadN2O)+('Mitigation drivers'!X66*CompostN2O)+('Mitigation drivers'!X67*ManwithbedN2O)+('Mitigation drivers'!X68*PMwithoutlitterN2O)+('Mitigation drivers'!X69*PMwithlitterN2O)+('Mitigation drivers'!X71*DigesterN2OEF))/100</f>
        <v>1.5000000000000002E-3</v>
      </c>
      <c r="AD58" s="26">
        <f>(('Mitigation drivers'!Y61*LagoonN2O)+('Mitigation drivers'!Y62*LiquidN2O)+('Mitigation drivers'!Y63*DrylotN2O)+('Mitigation drivers'!Y64*SolidStorageN2O)+('Mitigation drivers'!Y65*DailyspreadN2O)+('Mitigation drivers'!Y66*CompostN2O)+('Mitigation drivers'!Y67*ManwithbedN2O)+('Mitigation drivers'!Y68*PMwithoutlitterN2O)+('Mitigation drivers'!Y69*PMwithlitterN2O)+('Mitigation drivers'!Y71*DigesterN2OEF))/100</f>
        <v>1.5000000000000002E-3</v>
      </c>
      <c r="AE58" s="26">
        <f>(('Mitigation drivers'!Z61*LagoonN2O)+('Mitigation drivers'!Z62*LiquidN2O)+('Mitigation drivers'!Z63*DrylotN2O)+('Mitigation drivers'!Z64*SolidStorageN2O)+('Mitigation drivers'!Z65*DailyspreadN2O)+('Mitigation drivers'!Z66*CompostN2O)+('Mitigation drivers'!Z67*ManwithbedN2O)+('Mitigation drivers'!Z68*PMwithoutlitterN2O)+('Mitigation drivers'!Z69*PMwithlitterN2O)+('Mitigation drivers'!Z71*DigesterN2OEF))/100</f>
        <v>1.5000000000000002E-3</v>
      </c>
      <c r="AF58" s="26">
        <f>(('Mitigation drivers'!AA61*LagoonN2O)+('Mitigation drivers'!AA62*LiquidN2O)+('Mitigation drivers'!AA63*DrylotN2O)+('Mitigation drivers'!AA64*SolidStorageN2O)+('Mitigation drivers'!AA65*DailyspreadN2O)+('Mitigation drivers'!AA66*CompostN2O)+('Mitigation drivers'!AA67*ManwithbedN2O)+('Mitigation drivers'!AA68*PMwithoutlitterN2O)+('Mitigation drivers'!AA69*PMwithlitterN2O)+('Mitigation drivers'!AA71*DigesterN2OEF))/100</f>
        <v>1.5000000000000002E-3</v>
      </c>
      <c r="AG58" s="26">
        <f>(('Mitigation drivers'!AB61*LagoonN2O)+('Mitigation drivers'!AB62*LiquidN2O)+('Mitigation drivers'!AB63*DrylotN2O)+('Mitigation drivers'!AB64*SolidStorageN2O)+('Mitigation drivers'!AB65*DailyspreadN2O)+('Mitigation drivers'!AB66*CompostN2O)+('Mitigation drivers'!AB67*ManwithbedN2O)+('Mitigation drivers'!AB68*PMwithoutlitterN2O)+('Mitigation drivers'!AB69*PMwithlitterN2O)+('Mitigation drivers'!AB71*DigesterN2OEF))/100</f>
        <v>1.5000000000000002E-3</v>
      </c>
      <c r="AH58" s="26">
        <f>(('Mitigation drivers'!AC61*LagoonN2O)+('Mitigation drivers'!AC62*LiquidN2O)+('Mitigation drivers'!AC63*DrylotN2O)+('Mitigation drivers'!AC64*SolidStorageN2O)+('Mitigation drivers'!AC65*DailyspreadN2O)+('Mitigation drivers'!AC66*CompostN2O)+('Mitigation drivers'!AC67*ManwithbedN2O)+('Mitigation drivers'!AC68*PMwithoutlitterN2O)+('Mitigation drivers'!AC69*PMwithlitterN2O)+('Mitigation drivers'!AC71*DigesterN2OEF))/100</f>
        <v>1.5000000000000002E-3</v>
      </c>
      <c r="AI58" s="26">
        <f>(('Mitigation drivers'!AD61*LagoonN2O)+('Mitigation drivers'!AD62*LiquidN2O)+('Mitigation drivers'!AD63*DrylotN2O)+('Mitigation drivers'!AD64*SolidStorageN2O)+('Mitigation drivers'!AD65*DailyspreadN2O)+('Mitigation drivers'!AD66*CompostN2O)+('Mitigation drivers'!AD67*ManwithbedN2O)+('Mitigation drivers'!AD68*PMwithoutlitterN2O)+('Mitigation drivers'!AD69*PMwithlitterN2O)+('Mitigation drivers'!AD71*DigesterN2OEF))/100</f>
        <v>1.5000000000000002E-3</v>
      </c>
      <c r="AJ58" s="26">
        <f>(('Mitigation drivers'!AE61*LagoonN2O)+('Mitigation drivers'!AE62*LiquidN2O)+('Mitigation drivers'!AE63*DrylotN2O)+('Mitigation drivers'!AE64*SolidStorageN2O)+('Mitigation drivers'!AE65*DailyspreadN2O)+('Mitigation drivers'!AE66*CompostN2O)+('Mitigation drivers'!AE67*ManwithbedN2O)+('Mitigation drivers'!AE68*PMwithoutlitterN2O)+('Mitigation drivers'!AE69*PMwithlitterN2O)+('Mitigation drivers'!AE71*DigesterN2OEF))/100</f>
        <v>1.5000000000000002E-3</v>
      </c>
      <c r="AK58" s="26">
        <f>(('Mitigation drivers'!AF61*LagoonN2O)+('Mitigation drivers'!AF62*LiquidN2O)+('Mitigation drivers'!AF63*DrylotN2O)+('Mitigation drivers'!AF64*SolidStorageN2O)+('Mitigation drivers'!AF65*DailyspreadN2O)+('Mitigation drivers'!AF66*CompostN2O)+('Mitigation drivers'!AF67*ManwithbedN2O)+('Mitigation drivers'!AF68*PMwithoutlitterN2O)+('Mitigation drivers'!AF69*PMwithlitterN2O)+('Mitigation drivers'!AF71*DigesterN2OEF))/100</f>
        <v>1.5000000000000002E-3</v>
      </c>
      <c r="AL58" s="26">
        <f>(('Mitigation drivers'!AG61*LagoonN2O)+('Mitigation drivers'!AG62*LiquidN2O)+('Mitigation drivers'!AG63*DrylotN2O)+('Mitigation drivers'!AG64*SolidStorageN2O)+('Mitigation drivers'!AG65*DailyspreadN2O)+('Mitigation drivers'!AG66*CompostN2O)+('Mitigation drivers'!AG67*ManwithbedN2O)+('Mitigation drivers'!AG68*PMwithoutlitterN2O)+('Mitigation drivers'!AG69*PMwithlitterN2O)+('Mitigation drivers'!AG71*DigesterN2OEF))/100</f>
        <v>1.5000000000000002E-3</v>
      </c>
      <c r="AM58" s="26">
        <f>(('Mitigation drivers'!AH61*LagoonN2O)+('Mitigation drivers'!AH62*LiquidN2O)+('Mitigation drivers'!AH63*DrylotN2O)+('Mitigation drivers'!AH64*SolidStorageN2O)+('Mitigation drivers'!AH65*DailyspreadN2O)+('Mitigation drivers'!AH66*CompostN2O)+('Mitigation drivers'!AH67*ManwithbedN2O)+('Mitigation drivers'!AH68*PMwithoutlitterN2O)+('Mitigation drivers'!AH69*PMwithlitterN2O)+('Mitigation drivers'!AH71*DigesterN2OEF))/100</f>
        <v>1.5000000000000002E-3</v>
      </c>
      <c r="AN58" s="26">
        <f>(('Mitigation drivers'!AI61*LagoonN2O)+('Mitigation drivers'!AI62*LiquidN2O)+('Mitigation drivers'!AI63*DrylotN2O)+('Mitigation drivers'!AI64*SolidStorageN2O)+('Mitigation drivers'!AI65*DailyspreadN2O)+('Mitigation drivers'!AI66*CompostN2O)+('Mitigation drivers'!AI67*ManwithbedN2O)+('Mitigation drivers'!AI68*PMwithoutlitterN2O)+('Mitigation drivers'!AI69*PMwithlitterN2O)+('Mitigation drivers'!AI71*DigesterN2OEF))/100</f>
        <v>1.5000000000000002E-3</v>
      </c>
      <c r="AO58" s="26">
        <f>(('Mitigation drivers'!AJ61*LagoonN2O)+('Mitigation drivers'!AJ62*LiquidN2O)+('Mitigation drivers'!AJ63*DrylotN2O)+('Mitigation drivers'!AJ64*SolidStorageN2O)+('Mitigation drivers'!AJ65*DailyspreadN2O)+('Mitigation drivers'!AJ66*CompostN2O)+('Mitigation drivers'!AJ67*ManwithbedN2O)+('Mitigation drivers'!AJ68*PMwithoutlitterN2O)+('Mitigation drivers'!AJ69*PMwithlitterN2O)+('Mitigation drivers'!AJ71*DigesterN2OEF))/100</f>
        <v>1.5000000000000002E-3</v>
      </c>
    </row>
    <row r="59" spans="1:41" x14ac:dyDescent="0.25">
      <c r="A59" t="str">
        <f t="shared" si="1"/>
        <v>3A Livestock</v>
      </c>
      <c r="B59" t="str">
        <f t="shared" si="8"/>
        <v>3A2 Manure management (N2O)</v>
      </c>
      <c r="C59" t="str">
        <f>'Activity data'!C10</f>
        <v>3A1aii Other cattle</v>
      </c>
      <c r="D59" t="str">
        <f>'Activity data'!D10</f>
        <v>Feedlot</v>
      </c>
      <c r="E59" t="str">
        <f t="shared" si="27"/>
        <v>Manure management EF</v>
      </c>
      <c r="F59" t="str">
        <f t="shared" si="28"/>
        <v>N2O</v>
      </c>
      <c r="G59" t="str">
        <f t="shared" si="29"/>
        <v>kg N2O-N/kg Nex</v>
      </c>
      <c r="H59" s="26">
        <f>(('Mitigation drivers'!C73*LagoonN2O)+('Mitigation drivers'!C74*LiquidN2O)+('Mitigation drivers'!C75*DrylotN2O)+('Mitigation drivers'!C76*SolidStorageN2O)+('Mitigation drivers'!C77*DailyspreadN2O)+('Mitigation drivers'!C78*CompostN2O)+('Mitigation drivers'!C79*ManwithbedN2O)+('Mitigation drivers'!C80*PMwithoutlitterN2O)+('Mitigation drivers'!C81*PMwithlitterN2O)+('Mitigation drivers'!C83*DigesterN2OEF))/100</f>
        <v>1.7500000000000002E-2</v>
      </c>
      <c r="I59" s="26">
        <f>(('Mitigation drivers'!D73*LagoonN2O)+('Mitigation drivers'!D74*LiquidN2O)+('Mitigation drivers'!D75*DrylotN2O)+('Mitigation drivers'!D76*SolidStorageN2O)+('Mitigation drivers'!D77*DailyspreadN2O)+('Mitigation drivers'!D78*CompostN2O)+('Mitigation drivers'!D79*ManwithbedN2O)+('Mitigation drivers'!D80*PMwithoutlitterN2O)+('Mitigation drivers'!D81*PMwithlitterN2O)+('Mitigation drivers'!D83*DigesterN2OEF))/100</f>
        <v>1.7500000000000002E-2</v>
      </c>
      <c r="J59" s="26">
        <f>(('Mitigation drivers'!E73*LagoonN2O)+('Mitigation drivers'!E74*LiquidN2O)+('Mitigation drivers'!E75*DrylotN2O)+('Mitigation drivers'!E76*SolidStorageN2O)+('Mitigation drivers'!E77*DailyspreadN2O)+('Mitigation drivers'!E78*CompostN2O)+('Mitigation drivers'!E79*ManwithbedN2O)+('Mitigation drivers'!E80*PMwithoutlitterN2O)+('Mitigation drivers'!E81*PMwithlitterN2O)+('Mitigation drivers'!E83*DigesterN2OEF))/100</f>
        <v>1.7500000000000002E-2</v>
      </c>
      <c r="K59" s="26">
        <f>(('Mitigation drivers'!F73*LagoonN2O)+('Mitigation drivers'!F74*LiquidN2O)+('Mitigation drivers'!F75*DrylotN2O)+('Mitigation drivers'!F76*SolidStorageN2O)+('Mitigation drivers'!F77*DailyspreadN2O)+('Mitigation drivers'!F78*CompostN2O)+('Mitigation drivers'!F79*ManwithbedN2O)+('Mitigation drivers'!F80*PMwithoutlitterN2O)+('Mitigation drivers'!F81*PMwithlitterN2O)+('Mitigation drivers'!F83*DigesterN2OEF))/100</f>
        <v>1.7500000000000002E-2</v>
      </c>
      <c r="L59" s="26">
        <f>(('Mitigation drivers'!G73*LagoonN2O)+('Mitigation drivers'!G74*LiquidN2O)+('Mitigation drivers'!G75*DrylotN2O)+('Mitigation drivers'!G76*SolidStorageN2O)+('Mitigation drivers'!G77*DailyspreadN2O)+('Mitigation drivers'!G78*CompostN2O)+('Mitigation drivers'!G79*ManwithbedN2O)+('Mitigation drivers'!G80*PMwithoutlitterN2O)+('Mitigation drivers'!G81*PMwithlitterN2O)+('Mitigation drivers'!G83*DigesterN2OEF))/100</f>
        <v>1.7500000000000002E-2</v>
      </c>
      <c r="M59" s="26">
        <f>(('Mitigation drivers'!H73*LagoonN2O)+('Mitigation drivers'!H74*LiquidN2O)+('Mitigation drivers'!H75*DrylotN2O)+('Mitigation drivers'!H76*SolidStorageN2O)+('Mitigation drivers'!H77*DailyspreadN2O)+('Mitigation drivers'!H78*CompostN2O)+('Mitigation drivers'!H79*ManwithbedN2O)+('Mitigation drivers'!H80*PMwithoutlitterN2O)+('Mitigation drivers'!H81*PMwithlitterN2O)+('Mitigation drivers'!H83*DigesterN2OEF))/100</f>
        <v>1.7500000000000002E-2</v>
      </c>
      <c r="N59" s="26">
        <f>(('Mitigation drivers'!I73*LagoonN2O)+('Mitigation drivers'!I74*LiquidN2O)+('Mitigation drivers'!I75*DrylotN2O)+('Mitigation drivers'!I76*SolidStorageN2O)+('Mitigation drivers'!I77*DailyspreadN2O)+('Mitigation drivers'!I78*CompostN2O)+('Mitigation drivers'!I79*ManwithbedN2O)+('Mitigation drivers'!I80*PMwithoutlitterN2O)+('Mitigation drivers'!I81*PMwithlitterN2O)+('Mitigation drivers'!I83*DigesterN2OEF))/100</f>
        <v>1.7500000000000002E-2</v>
      </c>
      <c r="O59" s="26">
        <f>(('Mitigation drivers'!J73*LagoonN2O)+('Mitigation drivers'!J74*LiquidN2O)+('Mitigation drivers'!J75*DrylotN2O)+('Mitigation drivers'!J76*SolidStorageN2O)+('Mitigation drivers'!J77*DailyspreadN2O)+('Mitigation drivers'!J78*CompostN2O)+('Mitigation drivers'!J79*ManwithbedN2O)+('Mitigation drivers'!J80*PMwithoutlitterN2O)+('Mitigation drivers'!J81*PMwithlitterN2O)+('Mitigation drivers'!J83*DigesterN2OEF))/100</f>
        <v>1.7500000000000002E-2</v>
      </c>
      <c r="P59" s="26">
        <f>(('Mitigation drivers'!K73*LagoonN2O)+('Mitigation drivers'!K74*LiquidN2O)+('Mitigation drivers'!K75*DrylotN2O)+('Mitigation drivers'!K76*SolidStorageN2O)+('Mitigation drivers'!K77*DailyspreadN2O)+('Mitigation drivers'!K78*CompostN2O)+('Mitigation drivers'!K79*ManwithbedN2O)+('Mitigation drivers'!K80*PMwithoutlitterN2O)+('Mitigation drivers'!K81*PMwithlitterN2O)+('Mitigation drivers'!K83*DigesterN2OEF))/100</f>
        <v>1.7500000000000002E-2</v>
      </c>
      <c r="Q59" s="26">
        <f>(('Mitigation drivers'!L73*LagoonN2O)+('Mitigation drivers'!L74*LiquidN2O)+('Mitigation drivers'!L75*DrylotN2O)+('Mitigation drivers'!L76*SolidStorageN2O)+('Mitigation drivers'!L77*DailyspreadN2O)+('Mitigation drivers'!L78*CompostN2O)+('Mitigation drivers'!L79*ManwithbedN2O)+('Mitigation drivers'!L80*PMwithoutlitterN2O)+('Mitigation drivers'!L81*PMwithlitterN2O)+('Mitigation drivers'!L83*DigesterN2OEF))/100</f>
        <v>1.7500000000000002E-2</v>
      </c>
      <c r="R59" s="26">
        <f>(('Mitigation drivers'!M73*LagoonN2O)+('Mitigation drivers'!M74*LiquidN2O)+('Mitigation drivers'!M75*DrylotN2O)+('Mitigation drivers'!M76*SolidStorageN2O)+('Mitigation drivers'!M77*DailyspreadN2O)+('Mitigation drivers'!M78*CompostN2O)+('Mitigation drivers'!M79*ManwithbedN2O)+('Mitigation drivers'!M80*PMwithoutlitterN2O)+('Mitigation drivers'!M81*PMwithlitterN2O)+('Mitigation drivers'!M83*DigesterN2OEF))/100</f>
        <v>1.7500000000000002E-2</v>
      </c>
      <c r="S59" s="26">
        <f>(('Mitigation drivers'!N73*LagoonN2O)+('Mitigation drivers'!N74*LiquidN2O)+('Mitigation drivers'!N75*DrylotN2O)+('Mitigation drivers'!N76*SolidStorageN2O)+('Mitigation drivers'!N77*DailyspreadN2O)+('Mitigation drivers'!N78*CompostN2O)+('Mitigation drivers'!N79*ManwithbedN2O)+('Mitigation drivers'!N80*PMwithoutlitterN2O)+('Mitigation drivers'!N81*PMwithlitterN2O)+('Mitigation drivers'!N83*DigesterN2OEF))/100</f>
        <v>1.7500000000000002E-2</v>
      </c>
      <c r="T59" s="26">
        <f>(('Mitigation drivers'!O73*LagoonN2O)+('Mitigation drivers'!O74*LiquidN2O)+('Mitigation drivers'!O75*DrylotN2O)+('Mitigation drivers'!O76*SolidStorageN2O)+('Mitigation drivers'!O77*DailyspreadN2O)+('Mitigation drivers'!O78*CompostN2O)+('Mitigation drivers'!O79*ManwithbedN2O)+('Mitigation drivers'!O80*PMwithoutlitterN2O)+('Mitigation drivers'!O81*PMwithlitterN2O)+('Mitigation drivers'!O83*DigesterN2OEF))/100</f>
        <v>1.7500000000000002E-2</v>
      </c>
      <c r="U59" s="26">
        <f>(('Mitigation drivers'!P73*LagoonN2O)+('Mitigation drivers'!P74*LiquidN2O)+('Mitigation drivers'!P75*DrylotN2O)+('Mitigation drivers'!P76*SolidStorageN2O)+('Mitigation drivers'!P77*DailyspreadN2O)+('Mitigation drivers'!P78*CompostN2O)+('Mitigation drivers'!P79*ManwithbedN2O)+('Mitigation drivers'!P80*PMwithoutlitterN2O)+('Mitigation drivers'!P81*PMwithlitterN2O)+('Mitigation drivers'!P83*DigesterN2OEF))/100</f>
        <v>1.7500000000000002E-2</v>
      </c>
      <c r="V59" s="26">
        <f>(('Mitigation drivers'!Q73*LagoonN2O)+('Mitigation drivers'!Q74*LiquidN2O)+('Mitigation drivers'!Q75*DrylotN2O)+('Mitigation drivers'!Q76*SolidStorageN2O)+('Mitigation drivers'!Q77*DailyspreadN2O)+('Mitigation drivers'!Q78*CompostN2O)+('Mitigation drivers'!Q79*ManwithbedN2O)+('Mitigation drivers'!Q80*PMwithoutlitterN2O)+('Mitigation drivers'!Q81*PMwithlitterN2O)+('Mitigation drivers'!Q83*DigesterN2OEF))/100</f>
        <v>1.7500000000000002E-2</v>
      </c>
      <c r="W59" s="26">
        <f>(('Mitigation drivers'!R73*LagoonN2O)+('Mitigation drivers'!R74*LiquidN2O)+('Mitigation drivers'!R75*DrylotN2O)+('Mitigation drivers'!R76*SolidStorageN2O)+('Mitigation drivers'!R77*DailyspreadN2O)+('Mitigation drivers'!R78*CompostN2O)+('Mitigation drivers'!R79*ManwithbedN2O)+('Mitigation drivers'!R80*PMwithoutlitterN2O)+('Mitigation drivers'!R81*PMwithlitterN2O)+('Mitigation drivers'!R83*DigesterN2OEF))/100</f>
        <v>1.7500000000000002E-2</v>
      </c>
      <c r="X59" s="26">
        <f>(('Mitigation drivers'!S73*LagoonN2O)+('Mitigation drivers'!S74*LiquidN2O)+('Mitigation drivers'!S75*DrylotN2O)+('Mitigation drivers'!S76*SolidStorageN2O)+('Mitigation drivers'!S77*DailyspreadN2O)+('Mitigation drivers'!S78*CompostN2O)+('Mitigation drivers'!S79*ManwithbedN2O)+('Mitigation drivers'!S80*PMwithoutlitterN2O)+('Mitigation drivers'!S81*PMwithlitterN2O)+('Mitigation drivers'!S83*DigesterN2OEF))/100</f>
        <v>1.7500000000000002E-2</v>
      </c>
      <c r="Y59" s="26">
        <f>(('Mitigation drivers'!T73*LagoonN2O)+('Mitigation drivers'!T74*LiquidN2O)+('Mitigation drivers'!T75*DrylotN2O)+('Mitigation drivers'!T76*SolidStorageN2O)+('Mitigation drivers'!T77*DailyspreadN2O)+('Mitigation drivers'!T78*CompostN2O)+('Mitigation drivers'!T79*ManwithbedN2O)+('Mitigation drivers'!T80*PMwithoutlitterN2O)+('Mitigation drivers'!T81*PMwithlitterN2O)+('Mitigation drivers'!T83*DigesterN2OEF))/100</f>
        <v>1.7500000000000002E-2</v>
      </c>
      <c r="Z59" s="26">
        <f>(('Mitigation drivers'!U73*LagoonN2O)+('Mitigation drivers'!U74*LiquidN2O)+('Mitigation drivers'!U75*DrylotN2O)+('Mitigation drivers'!U76*SolidStorageN2O)+('Mitigation drivers'!U77*DailyspreadN2O)+('Mitigation drivers'!U78*CompostN2O)+('Mitigation drivers'!U79*ManwithbedN2O)+('Mitigation drivers'!U80*PMwithoutlitterN2O)+('Mitigation drivers'!U81*PMwithlitterN2O)+('Mitigation drivers'!U83*DigesterN2OEF))/100</f>
        <v>1.7500000000000002E-2</v>
      </c>
      <c r="AA59" s="26">
        <f>(('Mitigation drivers'!V73*LagoonN2O)+('Mitigation drivers'!V74*LiquidN2O)+('Mitigation drivers'!V75*DrylotN2O)+('Mitigation drivers'!V76*SolidStorageN2O)+('Mitigation drivers'!V77*DailyspreadN2O)+('Mitigation drivers'!V78*CompostN2O)+('Mitigation drivers'!V79*ManwithbedN2O)+('Mitigation drivers'!V80*PMwithoutlitterN2O)+('Mitigation drivers'!V81*PMwithlitterN2O)+('Mitigation drivers'!V83*DigesterN2OEF))/100</f>
        <v>1.7500000000000002E-2</v>
      </c>
      <c r="AB59" s="26">
        <f>(('Mitigation drivers'!W73*LagoonN2O)+('Mitigation drivers'!W74*LiquidN2O)+('Mitigation drivers'!W75*DrylotN2O)+('Mitigation drivers'!W76*SolidStorageN2O)+('Mitigation drivers'!W77*DailyspreadN2O)+('Mitigation drivers'!W78*CompostN2O)+('Mitigation drivers'!W79*ManwithbedN2O)+('Mitigation drivers'!W80*PMwithoutlitterN2O)+('Mitigation drivers'!W81*PMwithlitterN2O)+('Mitigation drivers'!W83*DigesterN2OEF))/100</f>
        <v>1.7500000000000002E-2</v>
      </c>
      <c r="AC59" s="26">
        <f>(('Mitigation drivers'!X73*LagoonN2O)+('Mitigation drivers'!X74*LiquidN2O)+('Mitigation drivers'!X75*DrylotN2O)+('Mitigation drivers'!X76*SolidStorageN2O)+('Mitigation drivers'!X77*DailyspreadN2O)+('Mitigation drivers'!X78*CompostN2O)+('Mitigation drivers'!X79*ManwithbedN2O)+('Mitigation drivers'!X80*PMwithoutlitterN2O)+('Mitigation drivers'!X81*PMwithlitterN2O)+('Mitigation drivers'!X83*DigesterN2OEF))/100</f>
        <v>1.7500000000000002E-2</v>
      </c>
      <c r="AD59" s="26">
        <f>(('Mitigation drivers'!Y73*LagoonN2O)+('Mitigation drivers'!Y74*LiquidN2O)+('Mitigation drivers'!Y75*DrylotN2O)+('Mitigation drivers'!Y76*SolidStorageN2O)+('Mitigation drivers'!Y77*DailyspreadN2O)+('Mitigation drivers'!Y78*CompostN2O)+('Mitigation drivers'!Y79*ManwithbedN2O)+('Mitigation drivers'!Y80*PMwithoutlitterN2O)+('Mitigation drivers'!Y81*PMwithlitterN2O)+('Mitigation drivers'!Y83*DigesterN2OEF))/100</f>
        <v>1.7500000000000002E-2</v>
      </c>
      <c r="AE59" s="26">
        <f>(('Mitigation drivers'!Z73*LagoonN2O)+('Mitigation drivers'!Z74*LiquidN2O)+('Mitigation drivers'!Z75*DrylotN2O)+('Mitigation drivers'!Z76*SolidStorageN2O)+('Mitigation drivers'!Z77*DailyspreadN2O)+('Mitigation drivers'!Z78*CompostN2O)+('Mitigation drivers'!Z79*ManwithbedN2O)+('Mitigation drivers'!Z80*PMwithoutlitterN2O)+('Mitigation drivers'!Z81*PMwithlitterN2O)+('Mitigation drivers'!Z83*DigesterN2OEF))/100</f>
        <v>1.7500000000000002E-2</v>
      </c>
      <c r="AF59" s="26">
        <f>(('Mitigation drivers'!AA73*LagoonN2O)+('Mitigation drivers'!AA74*LiquidN2O)+('Mitigation drivers'!AA75*DrylotN2O)+('Mitigation drivers'!AA76*SolidStorageN2O)+('Mitigation drivers'!AA77*DailyspreadN2O)+('Mitigation drivers'!AA78*CompostN2O)+('Mitigation drivers'!AA79*ManwithbedN2O)+('Mitigation drivers'!AA80*PMwithoutlitterN2O)+('Mitigation drivers'!AA81*PMwithlitterN2O)+('Mitigation drivers'!AA83*DigesterN2OEF))/100</f>
        <v>1.7500000000000002E-2</v>
      </c>
      <c r="AG59" s="26">
        <f>(('Mitigation drivers'!AB73*LagoonN2O)+('Mitigation drivers'!AB74*LiquidN2O)+('Mitigation drivers'!AB75*DrylotN2O)+('Mitigation drivers'!AB76*SolidStorageN2O)+('Mitigation drivers'!AB77*DailyspreadN2O)+('Mitigation drivers'!AB78*CompostN2O)+('Mitigation drivers'!AB79*ManwithbedN2O)+('Mitigation drivers'!AB80*PMwithoutlitterN2O)+('Mitigation drivers'!AB81*PMwithlitterN2O)+('Mitigation drivers'!AB83*DigesterN2OEF))/100</f>
        <v>1.7500000000000002E-2</v>
      </c>
      <c r="AH59" s="26">
        <f>(('Mitigation drivers'!AC73*LagoonN2O)+('Mitigation drivers'!AC74*LiquidN2O)+('Mitigation drivers'!AC75*DrylotN2O)+('Mitigation drivers'!AC76*SolidStorageN2O)+('Mitigation drivers'!AC77*DailyspreadN2O)+('Mitigation drivers'!AC78*CompostN2O)+('Mitigation drivers'!AC79*ManwithbedN2O)+('Mitigation drivers'!AC80*PMwithoutlitterN2O)+('Mitigation drivers'!AC81*PMwithlitterN2O)+('Mitigation drivers'!AC83*DigesterN2OEF))/100</f>
        <v>1.7500000000000002E-2</v>
      </c>
      <c r="AI59" s="26">
        <f>(('Mitigation drivers'!AD73*LagoonN2O)+('Mitigation drivers'!AD74*LiquidN2O)+('Mitigation drivers'!AD75*DrylotN2O)+('Mitigation drivers'!AD76*SolidStorageN2O)+('Mitigation drivers'!AD77*DailyspreadN2O)+('Mitigation drivers'!AD78*CompostN2O)+('Mitigation drivers'!AD79*ManwithbedN2O)+('Mitigation drivers'!AD80*PMwithoutlitterN2O)+('Mitigation drivers'!AD81*PMwithlitterN2O)+('Mitigation drivers'!AD83*DigesterN2OEF))/100</f>
        <v>1.7500000000000002E-2</v>
      </c>
      <c r="AJ59" s="26">
        <f>(('Mitigation drivers'!AE73*LagoonN2O)+('Mitigation drivers'!AE74*LiquidN2O)+('Mitigation drivers'!AE75*DrylotN2O)+('Mitigation drivers'!AE76*SolidStorageN2O)+('Mitigation drivers'!AE77*DailyspreadN2O)+('Mitigation drivers'!AE78*CompostN2O)+('Mitigation drivers'!AE79*ManwithbedN2O)+('Mitigation drivers'!AE80*PMwithoutlitterN2O)+('Mitigation drivers'!AE81*PMwithlitterN2O)+('Mitigation drivers'!AE83*DigesterN2OEF))/100</f>
        <v>1.7500000000000002E-2</v>
      </c>
      <c r="AK59" s="26">
        <f>(('Mitigation drivers'!AF73*LagoonN2O)+('Mitigation drivers'!AF74*LiquidN2O)+('Mitigation drivers'!AF75*DrylotN2O)+('Mitigation drivers'!AF76*SolidStorageN2O)+('Mitigation drivers'!AF77*DailyspreadN2O)+('Mitigation drivers'!AF78*CompostN2O)+('Mitigation drivers'!AF79*ManwithbedN2O)+('Mitigation drivers'!AF80*PMwithoutlitterN2O)+('Mitigation drivers'!AF81*PMwithlitterN2O)+('Mitigation drivers'!AF83*DigesterN2OEF))/100</f>
        <v>1.7500000000000002E-2</v>
      </c>
      <c r="AL59" s="26">
        <f>(('Mitigation drivers'!AG73*LagoonN2O)+('Mitigation drivers'!AG74*LiquidN2O)+('Mitigation drivers'!AG75*DrylotN2O)+('Mitigation drivers'!AG76*SolidStorageN2O)+('Mitigation drivers'!AG77*DailyspreadN2O)+('Mitigation drivers'!AG78*CompostN2O)+('Mitigation drivers'!AG79*ManwithbedN2O)+('Mitigation drivers'!AG80*PMwithoutlitterN2O)+('Mitigation drivers'!AG81*PMwithlitterN2O)+('Mitigation drivers'!AG83*DigesterN2OEF))/100</f>
        <v>1.7500000000000002E-2</v>
      </c>
      <c r="AM59" s="26">
        <f>(('Mitigation drivers'!AH73*LagoonN2O)+('Mitigation drivers'!AH74*LiquidN2O)+('Mitigation drivers'!AH75*DrylotN2O)+('Mitigation drivers'!AH76*SolidStorageN2O)+('Mitigation drivers'!AH77*DailyspreadN2O)+('Mitigation drivers'!AH78*CompostN2O)+('Mitigation drivers'!AH79*ManwithbedN2O)+('Mitigation drivers'!AH80*PMwithoutlitterN2O)+('Mitigation drivers'!AH81*PMwithlitterN2O)+('Mitigation drivers'!AH83*DigesterN2OEF))/100</f>
        <v>1.7500000000000002E-2</v>
      </c>
      <c r="AN59" s="26">
        <f>(('Mitigation drivers'!AI73*LagoonN2O)+('Mitigation drivers'!AI74*LiquidN2O)+('Mitigation drivers'!AI75*DrylotN2O)+('Mitigation drivers'!AI76*SolidStorageN2O)+('Mitigation drivers'!AI77*DailyspreadN2O)+('Mitigation drivers'!AI78*CompostN2O)+('Mitigation drivers'!AI79*ManwithbedN2O)+('Mitigation drivers'!AI80*PMwithoutlitterN2O)+('Mitigation drivers'!AI81*PMwithlitterN2O)+('Mitigation drivers'!AI83*DigesterN2OEF))/100</f>
        <v>1.7500000000000002E-2</v>
      </c>
      <c r="AO59" s="26">
        <f>(('Mitigation drivers'!AJ73*LagoonN2O)+('Mitigation drivers'!AJ74*LiquidN2O)+('Mitigation drivers'!AJ75*DrylotN2O)+('Mitigation drivers'!AJ76*SolidStorageN2O)+('Mitigation drivers'!AJ77*DailyspreadN2O)+('Mitigation drivers'!AJ78*CompostN2O)+('Mitigation drivers'!AJ79*ManwithbedN2O)+('Mitigation drivers'!AJ80*PMwithoutlitterN2O)+('Mitigation drivers'!AJ81*PMwithlitterN2O)+('Mitigation drivers'!AJ83*DigesterN2OEF))/100</f>
        <v>1.7500000000000002E-2</v>
      </c>
    </row>
    <row r="60" spans="1:41" x14ac:dyDescent="0.25">
      <c r="A60" t="str">
        <f t="shared" si="1"/>
        <v>3A Livestock</v>
      </c>
      <c r="B60" t="str">
        <f t="shared" si="8"/>
        <v>3A2 Manure management (N2O)</v>
      </c>
      <c r="C60" t="str">
        <f>'Activity data'!C11</f>
        <v>3A1c Sheep</v>
      </c>
      <c r="D60" t="str">
        <f>'Activity data'!D11</f>
        <v>Commercial</v>
      </c>
      <c r="E60" t="str">
        <f t="shared" si="27"/>
        <v>Manure management EF</v>
      </c>
      <c r="F60" t="str">
        <f t="shared" si="28"/>
        <v>N2O</v>
      </c>
      <c r="G60" t="str">
        <f t="shared" si="29"/>
        <v>kg N2O-N/kg Nex</v>
      </c>
      <c r="H60" s="26">
        <f>(('Mitigation drivers'!C86*LagoonN2O)+('Mitigation drivers'!C87*LiquidN2O)+('Mitigation drivers'!C88*DrylotN2O)+('Mitigation drivers'!C89*SolidStorageN2O)+('Mitigation drivers'!C90*DailyspreadN2O)+('Mitigation drivers'!C91*CompostN2O)+('Mitigation drivers'!C92*ManwithbedN2O)+('Mitigation drivers'!C93*PMwithoutlitterN2O)+('Mitigation drivers'!C94*PMwithlitterN2O)+('Mitigation drivers'!C96*DigesterN2OEF))/100</f>
        <v>2.0000000000000001E-4</v>
      </c>
      <c r="I60" s="26">
        <f>(('Mitigation drivers'!D86*LagoonN2O)+('Mitigation drivers'!D87*LiquidN2O)+('Mitigation drivers'!D88*DrylotN2O)+('Mitigation drivers'!D89*SolidStorageN2O)+('Mitigation drivers'!D90*DailyspreadN2O)+('Mitigation drivers'!D91*CompostN2O)+('Mitigation drivers'!D92*ManwithbedN2O)+('Mitigation drivers'!D93*PMwithoutlitterN2O)+('Mitigation drivers'!D94*PMwithlitterN2O)+('Mitigation drivers'!D96*DigesterN2OEF))/100</f>
        <v>2.0000000000000001E-4</v>
      </c>
      <c r="J60" s="26">
        <f>(('Mitigation drivers'!E86*LagoonN2O)+('Mitigation drivers'!E87*LiquidN2O)+('Mitigation drivers'!E88*DrylotN2O)+('Mitigation drivers'!E89*SolidStorageN2O)+('Mitigation drivers'!E90*DailyspreadN2O)+('Mitigation drivers'!E91*CompostN2O)+('Mitigation drivers'!E92*ManwithbedN2O)+('Mitigation drivers'!E93*PMwithoutlitterN2O)+('Mitigation drivers'!E94*PMwithlitterN2O)+('Mitigation drivers'!E96*DigesterN2OEF))/100</f>
        <v>2.0000000000000001E-4</v>
      </c>
      <c r="K60" s="26">
        <f>(('Mitigation drivers'!F86*LagoonN2O)+('Mitigation drivers'!F87*LiquidN2O)+('Mitigation drivers'!F88*DrylotN2O)+('Mitigation drivers'!F89*SolidStorageN2O)+('Mitigation drivers'!F90*DailyspreadN2O)+('Mitigation drivers'!F91*CompostN2O)+('Mitigation drivers'!F92*ManwithbedN2O)+('Mitigation drivers'!F93*PMwithoutlitterN2O)+('Mitigation drivers'!F94*PMwithlitterN2O)+('Mitigation drivers'!F96*DigesterN2OEF))/100</f>
        <v>2.0000000000000001E-4</v>
      </c>
      <c r="L60" s="26">
        <f>(('Mitigation drivers'!G86*LagoonN2O)+('Mitigation drivers'!G87*LiquidN2O)+('Mitigation drivers'!G88*DrylotN2O)+('Mitigation drivers'!G89*SolidStorageN2O)+('Mitigation drivers'!G90*DailyspreadN2O)+('Mitigation drivers'!G91*CompostN2O)+('Mitigation drivers'!G92*ManwithbedN2O)+('Mitigation drivers'!G93*PMwithoutlitterN2O)+('Mitigation drivers'!G94*PMwithlitterN2O)+('Mitigation drivers'!G96*DigesterN2OEF))/100</f>
        <v>2.0000000000000001E-4</v>
      </c>
      <c r="M60" s="26">
        <f>(('Mitigation drivers'!H86*LagoonN2O)+('Mitigation drivers'!H87*LiquidN2O)+('Mitigation drivers'!H88*DrylotN2O)+('Mitigation drivers'!H89*SolidStorageN2O)+('Mitigation drivers'!H90*DailyspreadN2O)+('Mitigation drivers'!H91*CompostN2O)+('Mitigation drivers'!H92*ManwithbedN2O)+('Mitigation drivers'!H93*PMwithoutlitterN2O)+('Mitigation drivers'!H94*PMwithlitterN2O)+('Mitigation drivers'!H96*DigesterN2OEF))/100</f>
        <v>2.0000000000000001E-4</v>
      </c>
      <c r="N60" s="26">
        <f>(('Mitigation drivers'!I86*LagoonN2O)+('Mitigation drivers'!I87*LiquidN2O)+('Mitigation drivers'!I88*DrylotN2O)+('Mitigation drivers'!I89*SolidStorageN2O)+('Mitigation drivers'!I90*DailyspreadN2O)+('Mitigation drivers'!I91*CompostN2O)+('Mitigation drivers'!I92*ManwithbedN2O)+('Mitigation drivers'!I93*PMwithoutlitterN2O)+('Mitigation drivers'!I94*PMwithlitterN2O)+('Mitigation drivers'!I96*DigesterN2OEF))/100</f>
        <v>2.0000000000000001E-4</v>
      </c>
      <c r="O60" s="26">
        <f>(('Mitigation drivers'!J86*LagoonN2O)+('Mitigation drivers'!J87*LiquidN2O)+('Mitigation drivers'!J88*DrylotN2O)+('Mitigation drivers'!J89*SolidStorageN2O)+('Mitigation drivers'!J90*DailyspreadN2O)+('Mitigation drivers'!J91*CompostN2O)+('Mitigation drivers'!J92*ManwithbedN2O)+('Mitigation drivers'!J93*PMwithoutlitterN2O)+('Mitigation drivers'!J94*PMwithlitterN2O)+('Mitigation drivers'!J96*DigesterN2OEF))/100</f>
        <v>2.0000000000000001E-4</v>
      </c>
      <c r="P60" s="26">
        <f>(('Mitigation drivers'!K86*LagoonN2O)+('Mitigation drivers'!K87*LiquidN2O)+('Mitigation drivers'!K88*DrylotN2O)+('Mitigation drivers'!K89*SolidStorageN2O)+('Mitigation drivers'!K90*DailyspreadN2O)+('Mitigation drivers'!K91*CompostN2O)+('Mitigation drivers'!K92*ManwithbedN2O)+('Mitigation drivers'!K93*PMwithoutlitterN2O)+('Mitigation drivers'!K94*PMwithlitterN2O)+('Mitigation drivers'!K96*DigesterN2OEF))/100</f>
        <v>2.0000000000000001E-4</v>
      </c>
      <c r="Q60" s="26">
        <f>(('Mitigation drivers'!L86*LagoonN2O)+('Mitigation drivers'!L87*LiquidN2O)+('Mitigation drivers'!L88*DrylotN2O)+('Mitigation drivers'!L89*SolidStorageN2O)+('Mitigation drivers'!L90*DailyspreadN2O)+('Mitigation drivers'!L91*CompostN2O)+('Mitigation drivers'!L92*ManwithbedN2O)+('Mitigation drivers'!L93*PMwithoutlitterN2O)+('Mitigation drivers'!L94*PMwithlitterN2O)+('Mitigation drivers'!L96*DigesterN2OEF))/100</f>
        <v>2.0000000000000001E-4</v>
      </c>
      <c r="R60" s="26">
        <f>(('Mitigation drivers'!M86*LagoonN2O)+('Mitigation drivers'!M87*LiquidN2O)+('Mitigation drivers'!M88*DrylotN2O)+('Mitigation drivers'!M89*SolidStorageN2O)+('Mitigation drivers'!M90*DailyspreadN2O)+('Mitigation drivers'!M91*CompostN2O)+('Mitigation drivers'!M92*ManwithbedN2O)+('Mitigation drivers'!M93*PMwithoutlitterN2O)+('Mitigation drivers'!M94*PMwithlitterN2O)+('Mitigation drivers'!M96*DigesterN2OEF))/100</f>
        <v>2.0000000000000001E-4</v>
      </c>
      <c r="S60" s="26">
        <f>(('Mitigation drivers'!N86*LagoonN2O)+('Mitigation drivers'!N87*LiquidN2O)+('Mitigation drivers'!N88*DrylotN2O)+('Mitigation drivers'!N89*SolidStorageN2O)+('Mitigation drivers'!N90*DailyspreadN2O)+('Mitigation drivers'!N91*CompostN2O)+('Mitigation drivers'!N92*ManwithbedN2O)+('Mitigation drivers'!N93*PMwithoutlitterN2O)+('Mitigation drivers'!N94*PMwithlitterN2O)+('Mitigation drivers'!N96*DigesterN2OEF))/100</f>
        <v>2.0000000000000001E-4</v>
      </c>
      <c r="T60" s="26">
        <f>(('Mitigation drivers'!O86*LagoonN2O)+('Mitigation drivers'!O87*LiquidN2O)+('Mitigation drivers'!O88*DrylotN2O)+('Mitigation drivers'!O89*SolidStorageN2O)+('Mitigation drivers'!O90*DailyspreadN2O)+('Mitigation drivers'!O91*CompostN2O)+('Mitigation drivers'!O92*ManwithbedN2O)+('Mitigation drivers'!O93*PMwithoutlitterN2O)+('Mitigation drivers'!O94*PMwithlitterN2O)+('Mitigation drivers'!O96*DigesterN2OEF))/100</f>
        <v>2.0000000000000001E-4</v>
      </c>
      <c r="U60" s="26">
        <f>(('Mitigation drivers'!P86*LagoonN2O)+('Mitigation drivers'!P87*LiquidN2O)+('Mitigation drivers'!P88*DrylotN2O)+('Mitigation drivers'!P89*SolidStorageN2O)+('Mitigation drivers'!P90*DailyspreadN2O)+('Mitigation drivers'!P91*CompostN2O)+('Mitigation drivers'!P92*ManwithbedN2O)+('Mitigation drivers'!P93*PMwithoutlitterN2O)+('Mitigation drivers'!P94*PMwithlitterN2O)+('Mitigation drivers'!P96*DigesterN2OEF))/100</f>
        <v>2.0000000000000001E-4</v>
      </c>
      <c r="V60" s="26">
        <f>(('Mitigation drivers'!Q86*LagoonN2O)+('Mitigation drivers'!Q87*LiquidN2O)+('Mitigation drivers'!Q88*DrylotN2O)+('Mitigation drivers'!Q89*SolidStorageN2O)+('Mitigation drivers'!Q90*DailyspreadN2O)+('Mitigation drivers'!Q91*CompostN2O)+('Mitigation drivers'!Q92*ManwithbedN2O)+('Mitigation drivers'!Q93*PMwithoutlitterN2O)+('Mitigation drivers'!Q94*PMwithlitterN2O)+('Mitigation drivers'!Q96*DigesterN2OEF))/100</f>
        <v>2.0000000000000001E-4</v>
      </c>
      <c r="W60" s="26">
        <f>(('Mitigation drivers'!R86*LagoonN2O)+('Mitigation drivers'!R87*LiquidN2O)+('Mitigation drivers'!R88*DrylotN2O)+('Mitigation drivers'!R89*SolidStorageN2O)+('Mitigation drivers'!R90*DailyspreadN2O)+('Mitigation drivers'!R91*CompostN2O)+('Mitigation drivers'!R92*ManwithbedN2O)+('Mitigation drivers'!R93*PMwithoutlitterN2O)+('Mitigation drivers'!R94*PMwithlitterN2O)+('Mitigation drivers'!R96*DigesterN2OEF))/100</f>
        <v>2.0000000000000001E-4</v>
      </c>
      <c r="X60" s="26">
        <f>(('Mitigation drivers'!S86*LagoonN2O)+('Mitigation drivers'!S87*LiquidN2O)+('Mitigation drivers'!S88*DrylotN2O)+('Mitigation drivers'!S89*SolidStorageN2O)+('Mitigation drivers'!S90*DailyspreadN2O)+('Mitigation drivers'!S91*CompostN2O)+('Mitigation drivers'!S92*ManwithbedN2O)+('Mitigation drivers'!S93*PMwithoutlitterN2O)+('Mitigation drivers'!S94*PMwithlitterN2O)+('Mitigation drivers'!S96*DigesterN2OEF))/100</f>
        <v>2.0000000000000001E-4</v>
      </c>
      <c r="Y60" s="26">
        <f>(('Mitigation drivers'!T86*LagoonN2O)+('Mitigation drivers'!T87*LiquidN2O)+('Mitigation drivers'!T88*DrylotN2O)+('Mitigation drivers'!T89*SolidStorageN2O)+('Mitigation drivers'!T90*DailyspreadN2O)+('Mitigation drivers'!T91*CompostN2O)+('Mitigation drivers'!T92*ManwithbedN2O)+('Mitigation drivers'!T93*PMwithoutlitterN2O)+('Mitigation drivers'!T94*PMwithlitterN2O)+('Mitigation drivers'!T96*DigesterN2OEF))/100</f>
        <v>2.0000000000000001E-4</v>
      </c>
      <c r="Z60" s="26">
        <f>(('Mitigation drivers'!U86*LagoonN2O)+('Mitigation drivers'!U87*LiquidN2O)+('Mitigation drivers'!U88*DrylotN2O)+('Mitigation drivers'!U89*SolidStorageN2O)+('Mitigation drivers'!U90*DailyspreadN2O)+('Mitigation drivers'!U91*CompostN2O)+('Mitigation drivers'!U92*ManwithbedN2O)+('Mitigation drivers'!U93*PMwithoutlitterN2O)+('Mitigation drivers'!U94*PMwithlitterN2O)+('Mitigation drivers'!U96*DigesterN2OEF))/100</f>
        <v>2.0000000000000001E-4</v>
      </c>
      <c r="AA60" s="26">
        <f>(('Mitigation drivers'!V86*LagoonN2O)+('Mitigation drivers'!V87*LiquidN2O)+('Mitigation drivers'!V88*DrylotN2O)+('Mitigation drivers'!V89*SolidStorageN2O)+('Mitigation drivers'!V90*DailyspreadN2O)+('Mitigation drivers'!V91*CompostN2O)+('Mitigation drivers'!V92*ManwithbedN2O)+('Mitigation drivers'!V93*PMwithoutlitterN2O)+('Mitigation drivers'!V94*PMwithlitterN2O)+('Mitigation drivers'!V96*DigesterN2OEF))/100</f>
        <v>2.0000000000000001E-4</v>
      </c>
      <c r="AB60" s="26">
        <f>(('Mitigation drivers'!W86*LagoonN2O)+('Mitigation drivers'!W87*LiquidN2O)+('Mitigation drivers'!W88*DrylotN2O)+('Mitigation drivers'!W89*SolidStorageN2O)+('Mitigation drivers'!W90*DailyspreadN2O)+('Mitigation drivers'!W91*CompostN2O)+('Mitigation drivers'!W92*ManwithbedN2O)+('Mitigation drivers'!W93*PMwithoutlitterN2O)+('Mitigation drivers'!W94*PMwithlitterN2O)+('Mitigation drivers'!W96*DigesterN2OEF))/100</f>
        <v>2.0000000000000001E-4</v>
      </c>
      <c r="AC60" s="26">
        <f>(('Mitigation drivers'!X86*LagoonN2O)+('Mitigation drivers'!X87*LiquidN2O)+('Mitigation drivers'!X88*DrylotN2O)+('Mitigation drivers'!X89*SolidStorageN2O)+('Mitigation drivers'!X90*DailyspreadN2O)+('Mitigation drivers'!X91*CompostN2O)+('Mitigation drivers'!X92*ManwithbedN2O)+('Mitigation drivers'!X93*PMwithoutlitterN2O)+('Mitigation drivers'!X94*PMwithlitterN2O)+('Mitigation drivers'!X96*DigesterN2OEF))/100</f>
        <v>2.0000000000000001E-4</v>
      </c>
      <c r="AD60" s="26">
        <f>(('Mitigation drivers'!Y86*LagoonN2O)+('Mitigation drivers'!Y87*LiquidN2O)+('Mitigation drivers'!Y88*DrylotN2O)+('Mitigation drivers'!Y89*SolidStorageN2O)+('Mitigation drivers'!Y90*DailyspreadN2O)+('Mitigation drivers'!Y91*CompostN2O)+('Mitigation drivers'!Y92*ManwithbedN2O)+('Mitigation drivers'!Y93*PMwithoutlitterN2O)+('Mitigation drivers'!Y94*PMwithlitterN2O)+('Mitigation drivers'!Y96*DigesterN2OEF))/100</f>
        <v>2.0000000000000001E-4</v>
      </c>
      <c r="AE60" s="26">
        <f>(('Mitigation drivers'!Z86*LagoonN2O)+('Mitigation drivers'!Z87*LiquidN2O)+('Mitigation drivers'!Z88*DrylotN2O)+('Mitigation drivers'!Z89*SolidStorageN2O)+('Mitigation drivers'!Z90*DailyspreadN2O)+('Mitigation drivers'!Z91*CompostN2O)+('Mitigation drivers'!Z92*ManwithbedN2O)+('Mitigation drivers'!Z93*PMwithoutlitterN2O)+('Mitigation drivers'!Z94*PMwithlitterN2O)+('Mitigation drivers'!Z96*DigesterN2OEF))/100</f>
        <v>2.0000000000000001E-4</v>
      </c>
      <c r="AF60" s="26">
        <f>(('Mitigation drivers'!AA86*LagoonN2O)+('Mitigation drivers'!AA87*LiquidN2O)+('Mitigation drivers'!AA88*DrylotN2O)+('Mitigation drivers'!AA89*SolidStorageN2O)+('Mitigation drivers'!AA90*DailyspreadN2O)+('Mitigation drivers'!AA91*CompostN2O)+('Mitigation drivers'!AA92*ManwithbedN2O)+('Mitigation drivers'!AA93*PMwithoutlitterN2O)+('Mitigation drivers'!AA94*PMwithlitterN2O)+('Mitigation drivers'!AA96*DigesterN2OEF))/100</f>
        <v>2.0000000000000001E-4</v>
      </c>
      <c r="AG60" s="26">
        <f>(('Mitigation drivers'!AB86*LagoonN2O)+('Mitigation drivers'!AB87*LiquidN2O)+('Mitigation drivers'!AB88*DrylotN2O)+('Mitigation drivers'!AB89*SolidStorageN2O)+('Mitigation drivers'!AB90*DailyspreadN2O)+('Mitigation drivers'!AB91*CompostN2O)+('Mitigation drivers'!AB92*ManwithbedN2O)+('Mitigation drivers'!AB93*PMwithoutlitterN2O)+('Mitigation drivers'!AB94*PMwithlitterN2O)+('Mitigation drivers'!AB96*DigesterN2OEF))/100</f>
        <v>2.0000000000000001E-4</v>
      </c>
      <c r="AH60" s="26">
        <f>(('Mitigation drivers'!AC86*LagoonN2O)+('Mitigation drivers'!AC87*LiquidN2O)+('Mitigation drivers'!AC88*DrylotN2O)+('Mitigation drivers'!AC89*SolidStorageN2O)+('Mitigation drivers'!AC90*DailyspreadN2O)+('Mitigation drivers'!AC91*CompostN2O)+('Mitigation drivers'!AC92*ManwithbedN2O)+('Mitigation drivers'!AC93*PMwithoutlitterN2O)+('Mitigation drivers'!AC94*PMwithlitterN2O)+('Mitigation drivers'!AC96*DigesterN2OEF))/100</f>
        <v>2.0000000000000001E-4</v>
      </c>
      <c r="AI60" s="26">
        <f>(('Mitigation drivers'!AD86*LagoonN2O)+('Mitigation drivers'!AD87*LiquidN2O)+('Mitigation drivers'!AD88*DrylotN2O)+('Mitigation drivers'!AD89*SolidStorageN2O)+('Mitigation drivers'!AD90*DailyspreadN2O)+('Mitigation drivers'!AD91*CompostN2O)+('Mitigation drivers'!AD92*ManwithbedN2O)+('Mitigation drivers'!AD93*PMwithoutlitterN2O)+('Mitigation drivers'!AD94*PMwithlitterN2O)+('Mitigation drivers'!AD96*DigesterN2OEF))/100</f>
        <v>2.0000000000000001E-4</v>
      </c>
      <c r="AJ60" s="26">
        <f>(('Mitigation drivers'!AE86*LagoonN2O)+('Mitigation drivers'!AE87*LiquidN2O)+('Mitigation drivers'!AE88*DrylotN2O)+('Mitigation drivers'!AE89*SolidStorageN2O)+('Mitigation drivers'!AE90*DailyspreadN2O)+('Mitigation drivers'!AE91*CompostN2O)+('Mitigation drivers'!AE92*ManwithbedN2O)+('Mitigation drivers'!AE93*PMwithoutlitterN2O)+('Mitigation drivers'!AE94*PMwithlitterN2O)+('Mitigation drivers'!AE96*DigesterN2OEF))/100</f>
        <v>2.0000000000000001E-4</v>
      </c>
      <c r="AK60" s="26">
        <f>(('Mitigation drivers'!AF86*LagoonN2O)+('Mitigation drivers'!AF87*LiquidN2O)+('Mitigation drivers'!AF88*DrylotN2O)+('Mitigation drivers'!AF89*SolidStorageN2O)+('Mitigation drivers'!AF90*DailyspreadN2O)+('Mitigation drivers'!AF91*CompostN2O)+('Mitigation drivers'!AF92*ManwithbedN2O)+('Mitigation drivers'!AF93*PMwithoutlitterN2O)+('Mitigation drivers'!AF94*PMwithlitterN2O)+('Mitigation drivers'!AF96*DigesterN2OEF))/100</f>
        <v>2.0000000000000001E-4</v>
      </c>
      <c r="AL60" s="26">
        <f>(('Mitigation drivers'!AG86*LagoonN2O)+('Mitigation drivers'!AG87*LiquidN2O)+('Mitigation drivers'!AG88*DrylotN2O)+('Mitigation drivers'!AG89*SolidStorageN2O)+('Mitigation drivers'!AG90*DailyspreadN2O)+('Mitigation drivers'!AG91*CompostN2O)+('Mitigation drivers'!AG92*ManwithbedN2O)+('Mitigation drivers'!AG93*PMwithoutlitterN2O)+('Mitigation drivers'!AG94*PMwithlitterN2O)+('Mitigation drivers'!AG96*DigesterN2OEF))/100</f>
        <v>2.0000000000000001E-4</v>
      </c>
      <c r="AM60" s="26">
        <f>(('Mitigation drivers'!AH86*LagoonN2O)+('Mitigation drivers'!AH87*LiquidN2O)+('Mitigation drivers'!AH88*DrylotN2O)+('Mitigation drivers'!AH89*SolidStorageN2O)+('Mitigation drivers'!AH90*DailyspreadN2O)+('Mitigation drivers'!AH91*CompostN2O)+('Mitigation drivers'!AH92*ManwithbedN2O)+('Mitigation drivers'!AH93*PMwithoutlitterN2O)+('Mitigation drivers'!AH94*PMwithlitterN2O)+('Mitigation drivers'!AH96*DigesterN2OEF))/100</f>
        <v>2.0000000000000001E-4</v>
      </c>
      <c r="AN60" s="26">
        <f>(('Mitigation drivers'!AI86*LagoonN2O)+('Mitigation drivers'!AI87*LiquidN2O)+('Mitigation drivers'!AI88*DrylotN2O)+('Mitigation drivers'!AI89*SolidStorageN2O)+('Mitigation drivers'!AI90*DailyspreadN2O)+('Mitigation drivers'!AI91*CompostN2O)+('Mitigation drivers'!AI92*ManwithbedN2O)+('Mitigation drivers'!AI93*PMwithoutlitterN2O)+('Mitigation drivers'!AI94*PMwithlitterN2O)+('Mitigation drivers'!AI96*DigesterN2OEF))/100</f>
        <v>2.0000000000000001E-4</v>
      </c>
      <c r="AO60" s="26">
        <f>(('Mitigation drivers'!AJ86*LagoonN2O)+('Mitigation drivers'!AJ87*LiquidN2O)+('Mitigation drivers'!AJ88*DrylotN2O)+('Mitigation drivers'!AJ89*SolidStorageN2O)+('Mitigation drivers'!AJ90*DailyspreadN2O)+('Mitigation drivers'!AJ91*CompostN2O)+('Mitigation drivers'!AJ92*ManwithbedN2O)+('Mitigation drivers'!AJ93*PMwithoutlitterN2O)+('Mitigation drivers'!AJ94*PMwithlitterN2O)+('Mitigation drivers'!AJ96*DigesterN2OEF))/100</f>
        <v>2.0000000000000001E-4</v>
      </c>
    </row>
    <row r="61" spans="1:41" x14ac:dyDescent="0.25">
      <c r="A61" t="str">
        <f t="shared" si="1"/>
        <v>3A Livestock</v>
      </c>
      <c r="B61" t="str">
        <f t="shared" si="8"/>
        <v>3A2 Manure management (N2O)</v>
      </c>
      <c r="C61" t="str">
        <f>'Activity data'!C12</f>
        <v>3A1c Sheep</v>
      </c>
      <c r="D61" t="str">
        <f>'Activity data'!D12</f>
        <v>Subsistence</v>
      </c>
      <c r="E61" t="str">
        <f t="shared" si="27"/>
        <v>Manure management EF</v>
      </c>
      <c r="F61" t="str">
        <f t="shared" si="28"/>
        <v>N2O</v>
      </c>
      <c r="G61" t="str">
        <f t="shared" si="29"/>
        <v>kg N2O-N/kg Nex</v>
      </c>
      <c r="H61" s="26">
        <f>(('Mitigation drivers'!C97*LagoonN2O)+('Mitigation drivers'!C98*LiquidN2O)+('Mitigation drivers'!C99*DrylotN2O)+('Mitigation drivers'!C100*SolidStorageN2O)+('Mitigation drivers'!C101*DailyspreadN2O)+('Mitigation drivers'!C102*CompostN2O)+('Mitigation drivers'!C103*ManwithbedN2O)+('Mitigation drivers'!C104*PMwithoutlitterN2O)+('Mitigation drivers'!C105*PMwithlitterN2O)+('Mitigation drivers'!C107*DigesterN2OEF))/100</f>
        <v>8.9999999999999998E-4</v>
      </c>
      <c r="I61" s="26">
        <f>(('Mitigation drivers'!D97*LagoonN2O)+('Mitigation drivers'!D98*LiquidN2O)+('Mitigation drivers'!D99*DrylotN2O)+('Mitigation drivers'!D100*SolidStorageN2O)+('Mitigation drivers'!D101*DailyspreadN2O)+('Mitigation drivers'!D102*CompostN2O)+('Mitigation drivers'!D103*ManwithbedN2O)+('Mitigation drivers'!D104*PMwithoutlitterN2O)+('Mitigation drivers'!D105*PMwithlitterN2O)+('Mitigation drivers'!D107*DigesterN2OEF))/100</f>
        <v>8.9999999999999998E-4</v>
      </c>
      <c r="J61" s="26">
        <f>(('Mitigation drivers'!E97*LagoonN2O)+('Mitigation drivers'!E98*LiquidN2O)+('Mitigation drivers'!E99*DrylotN2O)+('Mitigation drivers'!E100*SolidStorageN2O)+('Mitigation drivers'!E101*DailyspreadN2O)+('Mitigation drivers'!E102*CompostN2O)+('Mitigation drivers'!E103*ManwithbedN2O)+('Mitigation drivers'!E104*PMwithoutlitterN2O)+('Mitigation drivers'!E105*PMwithlitterN2O)+('Mitigation drivers'!E107*DigesterN2OEF))/100</f>
        <v>8.9999999999999998E-4</v>
      </c>
      <c r="K61" s="26">
        <f>(('Mitigation drivers'!F97*LagoonN2O)+('Mitigation drivers'!F98*LiquidN2O)+('Mitigation drivers'!F99*DrylotN2O)+('Mitigation drivers'!F100*SolidStorageN2O)+('Mitigation drivers'!F101*DailyspreadN2O)+('Mitigation drivers'!F102*CompostN2O)+('Mitigation drivers'!F103*ManwithbedN2O)+('Mitigation drivers'!F104*PMwithoutlitterN2O)+('Mitigation drivers'!F105*PMwithlitterN2O)+('Mitigation drivers'!F107*DigesterN2OEF))/100</f>
        <v>8.9999999999999998E-4</v>
      </c>
      <c r="L61" s="26">
        <f>(('Mitigation drivers'!G97*LagoonN2O)+('Mitigation drivers'!G98*LiquidN2O)+('Mitigation drivers'!G99*DrylotN2O)+('Mitigation drivers'!G100*SolidStorageN2O)+('Mitigation drivers'!G101*DailyspreadN2O)+('Mitigation drivers'!G102*CompostN2O)+('Mitigation drivers'!G103*ManwithbedN2O)+('Mitigation drivers'!G104*PMwithoutlitterN2O)+('Mitigation drivers'!G105*PMwithlitterN2O)+('Mitigation drivers'!G107*DigesterN2OEF))/100</f>
        <v>8.9999999999999998E-4</v>
      </c>
      <c r="M61" s="26">
        <f>(('Mitigation drivers'!H97*LagoonN2O)+('Mitigation drivers'!H98*LiquidN2O)+('Mitigation drivers'!H99*DrylotN2O)+('Mitigation drivers'!H100*SolidStorageN2O)+('Mitigation drivers'!H101*DailyspreadN2O)+('Mitigation drivers'!H102*CompostN2O)+('Mitigation drivers'!H103*ManwithbedN2O)+('Mitigation drivers'!H104*PMwithoutlitterN2O)+('Mitigation drivers'!H105*PMwithlitterN2O)+('Mitigation drivers'!H107*DigesterN2OEF))/100</f>
        <v>8.9999999999999998E-4</v>
      </c>
      <c r="N61" s="26">
        <f>(('Mitigation drivers'!I97*LagoonN2O)+('Mitigation drivers'!I98*LiquidN2O)+('Mitigation drivers'!I99*DrylotN2O)+('Mitigation drivers'!I100*SolidStorageN2O)+('Mitigation drivers'!I101*DailyspreadN2O)+('Mitigation drivers'!I102*CompostN2O)+('Mitigation drivers'!I103*ManwithbedN2O)+('Mitigation drivers'!I104*PMwithoutlitterN2O)+('Mitigation drivers'!I105*PMwithlitterN2O)+('Mitigation drivers'!I107*DigesterN2OEF))/100</f>
        <v>8.9999999999999998E-4</v>
      </c>
      <c r="O61" s="26">
        <f>(('Mitigation drivers'!J97*LagoonN2O)+('Mitigation drivers'!J98*LiquidN2O)+('Mitigation drivers'!J99*DrylotN2O)+('Mitigation drivers'!J100*SolidStorageN2O)+('Mitigation drivers'!J101*DailyspreadN2O)+('Mitigation drivers'!J102*CompostN2O)+('Mitigation drivers'!J103*ManwithbedN2O)+('Mitigation drivers'!J104*PMwithoutlitterN2O)+('Mitigation drivers'!J105*PMwithlitterN2O)+('Mitigation drivers'!J107*DigesterN2OEF))/100</f>
        <v>8.9999999999999998E-4</v>
      </c>
      <c r="P61" s="26">
        <f>(('Mitigation drivers'!K97*LagoonN2O)+('Mitigation drivers'!K98*LiquidN2O)+('Mitigation drivers'!K99*DrylotN2O)+('Mitigation drivers'!K100*SolidStorageN2O)+('Mitigation drivers'!K101*DailyspreadN2O)+('Mitigation drivers'!K102*CompostN2O)+('Mitigation drivers'!K103*ManwithbedN2O)+('Mitigation drivers'!K104*PMwithoutlitterN2O)+('Mitigation drivers'!K105*PMwithlitterN2O)+('Mitigation drivers'!K107*DigesterN2OEF))/100</f>
        <v>8.9999999999999998E-4</v>
      </c>
      <c r="Q61" s="26">
        <f>(('Mitigation drivers'!L97*LagoonN2O)+('Mitigation drivers'!L98*LiquidN2O)+('Mitigation drivers'!L99*DrylotN2O)+('Mitigation drivers'!L100*SolidStorageN2O)+('Mitigation drivers'!L101*DailyspreadN2O)+('Mitigation drivers'!L102*CompostN2O)+('Mitigation drivers'!L103*ManwithbedN2O)+('Mitigation drivers'!L104*PMwithoutlitterN2O)+('Mitigation drivers'!L105*PMwithlitterN2O)+('Mitigation drivers'!L107*DigesterN2OEF))/100</f>
        <v>8.9999999999999998E-4</v>
      </c>
      <c r="R61" s="26">
        <f>(('Mitigation drivers'!M97*LagoonN2O)+('Mitigation drivers'!M98*LiquidN2O)+('Mitigation drivers'!M99*DrylotN2O)+('Mitigation drivers'!M100*SolidStorageN2O)+('Mitigation drivers'!M101*DailyspreadN2O)+('Mitigation drivers'!M102*CompostN2O)+('Mitigation drivers'!M103*ManwithbedN2O)+('Mitigation drivers'!M104*PMwithoutlitterN2O)+('Mitigation drivers'!M105*PMwithlitterN2O)+('Mitigation drivers'!M107*DigesterN2OEF))/100</f>
        <v>8.9999999999999998E-4</v>
      </c>
      <c r="S61" s="26">
        <f>(('Mitigation drivers'!N97*LagoonN2O)+('Mitigation drivers'!N98*LiquidN2O)+('Mitigation drivers'!N99*DrylotN2O)+('Mitigation drivers'!N100*SolidStorageN2O)+('Mitigation drivers'!N101*DailyspreadN2O)+('Mitigation drivers'!N102*CompostN2O)+('Mitigation drivers'!N103*ManwithbedN2O)+('Mitigation drivers'!N104*PMwithoutlitterN2O)+('Mitigation drivers'!N105*PMwithlitterN2O)+('Mitigation drivers'!N107*DigesterN2OEF))/100</f>
        <v>8.9999999999999998E-4</v>
      </c>
      <c r="T61" s="26">
        <f>(('Mitigation drivers'!O97*LagoonN2O)+('Mitigation drivers'!O98*LiquidN2O)+('Mitigation drivers'!O99*DrylotN2O)+('Mitigation drivers'!O100*SolidStorageN2O)+('Mitigation drivers'!O101*DailyspreadN2O)+('Mitigation drivers'!O102*CompostN2O)+('Mitigation drivers'!O103*ManwithbedN2O)+('Mitigation drivers'!O104*PMwithoutlitterN2O)+('Mitigation drivers'!O105*PMwithlitterN2O)+('Mitigation drivers'!O107*DigesterN2OEF))/100</f>
        <v>8.9999999999999998E-4</v>
      </c>
      <c r="U61" s="26">
        <f>(('Mitigation drivers'!P97*LagoonN2O)+('Mitigation drivers'!P98*LiquidN2O)+('Mitigation drivers'!P99*DrylotN2O)+('Mitigation drivers'!P100*SolidStorageN2O)+('Mitigation drivers'!P101*DailyspreadN2O)+('Mitigation drivers'!P102*CompostN2O)+('Mitigation drivers'!P103*ManwithbedN2O)+('Mitigation drivers'!P104*PMwithoutlitterN2O)+('Mitigation drivers'!P105*PMwithlitterN2O)+('Mitigation drivers'!P107*DigesterN2OEF))/100</f>
        <v>8.9999999999999998E-4</v>
      </c>
      <c r="V61" s="26">
        <f>(('Mitigation drivers'!Q97*LagoonN2O)+('Mitigation drivers'!Q98*LiquidN2O)+('Mitigation drivers'!Q99*DrylotN2O)+('Mitigation drivers'!Q100*SolidStorageN2O)+('Mitigation drivers'!Q101*DailyspreadN2O)+('Mitigation drivers'!Q102*CompostN2O)+('Mitigation drivers'!Q103*ManwithbedN2O)+('Mitigation drivers'!Q104*PMwithoutlitterN2O)+('Mitigation drivers'!Q105*PMwithlitterN2O)+('Mitigation drivers'!Q107*DigesterN2OEF))/100</f>
        <v>8.9999999999999998E-4</v>
      </c>
      <c r="W61" s="26">
        <f>(('Mitigation drivers'!R97*LagoonN2O)+('Mitigation drivers'!R98*LiquidN2O)+('Mitigation drivers'!R99*DrylotN2O)+('Mitigation drivers'!R100*SolidStorageN2O)+('Mitigation drivers'!R101*DailyspreadN2O)+('Mitigation drivers'!R102*CompostN2O)+('Mitigation drivers'!R103*ManwithbedN2O)+('Mitigation drivers'!R104*PMwithoutlitterN2O)+('Mitigation drivers'!R105*PMwithlitterN2O)+('Mitigation drivers'!R107*DigesterN2OEF))/100</f>
        <v>8.9999999999999998E-4</v>
      </c>
      <c r="X61" s="26">
        <f>(('Mitigation drivers'!S97*LagoonN2O)+('Mitigation drivers'!S98*LiquidN2O)+('Mitigation drivers'!S99*DrylotN2O)+('Mitigation drivers'!S100*SolidStorageN2O)+('Mitigation drivers'!S101*DailyspreadN2O)+('Mitigation drivers'!S102*CompostN2O)+('Mitigation drivers'!S103*ManwithbedN2O)+('Mitigation drivers'!S104*PMwithoutlitterN2O)+('Mitigation drivers'!S105*PMwithlitterN2O)+('Mitigation drivers'!S107*DigesterN2OEF))/100</f>
        <v>8.9999999999999998E-4</v>
      </c>
      <c r="Y61" s="26">
        <f>(('Mitigation drivers'!T97*LagoonN2O)+('Mitigation drivers'!T98*LiquidN2O)+('Mitigation drivers'!T99*DrylotN2O)+('Mitigation drivers'!T100*SolidStorageN2O)+('Mitigation drivers'!T101*DailyspreadN2O)+('Mitigation drivers'!T102*CompostN2O)+('Mitigation drivers'!T103*ManwithbedN2O)+('Mitigation drivers'!T104*PMwithoutlitterN2O)+('Mitigation drivers'!T105*PMwithlitterN2O)+('Mitigation drivers'!T107*DigesterN2OEF))/100</f>
        <v>8.9999999999999998E-4</v>
      </c>
      <c r="Z61" s="26">
        <f>(('Mitigation drivers'!U97*LagoonN2O)+('Mitigation drivers'!U98*LiquidN2O)+('Mitigation drivers'!U99*DrylotN2O)+('Mitigation drivers'!U100*SolidStorageN2O)+('Mitigation drivers'!U101*DailyspreadN2O)+('Mitigation drivers'!U102*CompostN2O)+('Mitigation drivers'!U103*ManwithbedN2O)+('Mitigation drivers'!U104*PMwithoutlitterN2O)+('Mitigation drivers'!U105*PMwithlitterN2O)+('Mitigation drivers'!U107*DigesterN2OEF))/100</f>
        <v>8.9999999999999998E-4</v>
      </c>
      <c r="AA61" s="26">
        <f>(('Mitigation drivers'!V97*LagoonN2O)+('Mitigation drivers'!V98*LiquidN2O)+('Mitigation drivers'!V99*DrylotN2O)+('Mitigation drivers'!V100*SolidStorageN2O)+('Mitigation drivers'!V101*DailyspreadN2O)+('Mitigation drivers'!V102*CompostN2O)+('Mitigation drivers'!V103*ManwithbedN2O)+('Mitigation drivers'!V104*PMwithoutlitterN2O)+('Mitigation drivers'!V105*PMwithlitterN2O)+('Mitigation drivers'!V107*DigesterN2OEF))/100</f>
        <v>8.9999999999999998E-4</v>
      </c>
      <c r="AB61" s="26">
        <f>(('Mitigation drivers'!W97*LagoonN2O)+('Mitigation drivers'!W98*LiquidN2O)+('Mitigation drivers'!W99*DrylotN2O)+('Mitigation drivers'!W100*SolidStorageN2O)+('Mitigation drivers'!W101*DailyspreadN2O)+('Mitigation drivers'!W102*CompostN2O)+('Mitigation drivers'!W103*ManwithbedN2O)+('Mitigation drivers'!W104*PMwithoutlitterN2O)+('Mitigation drivers'!W105*PMwithlitterN2O)+('Mitigation drivers'!W107*DigesterN2OEF))/100</f>
        <v>8.9999999999999998E-4</v>
      </c>
      <c r="AC61" s="26">
        <f>(('Mitigation drivers'!X97*LagoonN2O)+('Mitigation drivers'!X98*LiquidN2O)+('Mitigation drivers'!X99*DrylotN2O)+('Mitigation drivers'!X100*SolidStorageN2O)+('Mitigation drivers'!X101*DailyspreadN2O)+('Mitigation drivers'!X102*CompostN2O)+('Mitigation drivers'!X103*ManwithbedN2O)+('Mitigation drivers'!X104*PMwithoutlitterN2O)+('Mitigation drivers'!X105*PMwithlitterN2O)+('Mitigation drivers'!X107*DigesterN2OEF))/100</f>
        <v>8.9999999999999998E-4</v>
      </c>
      <c r="AD61" s="26">
        <f>(('Mitigation drivers'!Y97*LagoonN2O)+('Mitigation drivers'!Y98*LiquidN2O)+('Mitigation drivers'!Y99*DrylotN2O)+('Mitigation drivers'!Y100*SolidStorageN2O)+('Mitigation drivers'!Y101*DailyspreadN2O)+('Mitigation drivers'!Y102*CompostN2O)+('Mitigation drivers'!Y103*ManwithbedN2O)+('Mitigation drivers'!Y104*PMwithoutlitterN2O)+('Mitigation drivers'!Y105*PMwithlitterN2O)+('Mitigation drivers'!Y107*DigesterN2OEF))/100</f>
        <v>8.9999999999999998E-4</v>
      </c>
      <c r="AE61" s="26">
        <f>(('Mitigation drivers'!Z97*LagoonN2O)+('Mitigation drivers'!Z98*LiquidN2O)+('Mitigation drivers'!Z99*DrylotN2O)+('Mitigation drivers'!Z100*SolidStorageN2O)+('Mitigation drivers'!Z101*DailyspreadN2O)+('Mitigation drivers'!Z102*CompostN2O)+('Mitigation drivers'!Z103*ManwithbedN2O)+('Mitigation drivers'!Z104*PMwithoutlitterN2O)+('Mitigation drivers'!Z105*PMwithlitterN2O)+('Mitigation drivers'!Z107*DigesterN2OEF))/100</f>
        <v>8.9999999999999998E-4</v>
      </c>
      <c r="AF61" s="26">
        <f>(('Mitigation drivers'!AA97*LagoonN2O)+('Mitigation drivers'!AA98*LiquidN2O)+('Mitigation drivers'!AA99*DrylotN2O)+('Mitigation drivers'!AA100*SolidStorageN2O)+('Mitigation drivers'!AA101*DailyspreadN2O)+('Mitigation drivers'!AA102*CompostN2O)+('Mitigation drivers'!AA103*ManwithbedN2O)+('Mitigation drivers'!AA104*PMwithoutlitterN2O)+('Mitigation drivers'!AA105*PMwithlitterN2O)+('Mitigation drivers'!AA107*DigesterN2OEF))/100</f>
        <v>8.9999999999999998E-4</v>
      </c>
      <c r="AG61" s="26">
        <f>(('Mitigation drivers'!AB97*LagoonN2O)+('Mitigation drivers'!AB98*LiquidN2O)+('Mitigation drivers'!AB99*DrylotN2O)+('Mitigation drivers'!AB100*SolidStorageN2O)+('Mitigation drivers'!AB101*DailyspreadN2O)+('Mitigation drivers'!AB102*CompostN2O)+('Mitigation drivers'!AB103*ManwithbedN2O)+('Mitigation drivers'!AB104*PMwithoutlitterN2O)+('Mitigation drivers'!AB105*PMwithlitterN2O)+('Mitigation drivers'!AB107*DigesterN2OEF))/100</f>
        <v>8.9999999999999998E-4</v>
      </c>
      <c r="AH61" s="26">
        <f>(('Mitigation drivers'!AC97*LagoonN2O)+('Mitigation drivers'!AC98*LiquidN2O)+('Mitigation drivers'!AC99*DrylotN2O)+('Mitigation drivers'!AC100*SolidStorageN2O)+('Mitigation drivers'!AC101*DailyspreadN2O)+('Mitigation drivers'!AC102*CompostN2O)+('Mitigation drivers'!AC103*ManwithbedN2O)+('Mitigation drivers'!AC104*PMwithoutlitterN2O)+('Mitigation drivers'!AC105*PMwithlitterN2O)+('Mitigation drivers'!AC107*DigesterN2OEF))/100</f>
        <v>8.9999999999999998E-4</v>
      </c>
      <c r="AI61" s="26">
        <f>(('Mitigation drivers'!AD97*LagoonN2O)+('Mitigation drivers'!AD98*LiquidN2O)+('Mitigation drivers'!AD99*DrylotN2O)+('Mitigation drivers'!AD100*SolidStorageN2O)+('Mitigation drivers'!AD101*DailyspreadN2O)+('Mitigation drivers'!AD102*CompostN2O)+('Mitigation drivers'!AD103*ManwithbedN2O)+('Mitigation drivers'!AD104*PMwithoutlitterN2O)+('Mitigation drivers'!AD105*PMwithlitterN2O)+('Mitigation drivers'!AD107*DigesterN2OEF))/100</f>
        <v>8.9999999999999998E-4</v>
      </c>
      <c r="AJ61" s="26">
        <f>(('Mitigation drivers'!AE97*LagoonN2O)+('Mitigation drivers'!AE98*LiquidN2O)+('Mitigation drivers'!AE99*DrylotN2O)+('Mitigation drivers'!AE100*SolidStorageN2O)+('Mitigation drivers'!AE101*DailyspreadN2O)+('Mitigation drivers'!AE102*CompostN2O)+('Mitigation drivers'!AE103*ManwithbedN2O)+('Mitigation drivers'!AE104*PMwithoutlitterN2O)+('Mitigation drivers'!AE105*PMwithlitterN2O)+('Mitigation drivers'!AE107*DigesterN2OEF))/100</f>
        <v>8.9999999999999998E-4</v>
      </c>
      <c r="AK61" s="26">
        <f>(('Mitigation drivers'!AF97*LagoonN2O)+('Mitigation drivers'!AF98*LiquidN2O)+('Mitigation drivers'!AF99*DrylotN2O)+('Mitigation drivers'!AF100*SolidStorageN2O)+('Mitigation drivers'!AF101*DailyspreadN2O)+('Mitigation drivers'!AF102*CompostN2O)+('Mitigation drivers'!AF103*ManwithbedN2O)+('Mitigation drivers'!AF104*PMwithoutlitterN2O)+('Mitigation drivers'!AF105*PMwithlitterN2O)+('Mitigation drivers'!AF107*DigesterN2OEF))/100</f>
        <v>8.9999999999999998E-4</v>
      </c>
      <c r="AL61" s="26">
        <f>(('Mitigation drivers'!AG97*LagoonN2O)+('Mitigation drivers'!AG98*LiquidN2O)+('Mitigation drivers'!AG99*DrylotN2O)+('Mitigation drivers'!AG100*SolidStorageN2O)+('Mitigation drivers'!AG101*DailyspreadN2O)+('Mitigation drivers'!AG102*CompostN2O)+('Mitigation drivers'!AG103*ManwithbedN2O)+('Mitigation drivers'!AG104*PMwithoutlitterN2O)+('Mitigation drivers'!AG105*PMwithlitterN2O)+('Mitigation drivers'!AG107*DigesterN2OEF))/100</f>
        <v>8.9999999999999998E-4</v>
      </c>
      <c r="AM61" s="26">
        <f>(('Mitigation drivers'!AH97*LagoonN2O)+('Mitigation drivers'!AH98*LiquidN2O)+('Mitigation drivers'!AH99*DrylotN2O)+('Mitigation drivers'!AH100*SolidStorageN2O)+('Mitigation drivers'!AH101*DailyspreadN2O)+('Mitigation drivers'!AH102*CompostN2O)+('Mitigation drivers'!AH103*ManwithbedN2O)+('Mitigation drivers'!AH104*PMwithoutlitterN2O)+('Mitigation drivers'!AH105*PMwithlitterN2O)+('Mitigation drivers'!AH107*DigesterN2OEF))/100</f>
        <v>8.9999999999999998E-4</v>
      </c>
      <c r="AN61" s="26">
        <f>(('Mitigation drivers'!AI97*LagoonN2O)+('Mitigation drivers'!AI98*LiquidN2O)+('Mitigation drivers'!AI99*DrylotN2O)+('Mitigation drivers'!AI100*SolidStorageN2O)+('Mitigation drivers'!AI101*DailyspreadN2O)+('Mitigation drivers'!AI102*CompostN2O)+('Mitigation drivers'!AI103*ManwithbedN2O)+('Mitigation drivers'!AI104*PMwithoutlitterN2O)+('Mitigation drivers'!AI105*PMwithlitterN2O)+('Mitigation drivers'!AI107*DigesterN2OEF))/100</f>
        <v>8.9999999999999998E-4</v>
      </c>
      <c r="AO61" s="26">
        <f>(('Mitigation drivers'!AJ97*LagoonN2O)+('Mitigation drivers'!AJ98*LiquidN2O)+('Mitigation drivers'!AJ99*DrylotN2O)+('Mitigation drivers'!AJ100*SolidStorageN2O)+('Mitigation drivers'!AJ101*DailyspreadN2O)+('Mitigation drivers'!AJ102*CompostN2O)+('Mitigation drivers'!AJ103*ManwithbedN2O)+('Mitigation drivers'!AJ104*PMwithoutlitterN2O)+('Mitigation drivers'!AJ105*PMwithlitterN2O)+('Mitigation drivers'!AJ107*DigesterN2OEF))/100</f>
        <v>8.9999999999999998E-4</v>
      </c>
    </row>
    <row r="62" spans="1:41" x14ac:dyDescent="0.25">
      <c r="A62" t="str">
        <f t="shared" si="1"/>
        <v>3A Livestock</v>
      </c>
      <c r="B62" t="str">
        <f t="shared" si="8"/>
        <v>3A2 Manure management (N2O)</v>
      </c>
      <c r="C62" t="str">
        <f>'Activity data'!C13</f>
        <v>3A1d Goats</v>
      </c>
      <c r="D62" t="str">
        <f>'Activity data'!D13</f>
        <v>Commercial</v>
      </c>
      <c r="E62" t="str">
        <f t="shared" si="27"/>
        <v>Manure management EF</v>
      </c>
      <c r="F62" t="str">
        <f t="shared" si="28"/>
        <v>N2O</v>
      </c>
      <c r="G62" t="str">
        <f t="shared" si="29"/>
        <v>kg N2O-N/kg Nex</v>
      </c>
      <c r="H62" s="26">
        <f>(('Mitigation drivers'!C110*LagoonN2O)+('Mitigation drivers'!C111*LiquidN2O)+('Mitigation drivers'!C112*DrylotN2O)+('Mitigation drivers'!C113*SolidStorageN2O)+('Mitigation drivers'!C114*DailyspreadN2O)+('Mitigation drivers'!C115*CompostN2O)+('Mitigation drivers'!C116*ManwithbedN2O)+('Mitigation drivers'!C117*PMwithoutlitterN2O)+('Mitigation drivers'!C118*PMwithlitterN2O)+('Mitigation drivers'!C120*DigesterN2OEF))/100</f>
        <v>2.0000000000000001E-4</v>
      </c>
      <c r="I62" s="26">
        <f>(('Mitigation drivers'!D110*LagoonN2O)+('Mitigation drivers'!D111*LiquidN2O)+('Mitigation drivers'!D112*DrylotN2O)+('Mitigation drivers'!D113*SolidStorageN2O)+('Mitigation drivers'!D114*DailyspreadN2O)+('Mitigation drivers'!D115*CompostN2O)+('Mitigation drivers'!D116*ManwithbedN2O)+('Mitigation drivers'!D117*PMwithoutlitterN2O)+('Mitigation drivers'!D118*PMwithlitterN2O)+('Mitigation drivers'!D120*DigesterN2OEF))/100</f>
        <v>2.0000000000000001E-4</v>
      </c>
      <c r="J62" s="26">
        <f>(('Mitigation drivers'!E110*LagoonN2O)+('Mitigation drivers'!E111*LiquidN2O)+('Mitigation drivers'!E112*DrylotN2O)+('Mitigation drivers'!E113*SolidStorageN2O)+('Mitigation drivers'!E114*DailyspreadN2O)+('Mitigation drivers'!E115*CompostN2O)+('Mitigation drivers'!E116*ManwithbedN2O)+('Mitigation drivers'!E117*PMwithoutlitterN2O)+('Mitigation drivers'!E118*PMwithlitterN2O)+('Mitigation drivers'!E120*DigesterN2OEF))/100</f>
        <v>2.0000000000000001E-4</v>
      </c>
      <c r="K62" s="26">
        <f>(('Mitigation drivers'!F110*LagoonN2O)+('Mitigation drivers'!F111*LiquidN2O)+('Mitigation drivers'!F112*DrylotN2O)+('Mitigation drivers'!F113*SolidStorageN2O)+('Mitigation drivers'!F114*DailyspreadN2O)+('Mitigation drivers'!F115*CompostN2O)+('Mitigation drivers'!F116*ManwithbedN2O)+('Mitigation drivers'!F117*PMwithoutlitterN2O)+('Mitigation drivers'!F118*PMwithlitterN2O)+('Mitigation drivers'!F120*DigesterN2OEF))/100</f>
        <v>2.0000000000000001E-4</v>
      </c>
      <c r="L62" s="26">
        <f>(('Mitigation drivers'!G110*LagoonN2O)+('Mitigation drivers'!G111*LiquidN2O)+('Mitigation drivers'!G112*DrylotN2O)+('Mitigation drivers'!G113*SolidStorageN2O)+('Mitigation drivers'!G114*DailyspreadN2O)+('Mitigation drivers'!G115*CompostN2O)+('Mitigation drivers'!G116*ManwithbedN2O)+('Mitigation drivers'!G117*PMwithoutlitterN2O)+('Mitigation drivers'!G118*PMwithlitterN2O)+('Mitigation drivers'!G120*DigesterN2OEF))/100</f>
        <v>2.0000000000000001E-4</v>
      </c>
      <c r="M62" s="26">
        <f>(('Mitigation drivers'!H110*LagoonN2O)+('Mitigation drivers'!H111*LiquidN2O)+('Mitigation drivers'!H112*DrylotN2O)+('Mitigation drivers'!H113*SolidStorageN2O)+('Mitigation drivers'!H114*DailyspreadN2O)+('Mitigation drivers'!H115*CompostN2O)+('Mitigation drivers'!H116*ManwithbedN2O)+('Mitigation drivers'!H117*PMwithoutlitterN2O)+('Mitigation drivers'!H118*PMwithlitterN2O)+('Mitigation drivers'!H120*DigesterN2OEF))/100</f>
        <v>2.0000000000000001E-4</v>
      </c>
      <c r="N62" s="26">
        <f>(('Mitigation drivers'!I110*LagoonN2O)+('Mitigation drivers'!I111*LiquidN2O)+('Mitigation drivers'!I112*DrylotN2O)+('Mitigation drivers'!I113*SolidStorageN2O)+('Mitigation drivers'!I114*DailyspreadN2O)+('Mitigation drivers'!I115*CompostN2O)+('Mitigation drivers'!I116*ManwithbedN2O)+('Mitigation drivers'!I117*PMwithoutlitterN2O)+('Mitigation drivers'!I118*PMwithlitterN2O)+('Mitigation drivers'!I120*DigesterN2OEF))/100</f>
        <v>2.0000000000000001E-4</v>
      </c>
      <c r="O62" s="26">
        <f>(('Mitigation drivers'!J110*LagoonN2O)+('Mitigation drivers'!J111*LiquidN2O)+('Mitigation drivers'!J112*DrylotN2O)+('Mitigation drivers'!J113*SolidStorageN2O)+('Mitigation drivers'!J114*DailyspreadN2O)+('Mitigation drivers'!J115*CompostN2O)+('Mitigation drivers'!J116*ManwithbedN2O)+('Mitigation drivers'!J117*PMwithoutlitterN2O)+('Mitigation drivers'!J118*PMwithlitterN2O)+('Mitigation drivers'!J120*DigesterN2OEF))/100</f>
        <v>2.0000000000000001E-4</v>
      </c>
      <c r="P62" s="26">
        <f>(('Mitigation drivers'!K110*LagoonN2O)+('Mitigation drivers'!K111*LiquidN2O)+('Mitigation drivers'!K112*DrylotN2O)+('Mitigation drivers'!K113*SolidStorageN2O)+('Mitigation drivers'!K114*DailyspreadN2O)+('Mitigation drivers'!K115*CompostN2O)+('Mitigation drivers'!K116*ManwithbedN2O)+('Mitigation drivers'!K117*PMwithoutlitterN2O)+('Mitigation drivers'!K118*PMwithlitterN2O)+('Mitigation drivers'!K120*DigesterN2OEF))/100</f>
        <v>2.0000000000000001E-4</v>
      </c>
      <c r="Q62" s="26">
        <f>(('Mitigation drivers'!L110*LagoonN2O)+('Mitigation drivers'!L111*LiquidN2O)+('Mitigation drivers'!L112*DrylotN2O)+('Mitigation drivers'!L113*SolidStorageN2O)+('Mitigation drivers'!L114*DailyspreadN2O)+('Mitigation drivers'!L115*CompostN2O)+('Mitigation drivers'!L116*ManwithbedN2O)+('Mitigation drivers'!L117*PMwithoutlitterN2O)+('Mitigation drivers'!L118*PMwithlitterN2O)+('Mitigation drivers'!L120*DigesterN2OEF))/100</f>
        <v>2.0000000000000001E-4</v>
      </c>
      <c r="R62" s="26">
        <f>(('Mitigation drivers'!M110*LagoonN2O)+('Mitigation drivers'!M111*LiquidN2O)+('Mitigation drivers'!M112*DrylotN2O)+('Mitigation drivers'!M113*SolidStorageN2O)+('Mitigation drivers'!M114*DailyspreadN2O)+('Mitigation drivers'!M115*CompostN2O)+('Mitigation drivers'!M116*ManwithbedN2O)+('Mitigation drivers'!M117*PMwithoutlitterN2O)+('Mitigation drivers'!M118*PMwithlitterN2O)+('Mitigation drivers'!M120*DigesterN2OEF))/100</f>
        <v>2.0000000000000001E-4</v>
      </c>
      <c r="S62" s="26">
        <f>(('Mitigation drivers'!N110*LagoonN2O)+('Mitigation drivers'!N111*LiquidN2O)+('Mitigation drivers'!N112*DrylotN2O)+('Mitigation drivers'!N113*SolidStorageN2O)+('Mitigation drivers'!N114*DailyspreadN2O)+('Mitigation drivers'!N115*CompostN2O)+('Mitigation drivers'!N116*ManwithbedN2O)+('Mitigation drivers'!N117*PMwithoutlitterN2O)+('Mitigation drivers'!N118*PMwithlitterN2O)+('Mitigation drivers'!N120*DigesterN2OEF))/100</f>
        <v>2.0000000000000001E-4</v>
      </c>
      <c r="T62" s="26">
        <f>(('Mitigation drivers'!O110*LagoonN2O)+('Mitigation drivers'!O111*LiquidN2O)+('Mitigation drivers'!O112*DrylotN2O)+('Mitigation drivers'!O113*SolidStorageN2O)+('Mitigation drivers'!O114*DailyspreadN2O)+('Mitigation drivers'!O115*CompostN2O)+('Mitigation drivers'!O116*ManwithbedN2O)+('Mitigation drivers'!O117*PMwithoutlitterN2O)+('Mitigation drivers'!O118*PMwithlitterN2O)+('Mitigation drivers'!O120*DigesterN2OEF))/100</f>
        <v>2.0000000000000001E-4</v>
      </c>
      <c r="U62" s="26">
        <f>(('Mitigation drivers'!P110*LagoonN2O)+('Mitigation drivers'!P111*LiquidN2O)+('Mitigation drivers'!P112*DrylotN2O)+('Mitigation drivers'!P113*SolidStorageN2O)+('Mitigation drivers'!P114*DailyspreadN2O)+('Mitigation drivers'!P115*CompostN2O)+('Mitigation drivers'!P116*ManwithbedN2O)+('Mitigation drivers'!P117*PMwithoutlitterN2O)+('Mitigation drivers'!P118*PMwithlitterN2O)+('Mitigation drivers'!P120*DigesterN2OEF))/100</f>
        <v>2.0000000000000001E-4</v>
      </c>
      <c r="V62" s="26">
        <f>(('Mitigation drivers'!Q110*LagoonN2O)+('Mitigation drivers'!Q111*LiquidN2O)+('Mitigation drivers'!Q112*DrylotN2O)+('Mitigation drivers'!Q113*SolidStorageN2O)+('Mitigation drivers'!Q114*DailyspreadN2O)+('Mitigation drivers'!Q115*CompostN2O)+('Mitigation drivers'!Q116*ManwithbedN2O)+('Mitigation drivers'!Q117*PMwithoutlitterN2O)+('Mitigation drivers'!Q118*PMwithlitterN2O)+('Mitigation drivers'!Q120*DigesterN2OEF))/100</f>
        <v>2.0000000000000001E-4</v>
      </c>
      <c r="W62" s="26">
        <f>(('Mitigation drivers'!R110*LagoonN2O)+('Mitigation drivers'!R111*LiquidN2O)+('Mitigation drivers'!R112*DrylotN2O)+('Mitigation drivers'!R113*SolidStorageN2O)+('Mitigation drivers'!R114*DailyspreadN2O)+('Mitigation drivers'!R115*CompostN2O)+('Mitigation drivers'!R116*ManwithbedN2O)+('Mitigation drivers'!R117*PMwithoutlitterN2O)+('Mitigation drivers'!R118*PMwithlitterN2O)+('Mitigation drivers'!R120*DigesterN2OEF))/100</f>
        <v>2.0000000000000001E-4</v>
      </c>
      <c r="X62" s="26">
        <f>(('Mitigation drivers'!S110*LagoonN2O)+('Mitigation drivers'!S111*LiquidN2O)+('Mitigation drivers'!S112*DrylotN2O)+('Mitigation drivers'!S113*SolidStorageN2O)+('Mitigation drivers'!S114*DailyspreadN2O)+('Mitigation drivers'!S115*CompostN2O)+('Mitigation drivers'!S116*ManwithbedN2O)+('Mitigation drivers'!S117*PMwithoutlitterN2O)+('Mitigation drivers'!S118*PMwithlitterN2O)+('Mitigation drivers'!S120*DigesterN2OEF))/100</f>
        <v>2.0000000000000001E-4</v>
      </c>
      <c r="Y62" s="26">
        <f>(('Mitigation drivers'!T110*LagoonN2O)+('Mitigation drivers'!T111*LiquidN2O)+('Mitigation drivers'!T112*DrylotN2O)+('Mitigation drivers'!T113*SolidStorageN2O)+('Mitigation drivers'!T114*DailyspreadN2O)+('Mitigation drivers'!T115*CompostN2O)+('Mitigation drivers'!T116*ManwithbedN2O)+('Mitigation drivers'!T117*PMwithoutlitterN2O)+('Mitigation drivers'!T118*PMwithlitterN2O)+('Mitigation drivers'!T120*DigesterN2OEF))/100</f>
        <v>2.0000000000000001E-4</v>
      </c>
      <c r="Z62" s="26">
        <f>(('Mitigation drivers'!U110*LagoonN2O)+('Mitigation drivers'!U111*LiquidN2O)+('Mitigation drivers'!U112*DrylotN2O)+('Mitigation drivers'!U113*SolidStorageN2O)+('Mitigation drivers'!U114*DailyspreadN2O)+('Mitigation drivers'!U115*CompostN2O)+('Mitigation drivers'!U116*ManwithbedN2O)+('Mitigation drivers'!U117*PMwithoutlitterN2O)+('Mitigation drivers'!U118*PMwithlitterN2O)+('Mitigation drivers'!U120*DigesterN2OEF))/100</f>
        <v>2.0000000000000001E-4</v>
      </c>
      <c r="AA62" s="26">
        <f>(('Mitigation drivers'!V110*LagoonN2O)+('Mitigation drivers'!V111*LiquidN2O)+('Mitigation drivers'!V112*DrylotN2O)+('Mitigation drivers'!V113*SolidStorageN2O)+('Mitigation drivers'!V114*DailyspreadN2O)+('Mitigation drivers'!V115*CompostN2O)+('Mitigation drivers'!V116*ManwithbedN2O)+('Mitigation drivers'!V117*PMwithoutlitterN2O)+('Mitigation drivers'!V118*PMwithlitterN2O)+('Mitigation drivers'!V120*DigesterN2OEF))/100</f>
        <v>2.0000000000000001E-4</v>
      </c>
      <c r="AB62" s="26">
        <f>(('Mitigation drivers'!W110*LagoonN2O)+('Mitigation drivers'!W111*LiquidN2O)+('Mitigation drivers'!W112*DrylotN2O)+('Mitigation drivers'!W113*SolidStorageN2O)+('Mitigation drivers'!W114*DailyspreadN2O)+('Mitigation drivers'!W115*CompostN2O)+('Mitigation drivers'!W116*ManwithbedN2O)+('Mitigation drivers'!W117*PMwithoutlitterN2O)+('Mitigation drivers'!W118*PMwithlitterN2O)+('Mitigation drivers'!W120*DigesterN2OEF))/100</f>
        <v>2.0000000000000001E-4</v>
      </c>
      <c r="AC62" s="26">
        <f>(('Mitigation drivers'!X110*LagoonN2O)+('Mitigation drivers'!X111*LiquidN2O)+('Mitigation drivers'!X112*DrylotN2O)+('Mitigation drivers'!X113*SolidStorageN2O)+('Mitigation drivers'!X114*DailyspreadN2O)+('Mitigation drivers'!X115*CompostN2O)+('Mitigation drivers'!X116*ManwithbedN2O)+('Mitigation drivers'!X117*PMwithoutlitterN2O)+('Mitigation drivers'!X118*PMwithlitterN2O)+('Mitigation drivers'!X120*DigesterN2OEF))/100</f>
        <v>2.0000000000000001E-4</v>
      </c>
      <c r="AD62" s="26">
        <f>(('Mitigation drivers'!Y110*LagoonN2O)+('Mitigation drivers'!Y111*LiquidN2O)+('Mitigation drivers'!Y112*DrylotN2O)+('Mitigation drivers'!Y113*SolidStorageN2O)+('Mitigation drivers'!Y114*DailyspreadN2O)+('Mitigation drivers'!Y115*CompostN2O)+('Mitigation drivers'!Y116*ManwithbedN2O)+('Mitigation drivers'!Y117*PMwithoutlitterN2O)+('Mitigation drivers'!Y118*PMwithlitterN2O)+('Mitigation drivers'!Y120*DigesterN2OEF))/100</f>
        <v>2.0000000000000001E-4</v>
      </c>
      <c r="AE62" s="26">
        <f>(('Mitigation drivers'!Z110*LagoonN2O)+('Mitigation drivers'!Z111*LiquidN2O)+('Mitigation drivers'!Z112*DrylotN2O)+('Mitigation drivers'!Z113*SolidStorageN2O)+('Mitigation drivers'!Z114*DailyspreadN2O)+('Mitigation drivers'!Z115*CompostN2O)+('Mitigation drivers'!Z116*ManwithbedN2O)+('Mitigation drivers'!Z117*PMwithoutlitterN2O)+('Mitigation drivers'!Z118*PMwithlitterN2O)+('Mitigation drivers'!Z120*DigesterN2OEF))/100</f>
        <v>2.0000000000000001E-4</v>
      </c>
      <c r="AF62" s="26">
        <f>(('Mitigation drivers'!AA110*LagoonN2O)+('Mitigation drivers'!AA111*LiquidN2O)+('Mitigation drivers'!AA112*DrylotN2O)+('Mitigation drivers'!AA113*SolidStorageN2O)+('Mitigation drivers'!AA114*DailyspreadN2O)+('Mitigation drivers'!AA115*CompostN2O)+('Mitigation drivers'!AA116*ManwithbedN2O)+('Mitigation drivers'!AA117*PMwithoutlitterN2O)+('Mitigation drivers'!AA118*PMwithlitterN2O)+('Mitigation drivers'!AA120*DigesterN2OEF))/100</f>
        <v>2.0000000000000001E-4</v>
      </c>
      <c r="AG62" s="26">
        <f>(('Mitigation drivers'!AB110*LagoonN2O)+('Mitigation drivers'!AB111*LiquidN2O)+('Mitigation drivers'!AB112*DrylotN2O)+('Mitigation drivers'!AB113*SolidStorageN2O)+('Mitigation drivers'!AB114*DailyspreadN2O)+('Mitigation drivers'!AB115*CompostN2O)+('Mitigation drivers'!AB116*ManwithbedN2O)+('Mitigation drivers'!AB117*PMwithoutlitterN2O)+('Mitigation drivers'!AB118*PMwithlitterN2O)+('Mitigation drivers'!AB120*DigesterN2OEF))/100</f>
        <v>2.0000000000000001E-4</v>
      </c>
      <c r="AH62" s="26">
        <f>(('Mitigation drivers'!AC110*LagoonN2O)+('Mitigation drivers'!AC111*LiquidN2O)+('Mitigation drivers'!AC112*DrylotN2O)+('Mitigation drivers'!AC113*SolidStorageN2O)+('Mitigation drivers'!AC114*DailyspreadN2O)+('Mitigation drivers'!AC115*CompostN2O)+('Mitigation drivers'!AC116*ManwithbedN2O)+('Mitigation drivers'!AC117*PMwithoutlitterN2O)+('Mitigation drivers'!AC118*PMwithlitterN2O)+('Mitigation drivers'!AC120*DigesterN2OEF))/100</f>
        <v>2.0000000000000001E-4</v>
      </c>
      <c r="AI62" s="26">
        <f>(('Mitigation drivers'!AD110*LagoonN2O)+('Mitigation drivers'!AD111*LiquidN2O)+('Mitigation drivers'!AD112*DrylotN2O)+('Mitigation drivers'!AD113*SolidStorageN2O)+('Mitigation drivers'!AD114*DailyspreadN2O)+('Mitigation drivers'!AD115*CompostN2O)+('Mitigation drivers'!AD116*ManwithbedN2O)+('Mitigation drivers'!AD117*PMwithoutlitterN2O)+('Mitigation drivers'!AD118*PMwithlitterN2O)+('Mitigation drivers'!AD120*DigesterN2OEF))/100</f>
        <v>2.0000000000000001E-4</v>
      </c>
      <c r="AJ62" s="26">
        <f>(('Mitigation drivers'!AE110*LagoonN2O)+('Mitigation drivers'!AE111*LiquidN2O)+('Mitigation drivers'!AE112*DrylotN2O)+('Mitigation drivers'!AE113*SolidStorageN2O)+('Mitigation drivers'!AE114*DailyspreadN2O)+('Mitigation drivers'!AE115*CompostN2O)+('Mitigation drivers'!AE116*ManwithbedN2O)+('Mitigation drivers'!AE117*PMwithoutlitterN2O)+('Mitigation drivers'!AE118*PMwithlitterN2O)+('Mitigation drivers'!AE120*DigesterN2OEF))/100</f>
        <v>2.0000000000000001E-4</v>
      </c>
      <c r="AK62" s="26">
        <f>(('Mitigation drivers'!AF110*LagoonN2O)+('Mitigation drivers'!AF111*LiquidN2O)+('Mitigation drivers'!AF112*DrylotN2O)+('Mitigation drivers'!AF113*SolidStorageN2O)+('Mitigation drivers'!AF114*DailyspreadN2O)+('Mitigation drivers'!AF115*CompostN2O)+('Mitigation drivers'!AF116*ManwithbedN2O)+('Mitigation drivers'!AF117*PMwithoutlitterN2O)+('Mitigation drivers'!AF118*PMwithlitterN2O)+('Mitigation drivers'!AF120*DigesterN2OEF))/100</f>
        <v>2.0000000000000001E-4</v>
      </c>
      <c r="AL62" s="26">
        <f>(('Mitigation drivers'!AG110*LagoonN2O)+('Mitigation drivers'!AG111*LiquidN2O)+('Mitigation drivers'!AG112*DrylotN2O)+('Mitigation drivers'!AG113*SolidStorageN2O)+('Mitigation drivers'!AG114*DailyspreadN2O)+('Mitigation drivers'!AG115*CompostN2O)+('Mitigation drivers'!AG116*ManwithbedN2O)+('Mitigation drivers'!AG117*PMwithoutlitterN2O)+('Mitigation drivers'!AG118*PMwithlitterN2O)+('Mitigation drivers'!AG120*DigesterN2OEF))/100</f>
        <v>2.0000000000000001E-4</v>
      </c>
      <c r="AM62" s="26">
        <f>(('Mitigation drivers'!AH110*LagoonN2O)+('Mitigation drivers'!AH111*LiquidN2O)+('Mitigation drivers'!AH112*DrylotN2O)+('Mitigation drivers'!AH113*SolidStorageN2O)+('Mitigation drivers'!AH114*DailyspreadN2O)+('Mitigation drivers'!AH115*CompostN2O)+('Mitigation drivers'!AH116*ManwithbedN2O)+('Mitigation drivers'!AH117*PMwithoutlitterN2O)+('Mitigation drivers'!AH118*PMwithlitterN2O)+('Mitigation drivers'!AH120*DigesterN2OEF))/100</f>
        <v>2.0000000000000001E-4</v>
      </c>
      <c r="AN62" s="26">
        <f>(('Mitigation drivers'!AI110*LagoonN2O)+('Mitigation drivers'!AI111*LiquidN2O)+('Mitigation drivers'!AI112*DrylotN2O)+('Mitigation drivers'!AI113*SolidStorageN2O)+('Mitigation drivers'!AI114*DailyspreadN2O)+('Mitigation drivers'!AI115*CompostN2O)+('Mitigation drivers'!AI116*ManwithbedN2O)+('Mitigation drivers'!AI117*PMwithoutlitterN2O)+('Mitigation drivers'!AI118*PMwithlitterN2O)+('Mitigation drivers'!AI120*DigesterN2OEF))/100</f>
        <v>2.0000000000000001E-4</v>
      </c>
      <c r="AO62" s="26">
        <f>(('Mitigation drivers'!AJ110*LagoonN2O)+('Mitigation drivers'!AJ111*LiquidN2O)+('Mitigation drivers'!AJ112*DrylotN2O)+('Mitigation drivers'!AJ113*SolidStorageN2O)+('Mitigation drivers'!AJ114*DailyspreadN2O)+('Mitigation drivers'!AJ115*CompostN2O)+('Mitigation drivers'!AJ116*ManwithbedN2O)+('Mitigation drivers'!AJ117*PMwithoutlitterN2O)+('Mitigation drivers'!AJ118*PMwithlitterN2O)+('Mitigation drivers'!AJ120*DigesterN2OEF))/100</f>
        <v>2.0000000000000001E-4</v>
      </c>
    </row>
    <row r="63" spans="1:41" x14ac:dyDescent="0.25">
      <c r="A63" t="str">
        <f t="shared" si="1"/>
        <v>3A Livestock</v>
      </c>
      <c r="B63" t="str">
        <f t="shared" si="8"/>
        <v>3A2 Manure management (N2O)</v>
      </c>
      <c r="C63" t="str">
        <f>'Activity data'!C14</f>
        <v>3A1d Goats</v>
      </c>
      <c r="D63" t="str">
        <f>'Activity data'!D14</f>
        <v>Subsistence</v>
      </c>
      <c r="E63" t="str">
        <f t="shared" si="27"/>
        <v>Manure management EF</v>
      </c>
      <c r="F63" t="str">
        <f t="shared" si="28"/>
        <v>N2O</v>
      </c>
      <c r="G63" t="str">
        <f t="shared" si="29"/>
        <v>kg N2O-N/kg Nex</v>
      </c>
      <c r="H63" s="26">
        <f>(('Mitigation drivers'!C122*LagoonN2O)+('Mitigation drivers'!C123*LiquidN2O)+('Mitigation drivers'!C124*DrylotN2O)+('Mitigation drivers'!C125*SolidStorageN2O)+('Mitigation drivers'!C126*DailyspreadN2O)+('Mitigation drivers'!C127*CompostN2O)+('Mitigation drivers'!C128*ManwithbedN2O)+('Mitigation drivers'!C129*PMwithoutlitterN2O)+('Mitigation drivers'!C130*PMwithlitterN2O)+('Mitigation drivers'!C132*DigesterN2OEF))/100</f>
        <v>8.9999999999999998E-4</v>
      </c>
      <c r="I63" s="26">
        <f>(('Mitigation drivers'!D122*LagoonN2O)+('Mitigation drivers'!D123*LiquidN2O)+('Mitigation drivers'!D124*DrylotN2O)+('Mitigation drivers'!D125*SolidStorageN2O)+('Mitigation drivers'!D126*DailyspreadN2O)+('Mitigation drivers'!D127*CompostN2O)+('Mitigation drivers'!D128*ManwithbedN2O)+('Mitigation drivers'!D129*PMwithoutlitterN2O)+('Mitigation drivers'!D130*PMwithlitterN2O)+('Mitigation drivers'!D132*DigesterN2OEF))/100</f>
        <v>8.9999999999999998E-4</v>
      </c>
      <c r="J63" s="26">
        <f>(('Mitigation drivers'!E122*LagoonN2O)+('Mitigation drivers'!E123*LiquidN2O)+('Mitigation drivers'!E124*DrylotN2O)+('Mitigation drivers'!E125*SolidStorageN2O)+('Mitigation drivers'!E126*DailyspreadN2O)+('Mitigation drivers'!E127*CompostN2O)+('Mitigation drivers'!E128*ManwithbedN2O)+('Mitigation drivers'!E129*PMwithoutlitterN2O)+('Mitigation drivers'!E130*PMwithlitterN2O)+('Mitigation drivers'!E132*DigesterN2OEF))/100</f>
        <v>8.9999999999999998E-4</v>
      </c>
      <c r="K63" s="26">
        <f>(('Mitigation drivers'!F122*LagoonN2O)+('Mitigation drivers'!F123*LiquidN2O)+('Mitigation drivers'!F124*DrylotN2O)+('Mitigation drivers'!F125*SolidStorageN2O)+('Mitigation drivers'!F126*DailyspreadN2O)+('Mitigation drivers'!F127*CompostN2O)+('Mitigation drivers'!F128*ManwithbedN2O)+('Mitigation drivers'!F129*PMwithoutlitterN2O)+('Mitigation drivers'!F130*PMwithlitterN2O)+('Mitigation drivers'!F132*DigesterN2OEF))/100</f>
        <v>8.9999999999999998E-4</v>
      </c>
      <c r="L63" s="26">
        <f>(('Mitigation drivers'!G122*LagoonN2O)+('Mitigation drivers'!G123*LiquidN2O)+('Mitigation drivers'!G124*DrylotN2O)+('Mitigation drivers'!G125*SolidStorageN2O)+('Mitigation drivers'!G126*DailyspreadN2O)+('Mitigation drivers'!G127*CompostN2O)+('Mitigation drivers'!G128*ManwithbedN2O)+('Mitigation drivers'!G129*PMwithoutlitterN2O)+('Mitigation drivers'!G130*PMwithlitterN2O)+('Mitigation drivers'!G132*DigesterN2OEF))/100</f>
        <v>8.9999999999999998E-4</v>
      </c>
      <c r="M63" s="26">
        <f>(('Mitigation drivers'!H122*LagoonN2O)+('Mitigation drivers'!H123*LiquidN2O)+('Mitigation drivers'!H124*DrylotN2O)+('Mitigation drivers'!H125*SolidStorageN2O)+('Mitigation drivers'!H126*DailyspreadN2O)+('Mitigation drivers'!H127*CompostN2O)+('Mitigation drivers'!H128*ManwithbedN2O)+('Mitigation drivers'!H129*PMwithoutlitterN2O)+('Mitigation drivers'!H130*PMwithlitterN2O)+('Mitigation drivers'!H132*DigesterN2OEF))/100</f>
        <v>8.9999999999999998E-4</v>
      </c>
      <c r="N63" s="26">
        <f>(('Mitigation drivers'!I122*LagoonN2O)+('Mitigation drivers'!I123*LiquidN2O)+('Mitigation drivers'!I124*DrylotN2O)+('Mitigation drivers'!I125*SolidStorageN2O)+('Mitigation drivers'!I126*DailyspreadN2O)+('Mitigation drivers'!I127*CompostN2O)+('Mitigation drivers'!I128*ManwithbedN2O)+('Mitigation drivers'!I129*PMwithoutlitterN2O)+('Mitigation drivers'!I130*PMwithlitterN2O)+('Mitigation drivers'!I132*DigesterN2OEF))/100</f>
        <v>8.9999999999999998E-4</v>
      </c>
      <c r="O63" s="26">
        <f>(('Mitigation drivers'!J122*LagoonN2O)+('Mitigation drivers'!J123*LiquidN2O)+('Mitigation drivers'!J124*DrylotN2O)+('Mitigation drivers'!J125*SolidStorageN2O)+('Mitigation drivers'!J126*DailyspreadN2O)+('Mitigation drivers'!J127*CompostN2O)+('Mitigation drivers'!J128*ManwithbedN2O)+('Mitigation drivers'!J129*PMwithoutlitterN2O)+('Mitigation drivers'!J130*PMwithlitterN2O)+('Mitigation drivers'!J132*DigesterN2OEF))/100</f>
        <v>8.9999999999999998E-4</v>
      </c>
      <c r="P63" s="26">
        <f>(('Mitigation drivers'!K122*LagoonN2O)+('Mitigation drivers'!K123*LiquidN2O)+('Mitigation drivers'!K124*DrylotN2O)+('Mitigation drivers'!K125*SolidStorageN2O)+('Mitigation drivers'!K126*DailyspreadN2O)+('Mitigation drivers'!K127*CompostN2O)+('Mitigation drivers'!K128*ManwithbedN2O)+('Mitigation drivers'!K129*PMwithoutlitterN2O)+('Mitigation drivers'!K130*PMwithlitterN2O)+('Mitigation drivers'!K132*DigesterN2OEF))/100</f>
        <v>8.9999999999999998E-4</v>
      </c>
      <c r="Q63" s="26">
        <f>(('Mitigation drivers'!L122*LagoonN2O)+('Mitigation drivers'!L123*LiquidN2O)+('Mitigation drivers'!L124*DrylotN2O)+('Mitigation drivers'!L125*SolidStorageN2O)+('Mitigation drivers'!L126*DailyspreadN2O)+('Mitigation drivers'!L127*CompostN2O)+('Mitigation drivers'!L128*ManwithbedN2O)+('Mitigation drivers'!L129*PMwithoutlitterN2O)+('Mitigation drivers'!L130*PMwithlitterN2O)+('Mitigation drivers'!L132*DigesterN2OEF))/100</f>
        <v>8.9999999999999998E-4</v>
      </c>
      <c r="R63" s="26">
        <f>(('Mitigation drivers'!M122*LagoonN2O)+('Mitigation drivers'!M123*LiquidN2O)+('Mitigation drivers'!M124*DrylotN2O)+('Mitigation drivers'!M125*SolidStorageN2O)+('Mitigation drivers'!M126*DailyspreadN2O)+('Mitigation drivers'!M127*CompostN2O)+('Mitigation drivers'!M128*ManwithbedN2O)+('Mitigation drivers'!M129*PMwithoutlitterN2O)+('Mitigation drivers'!M130*PMwithlitterN2O)+('Mitigation drivers'!M132*DigesterN2OEF))/100</f>
        <v>8.9999999999999998E-4</v>
      </c>
      <c r="S63" s="26">
        <f>(('Mitigation drivers'!N122*LagoonN2O)+('Mitigation drivers'!N123*LiquidN2O)+('Mitigation drivers'!N124*DrylotN2O)+('Mitigation drivers'!N125*SolidStorageN2O)+('Mitigation drivers'!N126*DailyspreadN2O)+('Mitigation drivers'!N127*CompostN2O)+('Mitigation drivers'!N128*ManwithbedN2O)+('Mitigation drivers'!N129*PMwithoutlitterN2O)+('Mitigation drivers'!N130*PMwithlitterN2O)+('Mitigation drivers'!N132*DigesterN2OEF))/100</f>
        <v>8.9999999999999998E-4</v>
      </c>
      <c r="T63" s="26">
        <f>(('Mitigation drivers'!O122*LagoonN2O)+('Mitigation drivers'!O123*LiquidN2O)+('Mitigation drivers'!O124*DrylotN2O)+('Mitigation drivers'!O125*SolidStorageN2O)+('Mitigation drivers'!O126*DailyspreadN2O)+('Mitigation drivers'!O127*CompostN2O)+('Mitigation drivers'!O128*ManwithbedN2O)+('Mitigation drivers'!O129*PMwithoutlitterN2O)+('Mitigation drivers'!O130*PMwithlitterN2O)+('Mitigation drivers'!O132*DigesterN2OEF))/100</f>
        <v>8.9999999999999998E-4</v>
      </c>
      <c r="U63" s="26">
        <f>(('Mitigation drivers'!P122*LagoonN2O)+('Mitigation drivers'!P123*LiquidN2O)+('Mitigation drivers'!P124*DrylotN2O)+('Mitigation drivers'!P125*SolidStorageN2O)+('Mitigation drivers'!P126*DailyspreadN2O)+('Mitigation drivers'!P127*CompostN2O)+('Mitigation drivers'!P128*ManwithbedN2O)+('Mitigation drivers'!P129*PMwithoutlitterN2O)+('Mitigation drivers'!P130*PMwithlitterN2O)+('Mitigation drivers'!P132*DigesterN2OEF))/100</f>
        <v>8.9999999999999998E-4</v>
      </c>
      <c r="V63" s="26">
        <f>(('Mitigation drivers'!Q122*LagoonN2O)+('Mitigation drivers'!Q123*LiquidN2O)+('Mitigation drivers'!Q124*DrylotN2O)+('Mitigation drivers'!Q125*SolidStorageN2O)+('Mitigation drivers'!Q126*DailyspreadN2O)+('Mitigation drivers'!Q127*CompostN2O)+('Mitigation drivers'!Q128*ManwithbedN2O)+('Mitigation drivers'!Q129*PMwithoutlitterN2O)+('Mitigation drivers'!Q130*PMwithlitterN2O)+('Mitigation drivers'!Q132*DigesterN2OEF))/100</f>
        <v>8.9999999999999998E-4</v>
      </c>
      <c r="W63" s="26">
        <f>(('Mitigation drivers'!R122*LagoonN2O)+('Mitigation drivers'!R123*LiquidN2O)+('Mitigation drivers'!R124*DrylotN2O)+('Mitigation drivers'!R125*SolidStorageN2O)+('Mitigation drivers'!R126*DailyspreadN2O)+('Mitigation drivers'!R127*CompostN2O)+('Mitigation drivers'!R128*ManwithbedN2O)+('Mitigation drivers'!R129*PMwithoutlitterN2O)+('Mitigation drivers'!R130*PMwithlitterN2O)+('Mitigation drivers'!R132*DigesterN2OEF))/100</f>
        <v>8.9999999999999998E-4</v>
      </c>
      <c r="X63" s="26">
        <f>(('Mitigation drivers'!S122*LagoonN2O)+('Mitigation drivers'!S123*LiquidN2O)+('Mitigation drivers'!S124*DrylotN2O)+('Mitigation drivers'!S125*SolidStorageN2O)+('Mitigation drivers'!S126*DailyspreadN2O)+('Mitigation drivers'!S127*CompostN2O)+('Mitigation drivers'!S128*ManwithbedN2O)+('Mitigation drivers'!S129*PMwithoutlitterN2O)+('Mitigation drivers'!S130*PMwithlitterN2O)+('Mitigation drivers'!S132*DigesterN2OEF))/100</f>
        <v>8.9999999999999998E-4</v>
      </c>
      <c r="Y63" s="26">
        <f>(('Mitigation drivers'!T122*LagoonN2O)+('Mitigation drivers'!T123*LiquidN2O)+('Mitigation drivers'!T124*DrylotN2O)+('Mitigation drivers'!T125*SolidStorageN2O)+('Mitigation drivers'!T126*DailyspreadN2O)+('Mitigation drivers'!T127*CompostN2O)+('Mitigation drivers'!T128*ManwithbedN2O)+('Mitigation drivers'!T129*PMwithoutlitterN2O)+('Mitigation drivers'!T130*PMwithlitterN2O)+('Mitigation drivers'!T132*DigesterN2OEF))/100</f>
        <v>8.9999999999999998E-4</v>
      </c>
      <c r="Z63" s="26">
        <f>(('Mitigation drivers'!U122*LagoonN2O)+('Mitigation drivers'!U123*LiquidN2O)+('Mitigation drivers'!U124*DrylotN2O)+('Mitigation drivers'!U125*SolidStorageN2O)+('Mitigation drivers'!U126*DailyspreadN2O)+('Mitigation drivers'!U127*CompostN2O)+('Mitigation drivers'!U128*ManwithbedN2O)+('Mitigation drivers'!U129*PMwithoutlitterN2O)+('Mitigation drivers'!U130*PMwithlitterN2O)+('Mitigation drivers'!U132*DigesterN2OEF))/100</f>
        <v>8.9999999999999998E-4</v>
      </c>
      <c r="AA63" s="26">
        <f>(('Mitigation drivers'!V122*LagoonN2O)+('Mitigation drivers'!V123*LiquidN2O)+('Mitigation drivers'!V124*DrylotN2O)+('Mitigation drivers'!V125*SolidStorageN2O)+('Mitigation drivers'!V126*DailyspreadN2O)+('Mitigation drivers'!V127*CompostN2O)+('Mitigation drivers'!V128*ManwithbedN2O)+('Mitigation drivers'!V129*PMwithoutlitterN2O)+('Mitigation drivers'!V130*PMwithlitterN2O)+('Mitigation drivers'!V132*DigesterN2OEF))/100</f>
        <v>8.9999999999999998E-4</v>
      </c>
      <c r="AB63" s="26">
        <f>(('Mitigation drivers'!W122*LagoonN2O)+('Mitigation drivers'!W123*LiquidN2O)+('Mitigation drivers'!W124*DrylotN2O)+('Mitigation drivers'!W125*SolidStorageN2O)+('Mitigation drivers'!W126*DailyspreadN2O)+('Mitigation drivers'!W127*CompostN2O)+('Mitigation drivers'!W128*ManwithbedN2O)+('Mitigation drivers'!W129*PMwithoutlitterN2O)+('Mitigation drivers'!W130*PMwithlitterN2O)+('Mitigation drivers'!W132*DigesterN2OEF))/100</f>
        <v>8.9999999999999998E-4</v>
      </c>
      <c r="AC63" s="26">
        <f>(('Mitigation drivers'!X122*LagoonN2O)+('Mitigation drivers'!X123*LiquidN2O)+('Mitigation drivers'!X124*DrylotN2O)+('Mitigation drivers'!X125*SolidStorageN2O)+('Mitigation drivers'!X126*DailyspreadN2O)+('Mitigation drivers'!X127*CompostN2O)+('Mitigation drivers'!X128*ManwithbedN2O)+('Mitigation drivers'!X129*PMwithoutlitterN2O)+('Mitigation drivers'!X130*PMwithlitterN2O)+('Mitigation drivers'!X132*DigesterN2OEF))/100</f>
        <v>8.9999999999999998E-4</v>
      </c>
      <c r="AD63" s="26">
        <f>(('Mitigation drivers'!Y122*LagoonN2O)+('Mitigation drivers'!Y123*LiquidN2O)+('Mitigation drivers'!Y124*DrylotN2O)+('Mitigation drivers'!Y125*SolidStorageN2O)+('Mitigation drivers'!Y126*DailyspreadN2O)+('Mitigation drivers'!Y127*CompostN2O)+('Mitigation drivers'!Y128*ManwithbedN2O)+('Mitigation drivers'!Y129*PMwithoutlitterN2O)+('Mitigation drivers'!Y130*PMwithlitterN2O)+('Mitigation drivers'!Y132*DigesterN2OEF))/100</f>
        <v>8.9999999999999998E-4</v>
      </c>
      <c r="AE63" s="26">
        <f>(('Mitigation drivers'!Z122*LagoonN2O)+('Mitigation drivers'!Z123*LiquidN2O)+('Mitigation drivers'!Z124*DrylotN2O)+('Mitigation drivers'!Z125*SolidStorageN2O)+('Mitigation drivers'!Z126*DailyspreadN2O)+('Mitigation drivers'!Z127*CompostN2O)+('Mitigation drivers'!Z128*ManwithbedN2O)+('Mitigation drivers'!Z129*PMwithoutlitterN2O)+('Mitigation drivers'!Z130*PMwithlitterN2O)+('Mitigation drivers'!Z132*DigesterN2OEF))/100</f>
        <v>8.9999999999999998E-4</v>
      </c>
      <c r="AF63" s="26">
        <f>(('Mitigation drivers'!AA122*LagoonN2O)+('Mitigation drivers'!AA123*LiquidN2O)+('Mitigation drivers'!AA124*DrylotN2O)+('Mitigation drivers'!AA125*SolidStorageN2O)+('Mitigation drivers'!AA126*DailyspreadN2O)+('Mitigation drivers'!AA127*CompostN2O)+('Mitigation drivers'!AA128*ManwithbedN2O)+('Mitigation drivers'!AA129*PMwithoutlitterN2O)+('Mitigation drivers'!AA130*PMwithlitterN2O)+('Mitigation drivers'!AA132*DigesterN2OEF))/100</f>
        <v>8.9999999999999998E-4</v>
      </c>
      <c r="AG63" s="26">
        <f>(('Mitigation drivers'!AB122*LagoonN2O)+('Mitigation drivers'!AB123*LiquidN2O)+('Mitigation drivers'!AB124*DrylotN2O)+('Mitigation drivers'!AB125*SolidStorageN2O)+('Mitigation drivers'!AB126*DailyspreadN2O)+('Mitigation drivers'!AB127*CompostN2O)+('Mitigation drivers'!AB128*ManwithbedN2O)+('Mitigation drivers'!AB129*PMwithoutlitterN2O)+('Mitigation drivers'!AB130*PMwithlitterN2O)+('Mitigation drivers'!AB132*DigesterN2OEF))/100</f>
        <v>8.9999999999999998E-4</v>
      </c>
      <c r="AH63" s="26">
        <f>(('Mitigation drivers'!AC122*LagoonN2O)+('Mitigation drivers'!AC123*LiquidN2O)+('Mitigation drivers'!AC124*DrylotN2O)+('Mitigation drivers'!AC125*SolidStorageN2O)+('Mitigation drivers'!AC126*DailyspreadN2O)+('Mitigation drivers'!AC127*CompostN2O)+('Mitigation drivers'!AC128*ManwithbedN2O)+('Mitigation drivers'!AC129*PMwithoutlitterN2O)+('Mitigation drivers'!AC130*PMwithlitterN2O)+('Mitigation drivers'!AC132*DigesterN2OEF))/100</f>
        <v>8.9999999999999998E-4</v>
      </c>
      <c r="AI63" s="26">
        <f>(('Mitigation drivers'!AD122*LagoonN2O)+('Mitigation drivers'!AD123*LiquidN2O)+('Mitigation drivers'!AD124*DrylotN2O)+('Mitigation drivers'!AD125*SolidStorageN2O)+('Mitigation drivers'!AD126*DailyspreadN2O)+('Mitigation drivers'!AD127*CompostN2O)+('Mitigation drivers'!AD128*ManwithbedN2O)+('Mitigation drivers'!AD129*PMwithoutlitterN2O)+('Mitigation drivers'!AD130*PMwithlitterN2O)+('Mitigation drivers'!AD132*DigesterN2OEF))/100</f>
        <v>8.9999999999999998E-4</v>
      </c>
      <c r="AJ63" s="26">
        <f>(('Mitigation drivers'!AE122*LagoonN2O)+('Mitigation drivers'!AE123*LiquidN2O)+('Mitigation drivers'!AE124*DrylotN2O)+('Mitigation drivers'!AE125*SolidStorageN2O)+('Mitigation drivers'!AE126*DailyspreadN2O)+('Mitigation drivers'!AE127*CompostN2O)+('Mitigation drivers'!AE128*ManwithbedN2O)+('Mitigation drivers'!AE129*PMwithoutlitterN2O)+('Mitigation drivers'!AE130*PMwithlitterN2O)+('Mitigation drivers'!AE132*DigesterN2OEF))/100</f>
        <v>8.9999999999999998E-4</v>
      </c>
      <c r="AK63" s="26">
        <f>(('Mitigation drivers'!AF122*LagoonN2O)+('Mitigation drivers'!AF123*LiquidN2O)+('Mitigation drivers'!AF124*DrylotN2O)+('Mitigation drivers'!AF125*SolidStorageN2O)+('Mitigation drivers'!AF126*DailyspreadN2O)+('Mitigation drivers'!AF127*CompostN2O)+('Mitigation drivers'!AF128*ManwithbedN2O)+('Mitigation drivers'!AF129*PMwithoutlitterN2O)+('Mitigation drivers'!AF130*PMwithlitterN2O)+('Mitigation drivers'!AF132*DigesterN2OEF))/100</f>
        <v>8.9999999999999998E-4</v>
      </c>
      <c r="AL63" s="26">
        <f>(('Mitigation drivers'!AG122*LagoonN2O)+('Mitigation drivers'!AG123*LiquidN2O)+('Mitigation drivers'!AG124*DrylotN2O)+('Mitigation drivers'!AG125*SolidStorageN2O)+('Mitigation drivers'!AG126*DailyspreadN2O)+('Mitigation drivers'!AG127*CompostN2O)+('Mitigation drivers'!AG128*ManwithbedN2O)+('Mitigation drivers'!AG129*PMwithoutlitterN2O)+('Mitigation drivers'!AG130*PMwithlitterN2O)+('Mitigation drivers'!AG132*DigesterN2OEF))/100</f>
        <v>8.9999999999999998E-4</v>
      </c>
      <c r="AM63" s="26">
        <f>(('Mitigation drivers'!AH122*LagoonN2O)+('Mitigation drivers'!AH123*LiquidN2O)+('Mitigation drivers'!AH124*DrylotN2O)+('Mitigation drivers'!AH125*SolidStorageN2O)+('Mitigation drivers'!AH126*DailyspreadN2O)+('Mitigation drivers'!AH127*CompostN2O)+('Mitigation drivers'!AH128*ManwithbedN2O)+('Mitigation drivers'!AH129*PMwithoutlitterN2O)+('Mitigation drivers'!AH130*PMwithlitterN2O)+('Mitigation drivers'!AH132*DigesterN2OEF))/100</f>
        <v>8.9999999999999998E-4</v>
      </c>
      <c r="AN63" s="26">
        <f>(('Mitigation drivers'!AI122*LagoonN2O)+('Mitigation drivers'!AI123*LiquidN2O)+('Mitigation drivers'!AI124*DrylotN2O)+('Mitigation drivers'!AI125*SolidStorageN2O)+('Mitigation drivers'!AI126*DailyspreadN2O)+('Mitigation drivers'!AI127*CompostN2O)+('Mitigation drivers'!AI128*ManwithbedN2O)+('Mitigation drivers'!AI129*PMwithoutlitterN2O)+('Mitigation drivers'!AI130*PMwithlitterN2O)+('Mitigation drivers'!AI132*DigesterN2OEF))/100</f>
        <v>8.9999999999999998E-4</v>
      </c>
      <c r="AO63" s="26">
        <f>(('Mitigation drivers'!AJ122*LagoonN2O)+('Mitigation drivers'!AJ123*LiquidN2O)+('Mitigation drivers'!AJ124*DrylotN2O)+('Mitigation drivers'!AJ125*SolidStorageN2O)+('Mitigation drivers'!AJ126*DailyspreadN2O)+('Mitigation drivers'!AJ127*CompostN2O)+('Mitigation drivers'!AJ128*ManwithbedN2O)+('Mitigation drivers'!AJ129*PMwithoutlitterN2O)+('Mitigation drivers'!AJ130*PMwithlitterN2O)+('Mitigation drivers'!AJ132*DigesterN2OEF))/100</f>
        <v>8.9999999999999998E-4</v>
      </c>
    </row>
    <row r="64" spans="1:41" x14ac:dyDescent="0.25">
      <c r="A64" t="str">
        <f t="shared" si="1"/>
        <v>3A Livestock</v>
      </c>
      <c r="B64" t="str">
        <f t="shared" si="8"/>
        <v>3A2 Manure management (N2O)</v>
      </c>
      <c r="C64" t="str">
        <f>'Activity data'!C15</f>
        <v>3A1f Horses</v>
      </c>
      <c r="D64" t="str">
        <f>'Activity data'!D15</f>
        <v>Horses</v>
      </c>
      <c r="E64" t="str">
        <f t="shared" si="27"/>
        <v>Manure management EF</v>
      </c>
      <c r="F64" t="str">
        <f t="shared" si="28"/>
        <v>N2O</v>
      </c>
      <c r="G64" t="str">
        <f t="shared" si="29"/>
        <v>kg N2O-N/kg Nex</v>
      </c>
      <c r="H64" s="26">
        <f>IFERROR((('Mitigation drivers'!C135*LagoonN2O)+('Mitigation drivers'!C136*LiquidN2O)+('Mitigation drivers'!C137*DrylotN2O)+('Mitigation drivers'!C138*SolidStorageN2O)+('Mitigation drivers'!C139*DailyspreadN2O)+('Mitigation drivers'!C140*CompostN2O)+('Mitigation drivers'!C141*ManwithbedN2O)+('Mitigation drivers'!C142*PMwithoutlitterN2O)+('Mitigation drivers'!C143*PMwithlitterN2O+('Mitigation drivers'!C145*DigesterN2OEF)))/100,0)</f>
        <v>0</v>
      </c>
      <c r="I64" s="26">
        <f>IFERROR((('Mitigation drivers'!D135*LagoonN2O)+('Mitigation drivers'!D136*LiquidN2O)+('Mitigation drivers'!D137*DrylotN2O)+('Mitigation drivers'!D138*SolidStorageN2O)+('Mitigation drivers'!D139*DailyspreadN2O)+('Mitigation drivers'!D140*CompostN2O)+('Mitigation drivers'!D141*ManwithbedN2O)+('Mitigation drivers'!D142*PMwithoutlitterN2O)+('Mitigation drivers'!D143*PMwithlitterN2O+('Mitigation drivers'!D145*DigesterN2OEF)))/100,0)</f>
        <v>0</v>
      </c>
      <c r="J64" s="26">
        <f>IFERROR((('Mitigation drivers'!E135*LagoonN2O)+('Mitigation drivers'!E136*LiquidN2O)+('Mitigation drivers'!E137*DrylotN2O)+('Mitigation drivers'!E138*SolidStorageN2O)+('Mitigation drivers'!E139*DailyspreadN2O)+('Mitigation drivers'!E140*CompostN2O)+('Mitigation drivers'!E141*ManwithbedN2O)+('Mitigation drivers'!E142*PMwithoutlitterN2O)+('Mitigation drivers'!E143*PMwithlitterN2O+('Mitigation drivers'!E145*DigesterN2OEF)))/100,0)</f>
        <v>0</v>
      </c>
      <c r="K64" s="26">
        <f>IFERROR((('Mitigation drivers'!F135*LagoonN2O)+('Mitigation drivers'!F136*LiquidN2O)+('Mitigation drivers'!F137*DrylotN2O)+('Mitigation drivers'!F138*SolidStorageN2O)+('Mitigation drivers'!F139*DailyspreadN2O)+('Mitigation drivers'!F140*CompostN2O)+('Mitigation drivers'!F141*ManwithbedN2O)+('Mitigation drivers'!F142*PMwithoutlitterN2O)+('Mitigation drivers'!F143*PMwithlitterN2O+('Mitigation drivers'!F145*DigesterN2OEF)))/100,0)</f>
        <v>0</v>
      </c>
      <c r="L64" s="26">
        <f>IFERROR((('Mitigation drivers'!G135*LagoonN2O)+('Mitigation drivers'!G136*LiquidN2O)+('Mitigation drivers'!G137*DrylotN2O)+('Mitigation drivers'!G138*SolidStorageN2O)+('Mitigation drivers'!G139*DailyspreadN2O)+('Mitigation drivers'!G140*CompostN2O)+('Mitigation drivers'!G141*ManwithbedN2O)+('Mitigation drivers'!G142*PMwithoutlitterN2O)+('Mitigation drivers'!G143*PMwithlitterN2O+('Mitigation drivers'!G145*DigesterN2OEF)))/100,0)</f>
        <v>0</v>
      </c>
      <c r="M64" s="26">
        <f>IFERROR((('Mitigation drivers'!H135*LagoonN2O)+('Mitigation drivers'!H136*LiquidN2O)+('Mitigation drivers'!H137*DrylotN2O)+('Mitigation drivers'!H138*SolidStorageN2O)+('Mitigation drivers'!H139*DailyspreadN2O)+('Mitigation drivers'!H140*CompostN2O)+('Mitigation drivers'!H141*ManwithbedN2O)+('Mitigation drivers'!H142*PMwithoutlitterN2O)+('Mitigation drivers'!H143*PMwithlitterN2O+('Mitigation drivers'!H145*DigesterN2OEF)))/100,0)</f>
        <v>0</v>
      </c>
      <c r="N64" s="26">
        <f>IFERROR((('Mitigation drivers'!I135*LagoonN2O)+('Mitigation drivers'!I136*LiquidN2O)+('Mitigation drivers'!I137*DrylotN2O)+('Mitigation drivers'!I138*SolidStorageN2O)+('Mitigation drivers'!I139*DailyspreadN2O)+('Mitigation drivers'!I140*CompostN2O)+('Mitigation drivers'!I141*ManwithbedN2O)+('Mitigation drivers'!I142*PMwithoutlitterN2O)+('Mitigation drivers'!I143*PMwithlitterN2O+('Mitigation drivers'!I145*DigesterN2OEF)))/100,0)</f>
        <v>0</v>
      </c>
      <c r="O64" s="26">
        <f>IFERROR((('Mitigation drivers'!J135*LagoonN2O)+('Mitigation drivers'!J136*LiquidN2O)+('Mitigation drivers'!J137*DrylotN2O)+('Mitigation drivers'!J138*SolidStorageN2O)+('Mitigation drivers'!J139*DailyspreadN2O)+('Mitigation drivers'!J140*CompostN2O)+('Mitigation drivers'!J141*ManwithbedN2O)+('Mitigation drivers'!J142*PMwithoutlitterN2O)+('Mitigation drivers'!J143*PMwithlitterN2O+('Mitigation drivers'!J145*DigesterN2OEF)))/100,0)</f>
        <v>0</v>
      </c>
      <c r="P64" s="26">
        <f>IFERROR((('Mitigation drivers'!K135*LagoonN2O)+('Mitigation drivers'!K136*LiquidN2O)+('Mitigation drivers'!K137*DrylotN2O)+('Mitigation drivers'!K138*SolidStorageN2O)+('Mitigation drivers'!K139*DailyspreadN2O)+('Mitigation drivers'!K140*CompostN2O)+('Mitigation drivers'!K141*ManwithbedN2O)+('Mitigation drivers'!K142*PMwithoutlitterN2O)+('Mitigation drivers'!K143*PMwithlitterN2O+('Mitigation drivers'!K145*DigesterN2OEF)))/100,0)</f>
        <v>0</v>
      </c>
      <c r="Q64" s="26">
        <f>IFERROR((('Mitigation drivers'!L135*LagoonN2O)+('Mitigation drivers'!L136*LiquidN2O)+('Mitigation drivers'!L137*DrylotN2O)+('Mitigation drivers'!L138*SolidStorageN2O)+('Mitigation drivers'!L139*DailyspreadN2O)+('Mitigation drivers'!L140*CompostN2O)+('Mitigation drivers'!L141*ManwithbedN2O)+('Mitigation drivers'!L142*PMwithoutlitterN2O)+('Mitigation drivers'!L143*PMwithlitterN2O+('Mitigation drivers'!L145*DigesterN2OEF)))/100,0)</f>
        <v>0</v>
      </c>
      <c r="R64" s="26">
        <f>IFERROR((('Mitigation drivers'!M135*LagoonN2O)+('Mitigation drivers'!M136*LiquidN2O)+('Mitigation drivers'!M137*DrylotN2O)+('Mitigation drivers'!M138*SolidStorageN2O)+('Mitigation drivers'!M139*DailyspreadN2O)+('Mitigation drivers'!M140*CompostN2O)+('Mitigation drivers'!M141*ManwithbedN2O)+('Mitigation drivers'!M142*PMwithoutlitterN2O)+('Mitigation drivers'!M143*PMwithlitterN2O+('Mitigation drivers'!M145*DigesterN2OEF)))/100,0)</f>
        <v>0</v>
      </c>
      <c r="S64" s="26">
        <f>IFERROR((('Mitigation drivers'!N135*LagoonN2O)+('Mitigation drivers'!N136*LiquidN2O)+('Mitigation drivers'!N137*DrylotN2O)+('Mitigation drivers'!N138*SolidStorageN2O)+('Mitigation drivers'!N139*DailyspreadN2O)+('Mitigation drivers'!N140*CompostN2O)+('Mitigation drivers'!N141*ManwithbedN2O)+('Mitigation drivers'!N142*PMwithoutlitterN2O)+('Mitigation drivers'!N143*PMwithlitterN2O+('Mitigation drivers'!N145*DigesterN2OEF)))/100,0)</f>
        <v>0</v>
      </c>
      <c r="T64" s="26">
        <f>IFERROR((('Mitigation drivers'!O135*LagoonN2O)+('Mitigation drivers'!O136*LiquidN2O)+('Mitigation drivers'!O137*DrylotN2O)+('Mitigation drivers'!O138*SolidStorageN2O)+('Mitigation drivers'!O139*DailyspreadN2O)+('Mitigation drivers'!O140*CompostN2O)+('Mitigation drivers'!O141*ManwithbedN2O)+('Mitigation drivers'!O142*PMwithoutlitterN2O)+('Mitigation drivers'!O143*PMwithlitterN2O+('Mitigation drivers'!O145*DigesterN2OEF)))/100,0)</f>
        <v>0</v>
      </c>
      <c r="U64" s="26">
        <f>IFERROR((('Mitigation drivers'!P135*LagoonN2O)+('Mitigation drivers'!P136*LiquidN2O)+('Mitigation drivers'!P137*DrylotN2O)+('Mitigation drivers'!P138*SolidStorageN2O)+('Mitigation drivers'!P139*DailyspreadN2O)+('Mitigation drivers'!P140*CompostN2O)+('Mitigation drivers'!P141*ManwithbedN2O)+('Mitigation drivers'!P142*PMwithoutlitterN2O)+('Mitigation drivers'!P143*PMwithlitterN2O+('Mitigation drivers'!P145*DigesterN2OEF)))/100,0)</f>
        <v>0</v>
      </c>
      <c r="V64" s="26">
        <f>IFERROR((('Mitigation drivers'!Q135*LagoonN2O)+('Mitigation drivers'!Q136*LiquidN2O)+('Mitigation drivers'!Q137*DrylotN2O)+('Mitigation drivers'!Q138*SolidStorageN2O)+('Mitigation drivers'!Q139*DailyspreadN2O)+('Mitigation drivers'!Q140*CompostN2O)+('Mitigation drivers'!Q141*ManwithbedN2O)+('Mitigation drivers'!Q142*PMwithoutlitterN2O)+('Mitigation drivers'!Q143*PMwithlitterN2O+('Mitigation drivers'!Q145*DigesterN2OEF)))/100,0)</f>
        <v>0</v>
      </c>
      <c r="W64" s="26">
        <f>IFERROR((('Mitigation drivers'!R135*LagoonN2O)+('Mitigation drivers'!R136*LiquidN2O)+('Mitigation drivers'!R137*DrylotN2O)+('Mitigation drivers'!R138*SolidStorageN2O)+('Mitigation drivers'!R139*DailyspreadN2O)+('Mitigation drivers'!R140*CompostN2O)+('Mitigation drivers'!R141*ManwithbedN2O)+('Mitigation drivers'!R142*PMwithoutlitterN2O)+('Mitigation drivers'!R143*PMwithlitterN2O+('Mitigation drivers'!R145*DigesterN2OEF)))/100,0)</f>
        <v>0</v>
      </c>
      <c r="X64" s="26">
        <f>IFERROR((('Mitigation drivers'!S135*LagoonN2O)+('Mitigation drivers'!S136*LiquidN2O)+('Mitigation drivers'!S137*DrylotN2O)+('Mitigation drivers'!S138*SolidStorageN2O)+('Mitigation drivers'!S139*DailyspreadN2O)+('Mitigation drivers'!S140*CompostN2O)+('Mitigation drivers'!S141*ManwithbedN2O)+('Mitigation drivers'!S142*PMwithoutlitterN2O)+('Mitigation drivers'!S143*PMwithlitterN2O+('Mitigation drivers'!S145*DigesterN2OEF)))/100,0)</f>
        <v>0</v>
      </c>
      <c r="Y64" s="26">
        <f>IFERROR((('Mitigation drivers'!T135*LagoonN2O)+('Mitigation drivers'!T136*LiquidN2O)+('Mitigation drivers'!T137*DrylotN2O)+('Mitigation drivers'!T138*SolidStorageN2O)+('Mitigation drivers'!T139*DailyspreadN2O)+('Mitigation drivers'!T140*CompostN2O)+('Mitigation drivers'!T141*ManwithbedN2O)+('Mitigation drivers'!T142*PMwithoutlitterN2O)+('Mitigation drivers'!T143*PMwithlitterN2O+('Mitigation drivers'!T145*DigesterN2OEF)))/100,0)</f>
        <v>0</v>
      </c>
      <c r="Z64" s="26">
        <f>IFERROR((('Mitigation drivers'!U135*LagoonN2O)+('Mitigation drivers'!U136*LiquidN2O)+('Mitigation drivers'!U137*DrylotN2O)+('Mitigation drivers'!U138*SolidStorageN2O)+('Mitigation drivers'!U139*DailyspreadN2O)+('Mitigation drivers'!U140*CompostN2O)+('Mitigation drivers'!U141*ManwithbedN2O)+('Mitigation drivers'!U142*PMwithoutlitterN2O)+('Mitigation drivers'!U143*PMwithlitterN2O+('Mitigation drivers'!U145*DigesterN2OEF)))/100,0)</f>
        <v>0</v>
      </c>
      <c r="AA64" s="26">
        <f>IFERROR((('Mitigation drivers'!V135*LagoonN2O)+('Mitigation drivers'!V136*LiquidN2O)+('Mitigation drivers'!V137*DrylotN2O)+('Mitigation drivers'!V138*SolidStorageN2O)+('Mitigation drivers'!V139*DailyspreadN2O)+('Mitigation drivers'!V140*CompostN2O)+('Mitigation drivers'!V141*ManwithbedN2O)+('Mitigation drivers'!V142*PMwithoutlitterN2O)+('Mitigation drivers'!V143*PMwithlitterN2O+('Mitigation drivers'!V145*DigesterN2OEF)))/100,0)</f>
        <v>0</v>
      </c>
      <c r="AB64" s="26">
        <f>IFERROR((('Mitigation drivers'!W135*LagoonN2O)+('Mitigation drivers'!W136*LiquidN2O)+('Mitigation drivers'!W137*DrylotN2O)+('Mitigation drivers'!W138*SolidStorageN2O)+('Mitigation drivers'!W139*DailyspreadN2O)+('Mitigation drivers'!W140*CompostN2O)+('Mitigation drivers'!W141*ManwithbedN2O)+('Mitigation drivers'!W142*PMwithoutlitterN2O)+('Mitigation drivers'!W143*PMwithlitterN2O+('Mitigation drivers'!W145*DigesterN2OEF)))/100,0)</f>
        <v>0</v>
      </c>
      <c r="AC64" s="26">
        <f>IFERROR((('Mitigation drivers'!X135*LagoonN2O)+('Mitigation drivers'!X136*LiquidN2O)+('Mitigation drivers'!X137*DrylotN2O)+('Mitigation drivers'!X138*SolidStorageN2O)+('Mitigation drivers'!X139*DailyspreadN2O)+('Mitigation drivers'!X140*CompostN2O)+('Mitigation drivers'!X141*ManwithbedN2O)+('Mitigation drivers'!X142*PMwithoutlitterN2O)+('Mitigation drivers'!X143*PMwithlitterN2O+('Mitigation drivers'!X145*DigesterN2OEF)))/100,0)</f>
        <v>0</v>
      </c>
      <c r="AD64" s="26">
        <f>IFERROR((('Mitigation drivers'!Y135*LagoonN2O)+('Mitigation drivers'!Y136*LiquidN2O)+('Mitigation drivers'!Y137*DrylotN2O)+('Mitigation drivers'!Y138*SolidStorageN2O)+('Mitigation drivers'!Y139*DailyspreadN2O)+('Mitigation drivers'!Y140*CompostN2O)+('Mitigation drivers'!Y141*ManwithbedN2O)+('Mitigation drivers'!Y142*PMwithoutlitterN2O)+('Mitigation drivers'!Y143*PMwithlitterN2O+('Mitigation drivers'!Y145*DigesterN2OEF)))/100,0)</f>
        <v>0</v>
      </c>
      <c r="AE64" s="26">
        <f>IFERROR((('Mitigation drivers'!Z135*LagoonN2O)+('Mitigation drivers'!Z136*LiquidN2O)+('Mitigation drivers'!Z137*DrylotN2O)+('Mitigation drivers'!Z138*SolidStorageN2O)+('Mitigation drivers'!Z139*DailyspreadN2O)+('Mitigation drivers'!Z140*CompostN2O)+('Mitigation drivers'!Z141*ManwithbedN2O)+('Mitigation drivers'!Z142*PMwithoutlitterN2O)+('Mitigation drivers'!Z143*PMwithlitterN2O+('Mitigation drivers'!Z145*DigesterN2OEF)))/100,0)</f>
        <v>0</v>
      </c>
      <c r="AF64" s="26">
        <f>IFERROR((('Mitigation drivers'!AA135*LagoonN2O)+('Mitigation drivers'!AA136*LiquidN2O)+('Mitigation drivers'!AA137*DrylotN2O)+('Mitigation drivers'!AA138*SolidStorageN2O)+('Mitigation drivers'!AA139*DailyspreadN2O)+('Mitigation drivers'!AA140*CompostN2O)+('Mitigation drivers'!AA141*ManwithbedN2O)+('Mitigation drivers'!AA142*PMwithoutlitterN2O)+('Mitigation drivers'!AA143*PMwithlitterN2O+('Mitigation drivers'!AA145*DigesterN2OEF)))/100,0)</f>
        <v>0</v>
      </c>
      <c r="AG64" s="26">
        <f>IFERROR((('Mitigation drivers'!AB135*LagoonN2O)+('Mitigation drivers'!AB136*LiquidN2O)+('Mitigation drivers'!AB137*DrylotN2O)+('Mitigation drivers'!AB138*SolidStorageN2O)+('Mitigation drivers'!AB139*DailyspreadN2O)+('Mitigation drivers'!AB140*CompostN2O)+('Mitigation drivers'!AB141*ManwithbedN2O)+('Mitigation drivers'!AB142*PMwithoutlitterN2O)+('Mitigation drivers'!AB143*PMwithlitterN2O+('Mitigation drivers'!AB145*DigesterN2OEF)))/100,0)</f>
        <v>0</v>
      </c>
      <c r="AH64" s="26">
        <f>IFERROR((('Mitigation drivers'!AC135*LagoonN2O)+('Mitigation drivers'!AC136*LiquidN2O)+('Mitigation drivers'!AC137*DrylotN2O)+('Mitigation drivers'!AC138*SolidStorageN2O)+('Mitigation drivers'!AC139*DailyspreadN2O)+('Mitigation drivers'!AC140*CompostN2O)+('Mitigation drivers'!AC141*ManwithbedN2O)+('Mitigation drivers'!AC142*PMwithoutlitterN2O)+('Mitigation drivers'!AC143*PMwithlitterN2O+('Mitigation drivers'!AC145*DigesterN2OEF)))/100,0)</f>
        <v>0</v>
      </c>
      <c r="AI64" s="26">
        <f>IFERROR((('Mitigation drivers'!AD135*LagoonN2O)+('Mitigation drivers'!AD136*LiquidN2O)+('Mitigation drivers'!AD137*DrylotN2O)+('Mitigation drivers'!AD138*SolidStorageN2O)+('Mitigation drivers'!AD139*DailyspreadN2O)+('Mitigation drivers'!AD140*CompostN2O)+('Mitigation drivers'!AD141*ManwithbedN2O)+('Mitigation drivers'!AD142*PMwithoutlitterN2O)+('Mitigation drivers'!AD143*PMwithlitterN2O+('Mitigation drivers'!AD145*DigesterN2OEF)))/100,0)</f>
        <v>0</v>
      </c>
      <c r="AJ64" s="26">
        <f>IFERROR((('Mitigation drivers'!AE135*LagoonN2O)+('Mitigation drivers'!AE136*LiquidN2O)+('Mitigation drivers'!AE137*DrylotN2O)+('Mitigation drivers'!AE138*SolidStorageN2O)+('Mitigation drivers'!AE139*DailyspreadN2O)+('Mitigation drivers'!AE140*CompostN2O)+('Mitigation drivers'!AE141*ManwithbedN2O)+('Mitigation drivers'!AE142*PMwithoutlitterN2O)+('Mitigation drivers'!AE143*PMwithlitterN2O+('Mitigation drivers'!AE145*DigesterN2OEF)))/100,0)</f>
        <v>0</v>
      </c>
      <c r="AK64" s="26">
        <f>IFERROR((('Mitigation drivers'!AF135*LagoonN2O)+('Mitigation drivers'!AF136*LiquidN2O)+('Mitigation drivers'!AF137*DrylotN2O)+('Mitigation drivers'!AF138*SolidStorageN2O)+('Mitigation drivers'!AF139*DailyspreadN2O)+('Mitigation drivers'!AF140*CompostN2O)+('Mitigation drivers'!AF141*ManwithbedN2O)+('Mitigation drivers'!AF142*PMwithoutlitterN2O)+('Mitigation drivers'!AF143*PMwithlitterN2O+('Mitigation drivers'!AF145*DigesterN2OEF)))/100,0)</f>
        <v>0</v>
      </c>
      <c r="AL64" s="26">
        <f>IFERROR((('Mitigation drivers'!AG135*LagoonN2O)+('Mitigation drivers'!AG136*LiquidN2O)+('Mitigation drivers'!AG137*DrylotN2O)+('Mitigation drivers'!AG138*SolidStorageN2O)+('Mitigation drivers'!AG139*DailyspreadN2O)+('Mitigation drivers'!AG140*CompostN2O)+('Mitigation drivers'!AG141*ManwithbedN2O)+('Mitigation drivers'!AG142*PMwithoutlitterN2O)+('Mitigation drivers'!AG143*PMwithlitterN2O+('Mitigation drivers'!AG145*DigesterN2OEF)))/100,0)</f>
        <v>0</v>
      </c>
      <c r="AM64" s="26">
        <f>IFERROR((('Mitigation drivers'!AH135*LagoonN2O)+('Mitigation drivers'!AH136*LiquidN2O)+('Mitigation drivers'!AH137*DrylotN2O)+('Mitigation drivers'!AH138*SolidStorageN2O)+('Mitigation drivers'!AH139*DailyspreadN2O)+('Mitigation drivers'!AH140*CompostN2O)+('Mitigation drivers'!AH141*ManwithbedN2O)+('Mitigation drivers'!AH142*PMwithoutlitterN2O)+('Mitigation drivers'!AH143*PMwithlitterN2O+('Mitigation drivers'!AH145*DigesterN2OEF)))/100,0)</f>
        <v>0</v>
      </c>
      <c r="AN64" s="26">
        <f>IFERROR((('Mitigation drivers'!AI135*LagoonN2O)+('Mitigation drivers'!AI136*LiquidN2O)+('Mitigation drivers'!AI137*DrylotN2O)+('Mitigation drivers'!AI138*SolidStorageN2O)+('Mitigation drivers'!AI139*DailyspreadN2O)+('Mitigation drivers'!AI140*CompostN2O)+('Mitigation drivers'!AI141*ManwithbedN2O)+('Mitigation drivers'!AI142*PMwithoutlitterN2O)+('Mitigation drivers'!AI143*PMwithlitterN2O+('Mitigation drivers'!AI145*DigesterN2OEF)))/100,0)</f>
        <v>0</v>
      </c>
      <c r="AO64" s="26">
        <f>IFERROR((('Mitigation drivers'!AJ135*LagoonN2O)+('Mitigation drivers'!AJ136*LiquidN2O)+('Mitigation drivers'!AJ137*DrylotN2O)+('Mitigation drivers'!AJ138*SolidStorageN2O)+('Mitigation drivers'!AJ139*DailyspreadN2O)+('Mitigation drivers'!AJ140*CompostN2O)+('Mitigation drivers'!AJ141*ManwithbedN2O)+('Mitigation drivers'!AJ142*PMwithoutlitterN2O)+('Mitigation drivers'!AJ143*PMwithlitterN2O+('Mitigation drivers'!AJ145*DigesterN2OEF)))/100,0)</f>
        <v>0</v>
      </c>
    </row>
    <row r="65" spans="1:41" x14ac:dyDescent="0.25">
      <c r="A65" t="str">
        <f t="shared" si="1"/>
        <v>3A Livestock</v>
      </c>
      <c r="B65" t="str">
        <f t="shared" si="8"/>
        <v>3A2 Manure management (N2O)</v>
      </c>
      <c r="C65" t="str">
        <f>'Activity data'!C16</f>
        <v>3A1g Mules &amp; asses</v>
      </c>
      <c r="D65" t="str">
        <f>'Activity data'!D16</f>
        <v>Mules &amp; Asses</v>
      </c>
      <c r="E65" t="str">
        <f t="shared" si="27"/>
        <v>Manure management EF</v>
      </c>
      <c r="F65" t="str">
        <f t="shared" si="28"/>
        <v>N2O</v>
      </c>
      <c r="G65" t="str">
        <f t="shared" si="29"/>
        <v>kg N2O-N/kg Nex</v>
      </c>
      <c r="H65" s="26">
        <f>IFERROR((('Mitigation drivers'!C147*LagoonN2O)+('Mitigation drivers'!C148*LiquidN2O)+('Mitigation drivers'!C149*DrylotN2O)+('Mitigation drivers'!C150*SolidStorageN2O)+('Mitigation drivers'!C151*DailyspreadN2O)+('Mitigation drivers'!C152*CompostN2O)+('Mitigation drivers'!C153*ManwithbedN2O)+('Mitigation drivers'!C154*PMwithoutlitterN2O)+('Mitigation drivers'!C155*PMwithlitterN2O)+('Mitigation drivers'!C157*DigesterN2OEF))/100,0)</f>
        <v>0</v>
      </c>
      <c r="I65" s="26">
        <f>IFERROR((('Mitigation drivers'!D147*LagoonN2O)+('Mitigation drivers'!D148*LiquidN2O)+('Mitigation drivers'!D149*DrylotN2O)+('Mitigation drivers'!D150*SolidStorageN2O)+('Mitigation drivers'!D151*DailyspreadN2O)+('Mitigation drivers'!D152*CompostN2O)+('Mitigation drivers'!D153*ManwithbedN2O)+('Mitigation drivers'!D154*PMwithoutlitterN2O)+('Mitigation drivers'!D155*PMwithlitterN2O)+('Mitigation drivers'!D157*DigesterN2OEF))/100,0)</f>
        <v>0</v>
      </c>
      <c r="J65" s="26">
        <f>IFERROR((('Mitigation drivers'!E147*LagoonN2O)+('Mitigation drivers'!E148*LiquidN2O)+('Mitigation drivers'!E149*DrylotN2O)+('Mitigation drivers'!E150*SolidStorageN2O)+('Mitigation drivers'!E151*DailyspreadN2O)+('Mitigation drivers'!E152*CompostN2O)+('Mitigation drivers'!E153*ManwithbedN2O)+('Mitigation drivers'!E154*PMwithoutlitterN2O)+('Mitigation drivers'!E155*PMwithlitterN2O)+('Mitigation drivers'!E157*DigesterN2OEF))/100,0)</f>
        <v>0</v>
      </c>
      <c r="K65" s="26">
        <f>IFERROR((('Mitigation drivers'!F147*LagoonN2O)+('Mitigation drivers'!F148*LiquidN2O)+('Mitigation drivers'!F149*DrylotN2O)+('Mitigation drivers'!F150*SolidStorageN2O)+('Mitigation drivers'!F151*DailyspreadN2O)+('Mitigation drivers'!F152*CompostN2O)+('Mitigation drivers'!F153*ManwithbedN2O)+('Mitigation drivers'!F154*PMwithoutlitterN2O)+('Mitigation drivers'!F155*PMwithlitterN2O)+('Mitigation drivers'!F157*DigesterN2OEF))/100,0)</f>
        <v>0</v>
      </c>
      <c r="L65" s="26">
        <f>IFERROR((('Mitigation drivers'!G147*LagoonN2O)+('Mitigation drivers'!G148*LiquidN2O)+('Mitigation drivers'!G149*DrylotN2O)+('Mitigation drivers'!G150*SolidStorageN2O)+('Mitigation drivers'!G151*DailyspreadN2O)+('Mitigation drivers'!G152*CompostN2O)+('Mitigation drivers'!G153*ManwithbedN2O)+('Mitigation drivers'!G154*PMwithoutlitterN2O)+('Mitigation drivers'!G155*PMwithlitterN2O)+('Mitigation drivers'!G157*DigesterN2OEF))/100,0)</f>
        <v>0</v>
      </c>
      <c r="M65" s="26">
        <f>IFERROR((('Mitigation drivers'!H147*LagoonN2O)+('Mitigation drivers'!H148*LiquidN2O)+('Mitigation drivers'!H149*DrylotN2O)+('Mitigation drivers'!H150*SolidStorageN2O)+('Mitigation drivers'!H151*DailyspreadN2O)+('Mitigation drivers'!H152*CompostN2O)+('Mitigation drivers'!H153*ManwithbedN2O)+('Mitigation drivers'!H154*PMwithoutlitterN2O)+('Mitigation drivers'!H155*PMwithlitterN2O)+('Mitigation drivers'!H157*DigesterN2OEF))/100,0)</f>
        <v>0</v>
      </c>
      <c r="N65" s="26">
        <f>IFERROR((('Mitigation drivers'!I147*LagoonN2O)+('Mitigation drivers'!I148*LiquidN2O)+('Mitigation drivers'!I149*DrylotN2O)+('Mitigation drivers'!I150*SolidStorageN2O)+('Mitigation drivers'!I151*DailyspreadN2O)+('Mitigation drivers'!I152*CompostN2O)+('Mitigation drivers'!I153*ManwithbedN2O)+('Mitigation drivers'!I154*PMwithoutlitterN2O)+('Mitigation drivers'!I155*PMwithlitterN2O)+('Mitigation drivers'!I157*DigesterN2OEF))/100,0)</f>
        <v>0</v>
      </c>
      <c r="O65" s="26">
        <f>IFERROR((('Mitigation drivers'!J147*LagoonN2O)+('Mitigation drivers'!J148*LiquidN2O)+('Mitigation drivers'!J149*DrylotN2O)+('Mitigation drivers'!J150*SolidStorageN2O)+('Mitigation drivers'!J151*DailyspreadN2O)+('Mitigation drivers'!J152*CompostN2O)+('Mitigation drivers'!J153*ManwithbedN2O)+('Mitigation drivers'!J154*PMwithoutlitterN2O)+('Mitigation drivers'!J155*PMwithlitterN2O)+('Mitigation drivers'!J157*DigesterN2OEF))/100,0)</f>
        <v>0</v>
      </c>
      <c r="P65" s="26">
        <f>IFERROR((('Mitigation drivers'!K147*LagoonN2O)+('Mitigation drivers'!K148*LiquidN2O)+('Mitigation drivers'!K149*DrylotN2O)+('Mitigation drivers'!K150*SolidStorageN2O)+('Mitigation drivers'!K151*DailyspreadN2O)+('Mitigation drivers'!K152*CompostN2O)+('Mitigation drivers'!K153*ManwithbedN2O)+('Mitigation drivers'!K154*PMwithoutlitterN2O)+('Mitigation drivers'!K155*PMwithlitterN2O)+('Mitigation drivers'!K157*DigesterN2OEF))/100,0)</f>
        <v>0</v>
      </c>
      <c r="Q65" s="26">
        <f>IFERROR((('Mitigation drivers'!L147*LagoonN2O)+('Mitigation drivers'!L148*LiquidN2O)+('Mitigation drivers'!L149*DrylotN2O)+('Mitigation drivers'!L150*SolidStorageN2O)+('Mitigation drivers'!L151*DailyspreadN2O)+('Mitigation drivers'!L152*CompostN2O)+('Mitigation drivers'!L153*ManwithbedN2O)+('Mitigation drivers'!L154*PMwithoutlitterN2O)+('Mitigation drivers'!L155*PMwithlitterN2O)+('Mitigation drivers'!L157*DigesterN2OEF))/100,0)</f>
        <v>0</v>
      </c>
      <c r="R65" s="26">
        <f>IFERROR((('Mitigation drivers'!M147*LagoonN2O)+('Mitigation drivers'!M148*LiquidN2O)+('Mitigation drivers'!M149*DrylotN2O)+('Mitigation drivers'!M150*SolidStorageN2O)+('Mitigation drivers'!M151*DailyspreadN2O)+('Mitigation drivers'!M152*CompostN2O)+('Mitigation drivers'!M153*ManwithbedN2O)+('Mitigation drivers'!M154*PMwithoutlitterN2O)+('Mitigation drivers'!M155*PMwithlitterN2O)+('Mitigation drivers'!M157*DigesterN2OEF))/100,0)</f>
        <v>0</v>
      </c>
      <c r="S65" s="26">
        <f>IFERROR((('Mitigation drivers'!N147*LagoonN2O)+('Mitigation drivers'!N148*LiquidN2O)+('Mitigation drivers'!N149*DrylotN2O)+('Mitigation drivers'!N150*SolidStorageN2O)+('Mitigation drivers'!N151*DailyspreadN2O)+('Mitigation drivers'!N152*CompostN2O)+('Mitigation drivers'!N153*ManwithbedN2O)+('Mitigation drivers'!N154*PMwithoutlitterN2O)+('Mitigation drivers'!N155*PMwithlitterN2O)+('Mitigation drivers'!N157*DigesterN2OEF))/100,0)</f>
        <v>0</v>
      </c>
      <c r="T65" s="26">
        <f>IFERROR((('Mitigation drivers'!O147*LagoonN2O)+('Mitigation drivers'!O148*LiquidN2O)+('Mitigation drivers'!O149*DrylotN2O)+('Mitigation drivers'!O150*SolidStorageN2O)+('Mitigation drivers'!O151*DailyspreadN2O)+('Mitigation drivers'!O152*CompostN2O)+('Mitigation drivers'!O153*ManwithbedN2O)+('Mitigation drivers'!O154*PMwithoutlitterN2O)+('Mitigation drivers'!O155*PMwithlitterN2O)+('Mitigation drivers'!O157*DigesterN2OEF))/100,0)</f>
        <v>0</v>
      </c>
      <c r="U65" s="26">
        <f>IFERROR((('Mitigation drivers'!P147*LagoonN2O)+('Mitigation drivers'!P148*LiquidN2O)+('Mitigation drivers'!P149*DrylotN2O)+('Mitigation drivers'!P150*SolidStorageN2O)+('Mitigation drivers'!P151*DailyspreadN2O)+('Mitigation drivers'!P152*CompostN2O)+('Mitigation drivers'!P153*ManwithbedN2O)+('Mitigation drivers'!P154*PMwithoutlitterN2O)+('Mitigation drivers'!P155*PMwithlitterN2O)+('Mitigation drivers'!P157*DigesterN2OEF))/100,0)</f>
        <v>0</v>
      </c>
      <c r="V65" s="26">
        <f>IFERROR((('Mitigation drivers'!Q147*LagoonN2O)+('Mitigation drivers'!Q148*LiquidN2O)+('Mitigation drivers'!Q149*DrylotN2O)+('Mitigation drivers'!Q150*SolidStorageN2O)+('Mitigation drivers'!Q151*DailyspreadN2O)+('Mitigation drivers'!Q152*CompostN2O)+('Mitigation drivers'!Q153*ManwithbedN2O)+('Mitigation drivers'!Q154*PMwithoutlitterN2O)+('Mitigation drivers'!Q155*PMwithlitterN2O)+('Mitigation drivers'!Q157*DigesterN2OEF))/100,0)</f>
        <v>0</v>
      </c>
      <c r="W65" s="26">
        <f>IFERROR((('Mitigation drivers'!R147*LagoonN2O)+('Mitigation drivers'!R148*LiquidN2O)+('Mitigation drivers'!R149*DrylotN2O)+('Mitigation drivers'!R150*SolidStorageN2O)+('Mitigation drivers'!R151*DailyspreadN2O)+('Mitigation drivers'!R152*CompostN2O)+('Mitigation drivers'!R153*ManwithbedN2O)+('Mitigation drivers'!R154*PMwithoutlitterN2O)+('Mitigation drivers'!R155*PMwithlitterN2O)+('Mitigation drivers'!R157*DigesterN2OEF))/100,0)</f>
        <v>0</v>
      </c>
      <c r="X65" s="26">
        <f>IFERROR((('Mitigation drivers'!S147*LagoonN2O)+('Mitigation drivers'!S148*LiquidN2O)+('Mitigation drivers'!S149*DrylotN2O)+('Mitigation drivers'!S150*SolidStorageN2O)+('Mitigation drivers'!S151*DailyspreadN2O)+('Mitigation drivers'!S152*CompostN2O)+('Mitigation drivers'!S153*ManwithbedN2O)+('Mitigation drivers'!S154*PMwithoutlitterN2O)+('Mitigation drivers'!S155*PMwithlitterN2O)+('Mitigation drivers'!S157*DigesterN2OEF))/100,0)</f>
        <v>0</v>
      </c>
      <c r="Y65" s="26">
        <f>IFERROR((('Mitigation drivers'!T147*LagoonN2O)+('Mitigation drivers'!T148*LiquidN2O)+('Mitigation drivers'!T149*DrylotN2O)+('Mitigation drivers'!T150*SolidStorageN2O)+('Mitigation drivers'!T151*DailyspreadN2O)+('Mitigation drivers'!T152*CompostN2O)+('Mitigation drivers'!T153*ManwithbedN2O)+('Mitigation drivers'!T154*PMwithoutlitterN2O)+('Mitigation drivers'!T155*PMwithlitterN2O)+('Mitigation drivers'!T157*DigesterN2OEF))/100,0)</f>
        <v>0</v>
      </c>
      <c r="Z65" s="26">
        <f>IFERROR((('Mitigation drivers'!U147*LagoonN2O)+('Mitigation drivers'!U148*LiquidN2O)+('Mitigation drivers'!U149*DrylotN2O)+('Mitigation drivers'!U150*SolidStorageN2O)+('Mitigation drivers'!U151*DailyspreadN2O)+('Mitigation drivers'!U152*CompostN2O)+('Mitigation drivers'!U153*ManwithbedN2O)+('Mitigation drivers'!U154*PMwithoutlitterN2O)+('Mitigation drivers'!U155*PMwithlitterN2O)+('Mitigation drivers'!U157*DigesterN2OEF))/100,0)</f>
        <v>0</v>
      </c>
      <c r="AA65" s="26">
        <f>IFERROR((('Mitigation drivers'!V147*LagoonN2O)+('Mitigation drivers'!V148*LiquidN2O)+('Mitigation drivers'!V149*DrylotN2O)+('Mitigation drivers'!V150*SolidStorageN2O)+('Mitigation drivers'!V151*DailyspreadN2O)+('Mitigation drivers'!V152*CompostN2O)+('Mitigation drivers'!V153*ManwithbedN2O)+('Mitigation drivers'!V154*PMwithoutlitterN2O)+('Mitigation drivers'!V155*PMwithlitterN2O)+('Mitigation drivers'!V157*DigesterN2OEF))/100,0)</f>
        <v>0</v>
      </c>
      <c r="AB65" s="26">
        <f>IFERROR((('Mitigation drivers'!W147*LagoonN2O)+('Mitigation drivers'!W148*LiquidN2O)+('Mitigation drivers'!W149*DrylotN2O)+('Mitigation drivers'!W150*SolidStorageN2O)+('Mitigation drivers'!W151*DailyspreadN2O)+('Mitigation drivers'!W152*CompostN2O)+('Mitigation drivers'!W153*ManwithbedN2O)+('Mitigation drivers'!W154*PMwithoutlitterN2O)+('Mitigation drivers'!W155*PMwithlitterN2O)+('Mitigation drivers'!W157*DigesterN2OEF))/100,0)</f>
        <v>0</v>
      </c>
      <c r="AC65" s="26">
        <f>IFERROR((('Mitigation drivers'!X147*LagoonN2O)+('Mitigation drivers'!X148*LiquidN2O)+('Mitigation drivers'!X149*DrylotN2O)+('Mitigation drivers'!X150*SolidStorageN2O)+('Mitigation drivers'!X151*DailyspreadN2O)+('Mitigation drivers'!X152*CompostN2O)+('Mitigation drivers'!X153*ManwithbedN2O)+('Mitigation drivers'!X154*PMwithoutlitterN2O)+('Mitigation drivers'!X155*PMwithlitterN2O)+('Mitigation drivers'!X157*DigesterN2OEF))/100,0)</f>
        <v>0</v>
      </c>
      <c r="AD65" s="26">
        <f>IFERROR((('Mitigation drivers'!Y147*LagoonN2O)+('Mitigation drivers'!Y148*LiquidN2O)+('Mitigation drivers'!Y149*DrylotN2O)+('Mitigation drivers'!Y150*SolidStorageN2O)+('Mitigation drivers'!Y151*DailyspreadN2O)+('Mitigation drivers'!Y152*CompostN2O)+('Mitigation drivers'!Y153*ManwithbedN2O)+('Mitigation drivers'!Y154*PMwithoutlitterN2O)+('Mitigation drivers'!Y155*PMwithlitterN2O)+('Mitigation drivers'!Y157*DigesterN2OEF))/100,0)</f>
        <v>0</v>
      </c>
      <c r="AE65" s="26">
        <f>IFERROR((('Mitigation drivers'!Z147*LagoonN2O)+('Mitigation drivers'!Z148*LiquidN2O)+('Mitigation drivers'!Z149*DrylotN2O)+('Mitigation drivers'!Z150*SolidStorageN2O)+('Mitigation drivers'!Z151*DailyspreadN2O)+('Mitigation drivers'!Z152*CompostN2O)+('Mitigation drivers'!Z153*ManwithbedN2O)+('Mitigation drivers'!Z154*PMwithoutlitterN2O)+('Mitigation drivers'!Z155*PMwithlitterN2O)+('Mitigation drivers'!Z157*DigesterN2OEF))/100,0)</f>
        <v>0</v>
      </c>
      <c r="AF65" s="26">
        <f>IFERROR((('Mitigation drivers'!AA147*LagoonN2O)+('Mitigation drivers'!AA148*LiquidN2O)+('Mitigation drivers'!AA149*DrylotN2O)+('Mitigation drivers'!AA150*SolidStorageN2O)+('Mitigation drivers'!AA151*DailyspreadN2O)+('Mitigation drivers'!AA152*CompostN2O)+('Mitigation drivers'!AA153*ManwithbedN2O)+('Mitigation drivers'!AA154*PMwithoutlitterN2O)+('Mitigation drivers'!AA155*PMwithlitterN2O)+('Mitigation drivers'!AA157*DigesterN2OEF))/100,0)</f>
        <v>0</v>
      </c>
      <c r="AG65" s="26">
        <f>IFERROR((('Mitigation drivers'!AB147*LagoonN2O)+('Mitigation drivers'!AB148*LiquidN2O)+('Mitigation drivers'!AB149*DrylotN2O)+('Mitigation drivers'!AB150*SolidStorageN2O)+('Mitigation drivers'!AB151*DailyspreadN2O)+('Mitigation drivers'!AB152*CompostN2O)+('Mitigation drivers'!AB153*ManwithbedN2O)+('Mitigation drivers'!AB154*PMwithoutlitterN2O)+('Mitigation drivers'!AB155*PMwithlitterN2O)+('Mitigation drivers'!AB157*DigesterN2OEF))/100,0)</f>
        <v>0</v>
      </c>
      <c r="AH65" s="26">
        <f>IFERROR((('Mitigation drivers'!AC147*LagoonN2O)+('Mitigation drivers'!AC148*LiquidN2O)+('Mitigation drivers'!AC149*DrylotN2O)+('Mitigation drivers'!AC150*SolidStorageN2O)+('Mitigation drivers'!AC151*DailyspreadN2O)+('Mitigation drivers'!AC152*CompostN2O)+('Mitigation drivers'!AC153*ManwithbedN2O)+('Mitigation drivers'!AC154*PMwithoutlitterN2O)+('Mitigation drivers'!AC155*PMwithlitterN2O)+('Mitigation drivers'!AC157*DigesterN2OEF))/100,0)</f>
        <v>0</v>
      </c>
      <c r="AI65" s="26">
        <f>IFERROR((('Mitigation drivers'!AD147*LagoonN2O)+('Mitigation drivers'!AD148*LiquidN2O)+('Mitigation drivers'!AD149*DrylotN2O)+('Mitigation drivers'!AD150*SolidStorageN2O)+('Mitigation drivers'!AD151*DailyspreadN2O)+('Mitigation drivers'!AD152*CompostN2O)+('Mitigation drivers'!AD153*ManwithbedN2O)+('Mitigation drivers'!AD154*PMwithoutlitterN2O)+('Mitigation drivers'!AD155*PMwithlitterN2O)+('Mitigation drivers'!AD157*DigesterN2OEF))/100,0)</f>
        <v>0</v>
      </c>
      <c r="AJ65" s="26">
        <f>IFERROR((('Mitigation drivers'!AE147*LagoonN2O)+('Mitigation drivers'!AE148*LiquidN2O)+('Mitigation drivers'!AE149*DrylotN2O)+('Mitigation drivers'!AE150*SolidStorageN2O)+('Mitigation drivers'!AE151*DailyspreadN2O)+('Mitigation drivers'!AE152*CompostN2O)+('Mitigation drivers'!AE153*ManwithbedN2O)+('Mitigation drivers'!AE154*PMwithoutlitterN2O)+('Mitigation drivers'!AE155*PMwithlitterN2O)+('Mitigation drivers'!AE157*DigesterN2OEF))/100,0)</f>
        <v>0</v>
      </c>
      <c r="AK65" s="26">
        <f>IFERROR((('Mitigation drivers'!AF147*LagoonN2O)+('Mitigation drivers'!AF148*LiquidN2O)+('Mitigation drivers'!AF149*DrylotN2O)+('Mitigation drivers'!AF150*SolidStorageN2O)+('Mitigation drivers'!AF151*DailyspreadN2O)+('Mitigation drivers'!AF152*CompostN2O)+('Mitigation drivers'!AF153*ManwithbedN2O)+('Mitigation drivers'!AF154*PMwithoutlitterN2O)+('Mitigation drivers'!AF155*PMwithlitterN2O)+('Mitigation drivers'!AF157*DigesterN2OEF))/100,0)</f>
        <v>0</v>
      </c>
      <c r="AL65" s="26">
        <f>IFERROR((('Mitigation drivers'!AG147*LagoonN2O)+('Mitigation drivers'!AG148*LiquidN2O)+('Mitigation drivers'!AG149*DrylotN2O)+('Mitigation drivers'!AG150*SolidStorageN2O)+('Mitigation drivers'!AG151*DailyspreadN2O)+('Mitigation drivers'!AG152*CompostN2O)+('Mitigation drivers'!AG153*ManwithbedN2O)+('Mitigation drivers'!AG154*PMwithoutlitterN2O)+('Mitigation drivers'!AG155*PMwithlitterN2O)+('Mitigation drivers'!AG157*DigesterN2OEF))/100,0)</f>
        <v>0</v>
      </c>
      <c r="AM65" s="26">
        <f>IFERROR((('Mitigation drivers'!AH147*LagoonN2O)+('Mitigation drivers'!AH148*LiquidN2O)+('Mitigation drivers'!AH149*DrylotN2O)+('Mitigation drivers'!AH150*SolidStorageN2O)+('Mitigation drivers'!AH151*DailyspreadN2O)+('Mitigation drivers'!AH152*CompostN2O)+('Mitigation drivers'!AH153*ManwithbedN2O)+('Mitigation drivers'!AH154*PMwithoutlitterN2O)+('Mitigation drivers'!AH155*PMwithlitterN2O)+('Mitigation drivers'!AH157*DigesterN2OEF))/100,0)</f>
        <v>0</v>
      </c>
      <c r="AN65" s="26">
        <f>IFERROR((('Mitigation drivers'!AI147*LagoonN2O)+('Mitigation drivers'!AI148*LiquidN2O)+('Mitigation drivers'!AI149*DrylotN2O)+('Mitigation drivers'!AI150*SolidStorageN2O)+('Mitigation drivers'!AI151*DailyspreadN2O)+('Mitigation drivers'!AI152*CompostN2O)+('Mitigation drivers'!AI153*ManwithbedN2O)+('Mitigation drivers'!AI154*PMwithoutlitterN2O)+('Mitigation drivers'!AI155*PMwithlitterN2O)+('Mitigation drivers'!AI157*DigesterN2OEF))/100,0)</f>
        <v>0</v>
      </c>
      <c r="AO65" s="26">
        <f>IFERROR((('Mitigation drivers'!AJ147*LagoonN2O)+('Mitigation drivers'!AJ148*LiquidN2O)+('Mitigation drivers'!AJ149*DrylotN2O)+('Mitigation drivers'!AJ150*SolidStorageN2O)+('Mitigation drivers'!AJ151*DailyspreadN2O)+('Mitigation drivers'!AJ152*CompostN2O)+('Mitigation drivers'!AJ153*ManwithbedN2O)+('Mitigation drivers'!AJ154*PMwithoutlitterN2O)+('Mitigation drivers'!AJ155*PMwithlitterN2O)+('Mitigation drivers'!AJ157*DigesterN2OEF))/100,0)</f>
        <v>0</v>
      </c>
    </row>
    <row r="66" spans="1:41" x14ac:dyDescent="0.25">
      <c r="A66" t="str">
        <f t="shared" si="1"/>
        <v>3A Livestock</v>
      </c>
      <c r="B66" t="str">
        <f t="shared" si="8"/>
        <v>3A2 Manure management (N2O)</v>
      </c>
      <c r="C66" t="str">
        <f>'Activity data'!C17</f>
        <v>3A1h Swine</v>
      </c>
      <c r="D66" t="str">
        <f>'Activity data'!D17</f>
        <v>Commercial</v>
      </c>
      <c r="E66" t="str">
        <f t="shared" si="27"/>
        <v>Manure management EF</v>
      </c>
      <c r="F66" t="str">
        <f t="shared" si="28"/>
        <v>N2O</v>
      </c>
      <c r="G66" t="str">
        <f t="shared" si="29"/>
        <v>kg N2O-N/kg Nex</v>
      </c>
      <c r="H66" s="26">
        <f>(('Mitigation drivers'!C160*LagoonN2O)+('Mitigation drivers'!C161*LiquidN2O)+('Mitigation drivers'!C162*DrylotN2O)+('Mitigation drivers'!C163*SolidStorageN2O)+('Mitigation drivers'!C164*DailyspreadN2O)+('Mitigation drivers'!C165*CompostN2O)+('Mitigation drivers'!C166*ManwithbedN2O)+('Mitigation drivers'!C167*PMwithoutlitterN2O)+('Mitigation drivers'!C168*PMwithlitterN2O)+('Mitigation drivers'!C170*DigesterN2OEF))/100</f>
        <v>2.7200000000000002E-3</v>
      </c>
      <c r="I66" s="26">
        <f>(('Mitigation drivers'!D160*LagoonN2O)+('Mitigation drivers'!D161*LiquidN2O)+('Mitigation drivers'!D162*DrylotN2O)+('Mitigation drivers'!D163*SolidStorageN2O)+('Mitigation drivers'!D164*DailyspreadN2O)+('Mitigation drivers'!D165*CompostN2O)+('Mitigation drivers'!D166*ManwithbedN2O)+('Mitigation drivers'!D167*PMwithoutlitterN2O)+('Mitigation drivers'!D168*PMwithlitterN2O)+('Mitigation drivers'!D170*DigesterN2OEF))/100</f>
        <v>2.7200000000000002E-3</v>
      </c>
      <c r="J66" s="26">
        <f>(('Mitigation drivers'!E160*LagoonN2O)+('Mitigation drivers'!E161*LiquidN2O)+('Mitigation drivers'!E162*DrylotN2O)+('Mitigation drivers'!E163*SolidStorageN2O)+('Mitigation drivers'!E164*DailyspreadN2O)+('Mitigation drivers'!E165*CompostN2O)+('Mitigation drivers'!E166*ManwithbedN2O)+('Mitigation drivers'!E167*PMwithoutlitterN2O)+('Mitigation drivers'!E168*PMwithlitterN2O)+('Mitigation drivers'!E170*DigesterN2OEF))/100</f>
        <v>2.7200000000000002E-3</v>
      </c>
      <c r="K66" s="26">
        <f>(('Mitigation drivers'!F160*LagoonN2O)+('Mitigation drivers'!F161*LiquidN2O)+('Mitigation drivers'!F162*DrylotN2O)+('Mitigation drivers'!F163*SolidStorageN2O)+('Mitigation drivers'!F164*DailyspreadN2O)+('Mitigation drivers'!F165*CompostN2O)+('Mitigation drivers'!F166*ManwithbedN2O)+('Mitigation drivers'!F167*PMwithoutlitterN2O)+('Mitigation drivers'!F168*PMwithlitterN2O)+('Mitigation drivers'!F170*DigesterN2OEF))/100</f>
        <v>2.7200000000000002E-3</v>
      </c>
      <c r="L66" s="26">
        <f>(('Mitigation drivers'!G160*LagoonN2O)+('Mitigation drivers'!G161*LiquidN2O)+('Mitigation drivers'!G162*DrylotN2O)+('Mitigation drivers'!G163*SolidStorageN2O)+('Mitigation drivers'!G164*DailyspreadN2O)+('Mitigation drivers'!G165*CompostN2O)+('Mitigation drivers'!G166*ManwithbedN2O)+('Mitigation drivers'!G167*PMwithoutlitterN2O)+('Mitigation drivers'!G168*PMwithlitterN2O)+('Mitigation drivers'!G170*DigesterN2OEF))/100</f>
        <v>2.7200000000000002E-3</v>
      </c>
      <c r="M66" s="26">
        <f>(('Mitigation drivers'!H160*LagoonN2O)+('Mitigation drivers'!H161*LiquidN2O)+('Mitigation drivers'!H162*DrylotN2O)+('Mitigation drivers'!H163*SolidStorageN2O)+('Mitigation drivers'!H164*DailyspreadN2O)+('Mitigation drivers'!H165*CompostN2O)+('Mitigation drivers'!H166*ManwithbedN2O)+('Mitigation drivers'!H167*PMwithoutlitterN2O)+('Mitigation drivers'!H168*PMwithlitterN2O)+('Mitigation drivers'!H170*DigesterN2OEF))/100</f>
        <v>2.7200000000000002E-3</v>
      </c>
      <c r="N66" s="26">
        <f>(('Mitigation drivers'!I160*LagoonN2O)+('Mitigation drivers'!I161*LiquidN2O)+('Mitigation drivers'!I162*DrylotN2O)+('Mitigation drivers'!I163*SolidStorageN2O)+('Mitigation drivers'!I164*DailyspreadN2O)+('Mitigation drivers'!I165*CompostN2O)+('Mitigation drivers'!I166*ManwithbedN2O)+('Mitigation drivers'!I167*PMwithoutlitterN2O)+('Mitigation drivers'!I168*PMwithlitterN2O)+('Mitigation drivers'!I170*DigesterN2OEF))/100</f>
        <v>2.7200000000000002E-3</v>
      </c>
      <c r="O66" s="26">
        <f>(('Mitigation drivers'!J160*LagoonN2O)+('Mitigation drivers'!J161*LiquidN2O)+('Mitigation drivers'!J162*DrylotN2O)+('Mitigation drivers'!J163*SolidStorageN2O)+('Mitigation drivers'!J164*DailyspreadN2O)+('Mitigation drivers'!J165*CompostN2O)+('Mitigation drivers'!J166*ManwithbedN2O)+('Mitigation drivers'!J167*PMwithoutlitterN2O)+('Mitigation drivers'!J168*PMwithlitterN2O)+('Mitigation drivers'!J170*DigesterN2OEF))/100</f>
        <v>2.7200000000000002E-3</v>
      </c>
      <c r="P66" s="26">
        <f>(('Mitigation drivers'!K160*LagoonN2O)+('Mitigation drivers'!K161*LiquidN2O)+('Mitigation drivers'!K162*DrylotN2O)+('Mitigation drivers'!K163*SolidStorageN2O)+('Mitigation drivers'!K164*DailyspreadN2O)+('Mitigation drivers'!K165*CompostN2O)+('Mitigation drivers'!K166*ManwithbedN2O)+('Mitigation drivers'!K167*PMwithoutlitterN2O)+('Mitigation drivers'!K168*PMwithlitterN2O)+('Mitigation drivers'!K170*DigesterN2OEF))/100</f>
        <v>2.7200000000000002E-3</v>
      </c>
      <c r="Q66" s="26">
        <f>(('Mitigation drivers'!L160*LagoonN2O)+('Mitigation drivers'!L161*LiquidN2O)+('Mitigation drivers'!L162*DrylotN2O)+('Mitigation drivers'!L163*SolidStorageN2O)+('Mitigation drivers'!L164*DailyspreadN2O)+('Mitigation drivers'!L165*CompostN2O)+('Mitigation drivers'!L166*ManwithbedN2O)+('Mitigation drivers'!L167*PMwithoutlitterN2O)+('Mitigation drivers'!L168*PMwithlitterN2O)+('Mitigation drivers'!L170*DigesterN2OEF))/100</f>
        <v>2.7200000000000002E-3</v>
      </c>
      <c r="R66" s="26">
        <f>(('Mitigation drivers'!M160*LagoonN2O)+('Mitigation drivers'!M161*LiquidN2O)+('Mitigation drivers'!M162*DrylotN2O)+('Mitigation drivers'!M163*SolidStorageN2O)+('Mitigation drivers'!M164*DailyspreadN2O)+('Mitigation drivers'!M165*CompostN2O)+('Mitigation drivers'!M166*ManwithbedN2O)+('Mitigation drivers'!M167*PMwithoutlitterN2O)+('Mitigation drivers'!M168*PMwithlitterN2O)+('Mitigation drivers'!M170*DigesterN2OEF))/100</f>
        <v>2.7200000000000002E-3</v>
      </c>
      <c r="S66" s="26">
        <f>(('Mitigation drivers'!N160*LagoonN2O)+('Mitigation drivers'!N161*LiquidN2O)+('Mitigation drivers'!N162*DrylotN2O)+('Mitigation drivers'!N163*SolidStorageN2O)+('Mitigation drivers'!N164*DailyspreadN2O)+('Mitigation drivers'!N165*CompostN2O)+('Mitigation drivers'!N166*ManwithbedN2O)+('Mitigation drivers'!N167*PMwithoutlitterN2O)+('Mitigation drivers'!N168*PMwithlitterN2O)+('Mitigation drivers'!N170*DigesterN2OEF))/100</f>
        <v>2.7200000000000002E-3</v>
      </c>
      <c r="T66" s="26">
        <f>(('Mitigation drivers'!O160*LagoonN2O)+('Mitigation drivers'!O161*LiquidN2O)+('Mitigation drivers'!O162*DrylotN2O)+('Mitigation drivers'!O163*SolidStorageN2O)+('Mitigation drivers'!O164*DailyspreadN2O)+('Mitigation drivers'!O165*CompostN2O)+('Mitigation drivers'!O166*ManwithbedN2O)+('Mitigation drivers'!O167*PMwithoutlitterN2O)+('Mitigation drivers'!O168*PMwithlitterN2O)+('Mitigation drivers'!O170*DigesterN2OEF))/100</f>
        <v>2.7200000000000002E-3</v>
      </c>
      <c r="U66" s="26">
        <f>(('Mitigation drivers'!P160*LagoonN2O)+('Mitigation drivers'!P161*LiquidN2O)+('Mitigation drivers'!P162*DrylotN2O)+('Mitigation drivers'!P163*SolidStorageN2O)+('Mitigation drivers'!P164*DailyspreadN2O)+('Mitigation drivers'!P165*CompostN2O)+('Mitigation drivers'!P166*ManwithbedN2O)+('Mitigation drivers'!P167*PMwithoutlitterN2O)+('Mitigation drivers'!P168*PMwithlitterN2O)+('Mitigation drivers'!P170*DigesterN2OEF))/100</f>
        <v>2.7200000000000002E-3</v>
      </c>
      <c r="V66" s="26">
        <f>(('Mitigation drivers'!Q160*LagoonN2O)+('Mitigation drivers'!Q161*LiquidN2O)+('Mitigation drivers'!Q162*DrylotN2O)+('Mitigation drivers'!Q163*SolidStorageN2O)+('Mitigation drivers'!Q164*DailyspreadN2O)+('Mitigation drivers'!Q165*CompostN2O)+('Mitigation drivers'!Q166*ManwithbedN2O)+('Mitigation drivers'!Q167*PMwithoutlitterN2O)+('Mitigation drivers'!Q168*PMwithlitterN2O)+('Mitigation drivers'!Q170*DigesterN2OEF))/100</f>
        <v>2.7200000000000002E-3</v>
      </c>
      <c r="W66" s="26">
        <f>(('Mitigation drivers'!R160*LagoonN2O)+('Mitigation drivers'!R161*LiquidN2O)+('Mitigation drivers'!R162*DrylotN2O)+('Mitigation drivers'!R163*SolidStorageN2O)+('Mitigation drivers'!R164*DailyspreadN2O)+('Mitigation drivers'!R165*CompostN2O)+('Mitigation drivers'!R166*ManwithbedN2O)+('Mitigation drivers'!R167*PMwithoutlitterN2O)+('Mitigation drivers'!R168*PMwithlitterN2O)+('Mitigation drivers'!R170*DigesterN2OEF))/100</f>
        <v>2.7200000000000002E-3</v>
      </c>
      <c r="X66" s="26">
        <f>(('Mitigation drivers'!S160*LagoonN2O)+('Mitigation drivers'!S161*LiquidN2O)+('Mitigation drivers'!S162*DrylotN2O)+('Mitigation drivers'!S163*SolidStorageN2O)+('Mitigation drivers'!S164*DailyspreadN2O)+('Mitigation drivers'!S165*CompostN2O)+('Mitigation drivers'!S166*ManwithbedN2O)+('Mitigation drivers'!S167*PMwithoutlitterN2O)+('Mitigation drivers'!S168*PMwithlitterN2O)+('Mitigation drivers'!S170*DigesterN2OEF))/100</f>
        <v>2.7200000000000002E-3</v>
      </c>
      <c r="Y66" s="26">
        <f>(('Mitigation drivers'!T160*LagoonN2O)+('Mitigation drivers'!T161*LiquidN2O)+('Mitigation drivers'!T162*DrylotN2O)+('Mitigation drivers'!T163*SolidStorageN2O)+('Mitigation drivers'!T164*DailyspreadN2O)+('Mitigation drivers'!T165*CompostN2O)+('Mitigation drivers'!T166*ManwithbedN2O)+('Mitigation drivers'!T167*PMwithoutlitterN2O)+('Mitigation drivers'!T168*PMwithlitterN2O)+('Mitigation drivers'!T170*DigesterN2OEF))/100</f>
        <v>2.7200000000000002E-3</v>
      </c>
      <c r="Z66" s="26">
        <f>(('Mitigation drivers'!U160*LagoonN2O)+('Mitigation drivers'!U161*LiquidN2O)+('Mitigation drivers'!U162*DrylotN2O)+('Mitigation drivers'!U163*SolidStorageN2O)+('Mitigation drivers'!U164*DailyspreadN2O)+('Mitigation drivers'!U165*CompostN2O)+('Mitigation drivers'!U166*ManwithbedN2O)+('Mitigation drivers'!U167*PMwithoutlitterN2O)+('Mitigation drivers'!U168*PMwithlitterN2O)+('Mitigation drivers'!U170*DigesterN2OEF))/100</f>
        <v>2.7200000000000002E-3</v>
      </c>
      <c r="AA66" s="26">
        <f>(('Mitigation drivers'!V160*LagoonN2O)+('Mitigation drivers'!V161*LiquidN2O)+('Mitigation drivers'!V162*DrylotN2O)+('Mitigation drivers'!V163*SolidStorageN2O)+('Mitigation drivers'!V164*DailyspreadN2O)+('Mitigation drivers'!V165*CompostN2O)+('Mitigation drivers'!V166*ManwithbedN2O)+('Mitigation drivers'!V167*PMwithoutlitterN2O)+('Mitigation drivers'!V168*PMwithlitterN2O)+('Mitigation drivers'!V170*DigesterN2OEF))/100</f>
        <v>2.7200000000000002E-3</v>
      </c>
      <c r="AB66" s="26">
        <f>(('Mitigation drivers'!W160*LagoonN2O)+('Mitigation drivers'!W161*LiquidN2O)+('Mitigation drivers'!W162*DrylotN2O)+('Mitigation drivers'!W163*SolidStorageN2O)+('Mitigation drivers'!W164*DailyspreadN2O)+('Mitigation drivers'!W165*CompostN2O)+('Mitigation drivers'!W166*ManwithbedN2O)+('Mitigation drivers'!W167*PMwithoutlitterN2O)+('Mitigation drivers'!W168*PMwithlitterN2O)+('Mitigation drivers'!W170*DigesterN2OEF))/100</f>
        <v>2.7200000000000002E-3</v>
      </c>
      <c r="AC66" s="26">
        <f>(('Mitigation drivers'!X160*LagoonN2O)+('Mitigation drivers'!X161*LiquidN2O)+('Mitigation drivers'!X162*DrylotN2O)+('Mitigation drivers'!X163*SolidStorageN2O)+('Mitigation drivers'!X164*DailyspreadN2O)+('Mitigation drivers'!X165*CompostN2O)+('Mitigation drivers'!X166*ManwithbedN2O)+('Mitigation drivers'!X167*PMwithoutlitterN2O)+('Mitigation drivers'!X168*PMwithlitterN2O)+('Mitigation drivers'!X170*DigesterN2OEF))/100</f>
        <v>2.7200000000000002E-3</v>
      </c>
      <c r="AD66" s="26">
        <f>(('Mitigation drivers'!Y160*LagoonN2O)+('Mitigation drivers'!Y161*LiquidN2O)+('Mitigation drivers'!Y162*DrylotN2O)+('Mitigation drivers'!Y163*SolidStorageN2O)+('Mitigation drivers'!Y164*DailyspreadN2O)+('Mitigation drivers'!Y165*CompostN2O)+('Mitigation drivers'!Y166*ManwithbedN2O)+('Mitigation drivers'!Y167*PMwithoutlitterN2O)+('Mitigation drivers'!Y168*PMwithlitterN2O)+('Mitigation drivers'!Y170*DigesterN2OEF))/100</f>
        <v>2.7200000000000002E-3</v>
      </c>
      <c r="AE66" s="26">
        <f>(('Mitigation drivers'!Z160*LagoonN2O)+('Mitigation drivers'!Z161*LiquidN2O)+('Mitigation drivers'!Z162*DrylotN2O)+('Mitigation drivers'!Z163*SolidStorageN2O)+('Mitigation drivers'!Z164*DailyspreadN2O)+('Mitigation drivers'!Z165*CompostN2O)+('Mitigation drivers'!Z166*ManwithbedN2O)+('Mitigation drivers'!Z167*PMwithoutlitterN2O)+('Mitigation drivers'!Z168*PMwithlitterN2O)+('Mitigation drivers'!Z170*DigesterN2OEF))/100</f>
        <v>2.7200000000000002E-3</v>
      </c>
      <c r="AF66" s="26">
        <f>(('Mitigation drivers'!AA160*LagoonN2O)+('Mitigation drivers'!AA161*LiquidN2O)+('Mitigation drivers'!AA162*DrylotN2O)+('Mitigation drivers'!AA163*SolidStorageN2O)+('Mitigation drivers'!AA164*DailyspreadN2O)+('Mitigation drivers'!AA165*CompostN2O)+('Mitigation drivers'!AA166*ManwithbedN2O)+('Mitigation drivers'!AA167*PMwithoutlitterN2O)+('Mitigation drivers'!AA168*PMwithlitterN2O)+('Mitigation drivers'!AA170*DigesterN2OEF))/100</f>
        <v>2.7200000000000002E-3</v>
      </c>
      <c r="AG66" s="26">
        <f>(('Mitigation drivers'!AB160*LagoonN2O)+('Mitigation drivers'!AB161*LiquidN2O)+('Mitigation drivers'!AB162*DrylotN2O)+('Mitigation drivers'!AB163*SolidStorageN2O)+('Mitigation drivers'!AB164*DailyspreadN2O)+('Mitigation drivers'!AB165*CompostN2O)+('Mitigation drivers'!AB166*ManwithbedN2O)+('Mitigation drivers'!AB167*PMwithoutlitterN2O)+('Mitigation drivers'!AB168*PMwithlitterN2O)+('Mitigation drivers'!AB170*DigesterN2OEF))/100</f>
        <v>2.7200000000000002E-3</v>
      </c>
      <c r="AH66" s="26">
        <f>(('Mitigation drivers'!AC160*LagoonN2O)+('Mitigation drivers'!AC161*LiquidN2O)+('Mitigation drivers'!AC162*DrylotN2O)+('Mitigation drivers'!AC163*SolidStorageN2O)+('Mitigation drivers'!AC164*DailyspreadN2O)+('Mitigation drivers'!AC165*CompostN2O)+('Mitigation drivers'!AC166*ManwithbedN2O)+('Mitigation drivers'!AC167*PMwithoutlitterN2O)+('Mitigation drivers'!AC168*PMwithlitterN2O)+('Mitigation drivers'!AC170*DigesterN2OEF))/100</f>
        <v>2.7200000000000002E-3</v>
      </c>
      <c r="AI66" s="26">
        <f>(('Mitigation drivers'!AD160*LagoonN2O)+('Mitigation drivers'!AD161*LiquidN2O)+('Mitigation drivers'!AD162*DrylotN2O)+('Mitigation drivers'!AD163*SolidStorageN2O)+('Mitigation drivers'!AD164*DailyspreadN2O)+('Mitigation drivers'!AD165*CompostN2O)+('Mitigation drivers'!AD166*ManwithbedN2O)+('Mitigation drivers'!AD167*PMwithoutlitterN2O)+('Mitigation drivers'!AD168*PMwithlitterN2O)+('Mitigation drivers'!AD170*DigesterN2OEF))/100</f>
        <v>2.7200000000000002E-3</v>
      </c>
      <c r="AJ66" s="26">
        <f>(('Mitigation drivers'!AE160*LagoonN2O)+('Mitigation drivers'!AE161*LiquidN2O)+('Mitigation drivers'!AE162*DrylotN2O)+('Mitigation drivers'!AE163*SolidStorageN2O)+('Mitigation drivers'!AE164*DailyspreadN2O)+('Mitigation drivers'!AE165*CompostN2O)+('Mitigation drivers'!AE166*ManwithbedN2O)+('Mitigation drivers'!AE167*PMwithoutlitterN2O)+('Mitigation drivers'!AE168*PMwithlitterN2O)+('Mitigation drivers'!AE170*DigesterN2OEF))/100</f>
        <v>2.7200000000000002E-3</v>
      </c>
      <c r="AK66" s="26">
        <f>(('Mitigation drivers'!AF160*LagoonN2O)+('Mitigation drivers'!AF161*LiquidN2O)+('Mitigation drivers'!AF162*DrylotN2O)+('Mitigation drivers'!AF163*SolidStorageN2O)+('Mitigation drivers'!AF164*DailyspreadN2O)+('Mitigation drivers'!AF165*CompostN2O)+('Mitigation drivers'!AF166*ManwithbedN2O)+('Mitigation drivers'!AF167*PMwithoutlitterN2O)+('Mitigation drivers'!AF168*PMwithlitterN2O)+('Mitigation drivers'!AF170*DigesterN2OEF))/100</f>
        <v>2.7200000000000002E-3</v>
      </c>
      <c r="AL66" s="26">
        <f>(('Mitigation drivers'!AG160*LagoonN2O)+('Mitigation drivers'!AG161*LiquidN2O)+('Mitigation drivers'!AG162*DrylotN2O)+('Mitigation drivers'!AG163*SolidStorageN2O)+('Mitigation drivers'!AG164*DailyspreadN2O)+('Mitigation drivers'!AG165*CompostN2O)+('Mitigation drivers'!AG166*ManwithbedN2O)+('Mitigation drivers'!AG167*PMwithoutlitterN2O)+('Mitigation drivers'!AG168*PMwithlitterN2O)+('Mitigation drivers'!AG170*DigesterN2OEF))/100</f>
        <v>2.7200000000000002E-3</v>
      </c>
      <c r="AM66" s="26">
        <f>(('Mitigation drivers'!AH160*LagoonN2O)+('Mitigation drivers'!AH161*LiquidN2O)+('Mitigation drivers'!AH162*DrylotN2O)+('Mitigation drivers'!AH163*SolidStorageN2O)+('Mitigation drivers'!AH164*DailyspreadN2O)+('Mitigation drivers'!AH165*CompostN2O)+('Mitigation drivers'!AH166*ManwithbedN2O)+('Mitigation drivers'!AH167*PMwithoutlitterN2O)+('Mitigation drivers'!AH168*PMwithlitterN2O)+('Mitigation drivers'!AH170*DigesterN2OEF))/100</f>
        <v>2.7200000000000002E-3</v>
      </c>
      <c r="AN66" s="26">
        <f>(('Mitigation drivers'!AI160*LagoonN2O)+('Mitigation drivers'!AI161*LiquidN2O)+('Mitigation drivers'!AI162*DrylotN2O)+('Mitigation drivers'!AI163*SolidStorageN2O)+('Mitigation drivers'!AI164*DailyspreadN2O)+('Mitigation drivers'!AI165*CompostN2O)+('Mitigation drivers'!AI166*ManwithbedN2O)+('Mitigation drivers'!AI167*PMwithoutlitterN2O)+('Mitigation drivers'!AI168*PMwithlitterN2O)+('Mitigation drivers'!AI170*DigesterN2OEF))/100</f>
        <v>2.7200000000000002E-3</v>
      </c>
      <c r="AO66" s="26">
        <f>(('Mitigation drivers'!AJ160*LagoonN2O)+('Mitigation drivers'!AJ161*LiquidN2O)+('Mitigation drivers'!AJ162*DrylotN2O)+('Mitigation drivers'!AJ163*SolidStorageN2O)+('Mitigation drivers'!AJ164*DailyspreadN2O)+('Mitigation drivers'!AJ165*CompostN2O)+('Mitigation drivers'!AJ166*ManwithbedN2O)+('Mitigation drivers'!AJ167*PMwithoutlitterN2O)+('Mitigation drivers'!AJ168*PMwithlitterN2O)+('Mitigation drivers'!AJ170*DigesterN2OEF))/100</f>
        <v>2.7200000000000002E-3</v>
      </c>
    </row>
    <row r="67" spans="1:41" x14ac:dyDescent="0.25">
      <c r="A67" t="str">
        <f t="shared" si="1"/>
        <v>3A Livestock</v>
      </c>
      <c r="B67" t="str">
        <f t="shared" si="8"/>
        <v>3A2 Manure management (N2O)</v>
      </c>
      <c r="C67" t="str">
        <f>'Activity data'!C18</f>
        <v>3A1h Swine</v>
      </c>
      <c r="D67" t="str">
        <f>'Activity data'!D18</f>
        <v>Subsistence</v>
      </c>
      <c r="E67" t="str">
        <f t="shared" si="27"/>
        <v>Manure management EF</v>
      </c>
      <c r="F67" t="str">
        <f t="shared" si="28"/>
        <v>N2O</v>
      </c>
      <c r="G67" t="str">
        <f t="shared" si="29"/>
        <v>kg N2O-N/kg Nex</v>
      </c>
      <c r="H67" s="26">
        <f>(('Mitigation drivers'!C172*LagoonN2O)+('Mitigation drivers'!C173*LiquidN2O)+('Mitigation drivers'!C174*DrylotN2O)+('Mitigation drivers'!C175*SolidStorageN2O)+('Mitigation drivers'!C176*DailyspreadN2O)+('Mitigation drivers'!C177*CompostN2O)+('Mitigation drivers'!C178*ManwithbedN2O)+('Mitigation drivers'!C179*PMwithoutlitterN2O)+('Mitigation drivers'!C180*PMwithlitterN2O)+('Mitigation drivers'!C182*DigesterN2OEF))/100</f>
        <v>7.1200000000000005E-3</v>
      </c>
      <c r="I67" s="26">
        <f>(('Mitigation drivers'!D172*LagoonN2O)+('Mitigation drivers'!D173*LiquidN2O)+('Mitigation drivers'!D174*DrylotN2O)+('Mitigation drivers'!D175*SolidStorageN2O)+('Mitigation drivers'!D176*DailyspreadN2O)+('Mitigation drivers'!D177*CompostN2O)+('Mitigation drivers'!D178*ManwithbedN2O)+('Mitigation drivers'!D179*PMwithoutlitterN2O)+('Mitigation drivers'!D180*PMwithlitterN2O)+('Mitigation drivers'!D182*DigesterN2OEF))/100</f>
        <v>7.1200000000000005E-3</v>
      </c>
      <c r="J67" s="26">
        <f>(('Mitigation drivers'!E172*LagoonN2O)+('Mitigation drivers'!E173*LiquidN2O)+('Mitigation drivers'!E174*DrylotN2O)+('Mitigation drivers'!E175*SolidStorageN2O)+('Mitigation drivers'!E176*DailyspreadN2O)+('Mitigation drivers'!E177*CompostN2O)+('Mitigation drivers'!E178*ManwithbedN2O)+('Mitigation drivers'!E179*PMwithoutlitterN2O)+('Mitigation drivers'!E180*PMwithlitterN2O)+('Mitigation drivers'!E182*DigesterN2OEF))/100</f>
        <v>7.1200000000000005E-3</v>
      </c>
      <c r="K67" s="26">
        <f>(('Mitigation drivers'!F172*LagoonN2O)+('Mitigation drivers'!F173*LiquidN2O)+('Mitigation drivers'!F174*DrylotN2O)+('Mitigation drivers'!F175*SolidStorageN2O)+('Mitigation drivers'!F176*DailyspreadN2O)+('Mitigation drivers'!F177*CompostN2O)+('Mitigation drivers'!F178*ManwithbedN2O)+('Mitigation drivers'!F179*PMwithoutlitterN2O)+('Mitigation drivers'!F180*PMwithlitterN2O)+('Mitigation drivers'!F182*DigesterN2OEF))/100</f>
        <v>7.1200000000000005E-3</v>
      </c>
      <c r="L67" s="26">
        <f>(('Mitigation drivers'!G172*LagoonN2O)+('Mitigation drivers'!G173*LiquidN2O)+('Mitigation drivers'!G174*DrylotN2O)+('Mitigation drivers'!G175*SolidStorageN2O)+('Mitigation drivers'!G176*DailyspreadN2O)+('Mitigation drivers'!G177*CompostN2O)+('Mitigation drivers'!G178*ManwithbedN2O)+('Mitigation drivers'!G179*PMwithoutlitterN2O)+('Mitigation drivers'!G180*PMwithlitterN2O)+('Mitigation drivers'!G182*DigesterN2OEF))/100</f>
        <v>7.1200000000000005E-3</v>
      </c>
      <c r="M67" s="26">
        <f>(('Mitigation drivers'!H172*LagoonN2O)+('Mitigation drivers'!H173*LiquidN2O)+('Mitigation drivers'!H174*DrylotN2O)+('Mitigation drivers'!H175*SolidStorageN2O)+('Mitigation drivers'!H176*DailyspreadN2O)+('Mitigation drivers'!H177*CompostN2O)+('Mitigation drivers'!H178*ManwithbedN2O)+('Mitigation drivers'!H179*PMwithoutlitterN2O)+('Mitigation drivers'!H180*PMwithlitterN2O)+('Mitigation drivers'!H182*DigesterN2OEF))/100</f>
        <v>7.1200000000000005E-3</v>
      </c>
      <c r="N67" s="26">
        <f>(('Mitigation drivers'!I172*LagoonN2O)+('Mitigation drivers'!I173*LiquidN2O)+('Mitigation drivers'!I174*DrylotN2O)+('Mitigation drivers'!I175*SolidStorageN2O)+('Mitigation drivers'!I176*DailyspreadN2O)+('Mitigation drivers'!I177*CompostN2O)+('Mitigation drivers'!I178*ManwithbedN2O)+('Mitigation drivers'!I179*PMwithoutlitterN2O)+('Mitigation drivers'!I180*PMwithlitterN2O)+('Mitigation drivers'!I182*DigesterN2OEF))/100</f>
        <v>7.1200000000000005E-3</v>
      </c>
      <c r="O67" s="26">
        <f>(('Mitigation drivers'!J172*LagoonN2O)+('Mitigation drivers'!J173*LiquidN2O)+('Mitigation drivers'!J174*DrylotN2O)+('Mitigation drivers'!J175*SolidStorageN2O)+('Mitigation drivers'!J176*DailyspreadN2O)+('Mitigation drivers'!J177*CompostN2O)+('Mitigation drivers'!J178*ManwithbedN2O)+('Mitigation drivers'!J179*PMwithoutlitterN2O)+('Mitigation drivers'!J180*PMwithlitterN2O)+('Mitigation drivers'!J182*DigesterN2OEF))/100</f>
        <v>7.1200000000000005E-3</v>
      </c>
      <c r="P67" s="26">
        <f>(('Mitigation drivers'!K172*LagoonN2O)+('Mitigation drivers'!K173*LiquidN2O)+('Mitigation drivers'!K174*DrylotN2O)+('Mitigation drivers'!K175*SolidStorageN2O)+('Mitigation drivers'!K176*DailyspreadN2O)+('Mitigation drivers'!K177*CompostN2O)+('Mitigation drivers'!K178*ManwithbedN2O)+('Mitigation drivers'!K179*PMwithoutlitterN2O)+('Mitigation drivers'!K180*PMwithlitterN2O)+('Mitigation drivers'!K182*DigesterN2OEF))/100</f>
        <v>7.1200000000000005E-3</v>
      </c>
      <c r="Q67" s="26">
        <f>(('Mitigation drivers'!L172*LagoonN2O)+('Mitigation drivers'!L173*LiquidN2O)+('Mitigation drivers'!L174*DrylotN2O)+('Mitigation drivers'!L175*SolidStorageN2O)+('Mitigation drivers'!L176*DailyspreadN2O)+('Mitigation drivers'!L177*CompostN2O)+('Mitigation drivers'!L178*ManwithbedN2O)+('Mitigation drivers'!L179*PMwithoutlitterN2O)+('Mitigation drivers'!L180*PMwithlitterN2O)+('Mitigation drivers'!L182*DigesterN2OEF))/100</f>
        <v>7.1200000000000005E-3</v>
      </c>
      <c r="R67" s="26">
        <f>(('Mitigation drivers'!M172*LagoonN2O)+('Mitigation drivers'!M173*LiquidN2O)+('Mitigation drivers'!M174*DrylotN2O)+('Mitigation drivers'!M175*SolidStorageN2O)+('Mitigation drivers'!M176*DailyspreadN2O)+('Mitigation drivers'!M177*CompostN2O)+('Mitigation drivers'!M178*ManwithbedN2O)+('Mitigation drivers'!M179*PMwithoutlitterN2O)+('Mitigation drivers'!M180*PMwithlitterN2O)+('Mitigation drivers'!M182*DigesterN2OEF))/100</f>
        <v>7.1200000000000005E-3</v>
      </c>
      <c r="S67" s="26">
        <f>(('Mitigation drivers'!N172*LagoonN2O)+('Mitigation drivers'!N173*LiquidN2O)+('Mitigation drivers'!N174*DrylotN2O)+('Mitigation drivers'!N175*SolidStorageN2O)+('Mitigation drivers'!N176*DailyspreadN2O)+('Mitigation drivers'!N177*CompostN2O)+('Mitigation drivers'!N178*ManwithbedN2O)+('Mitigation drivers'!N179*PMwithoutlitterN2O)+('Mitigation drivers'!N180*PMwithlitterN2O)+('Mitigation drivers'!N182*DigesterN2OEF))/100</f>
        <v>7.1200000000000005E-3</v>
      </c>
      <c r="T67" s="26">
        <f>(('Mitigation drivers'!O172*LagoonN2O)+('Mitigation drivers'!O173*LiquidN2O)+('Mitigation drivers'!O174*DrylotN2O)+('Mitigation drivers'!O175*SolidStorageN2O)+('Mitigation drivers'!O176*DailyspreadN2O)+('Mitigation drivers'!O177*CompostN2O)+('Mitigation drivers'!O178*ManwithbedN2O)+('Mitigation drivers'!O179*PMwithoutlitterN2O)+('Mitigation drivers'!O180*PMwithlitterN2O)+('Mitigation drivers'!O182*DigesterN2OEF))/100</f>
        <v>7.1200000000000005E-3</v>
      </c>
      <c r="U67" s="26">
        <f>(('Mitigation drivers'!P172*LagoonN2O)+('Mitigation drivers'!P173*LiquidN2O)+('Mitigation drivers'!P174*DrylotN2O)+('Mitigation drivers'!P175*SolidStorageN2O)+('Mitigation drivers'!P176*DailyspreadN2O)+('Mitigation drivers'!P177*CompostN2O)+('Mitigation drivers'!P178*ManwithbedN2O)+('Mitigation drivers'!P179*PMwithoutlitterN2O)+('Mitigation drivers'!P180*PMwithlitterN2O)+('Mitigation drivers'!P182*DigesterN2OEF))/100</f>
        <v>7.1200000000000005E-3</v>
      </c>
      <c r="V67" s="26">
        <f>(('Mitigation drivers'!Q172*LagoonN2O)+('Mitigation drivers'!Q173*LiquidN2O)+('Mitigation drivers'!Q174*DrylotN2O)+('Mitigation drivers'!Q175*SolidStorageN2O)+('Mitigation drivers'!Q176*DailyspreadN2O)+('Mitigation drivers'!Q177*CompostN2O)+('Mitigation drivers'!Q178*ManwithbedN2O)+('Mitigation drivers'!Q179*PMwithoutlitterN2O)+('Mitigation drivers'!Q180*PMwithlitterN2O)+('Mitigation drivers'!Q182*DigesterN2OEF))/100</f>
        <v>7.1200000000000005E-3</v>
      </c>
      <c r="W67" s="26">
        <f>(('Mitigation drivers'!R172*LagoonN2O)+('Mitigation drivers'!R173*LiquidN2O)+('Mitigation drivers'!R174*DrylotN2O)+('Mitigation drivers'!R175*SolidStorageN2O)+('Mitigation drivers'!R176*DailyspreadN2O)+('Mitigation drivers'!R177*CompostN2O)+('Mitigation drivers'!R178*ManwithbedN2O)+('Mitigation drivers'!R179*PMwithoutlitterN2O)+('Mitigation drivers'!R180*PMwithlitterN2O)+('Mitigation drivers'!R182*DigesterN2OEF))/100</f>
        <v>7.1200000000000005E-3</v>
      </c>
      <c r="X67" s="26">
        <f>(('Mitigation drivers'!S172*LagoonN2O)+('Mitigation drivers'!S173*LiquidN2O)+('Mitigation drivers'!S174*DrylotN2O)+('Mitigation drivers'!S175*SolidStorageN2O)+('Mitigation drivers'!S176*DailyspreadN2O)+('Mitigation drivers'!S177*CompostN2O)+('Mitigation drivers'!S178*ManwithbedN2O)+('Mitigation drivers'!S179*PMwithoutlitterN2O)+('Mitigation drivers'!S180*PMwithlitterN2O)+('Mitigation drivers'!S182*DigesterN2OEF))/100</f>
        <v>7.1200000000000005E-3</v>
      </c>
      <c r="Y67" s="26">
        <f>(('Mitigation drivers'!T172*LagoonN2O)+('Mitigation drivers'!T173*LiquidN2O)+('Mitigation drivers'!T174*DrylotN2O)+('Mitigation drivers'!T175*SolidStorageN2O)+('Mitigation drivers'!T176*DailyspreadN2O)+('Mitigation drivers'!T177*CompostN2O)+('Mitigation drivers'!T178*ManwithbedN2O)+('Mitigation drivers'!T179*PMwithoutlitterN2O)+('Mitigation drivers'!T180*PMwithlitterN2O)+('Mitigation drivers'!T182*DigesterN2OEF))/100</f>
        <v>7.1200000000000005E-3</v>
      </c>
      <c r="Z67" s="26">
        <f>(('Mitigation drivers'!U172*LagoonN2O)+('Mitigation drivers'!U173*LiquidN2O)+('Mitigation drivers'!U174*DrylotN2O)+('Mitigation drivers'!U175*SolidStorageN2O)+('Mitigation drivers'!U176*DailyspreadN2O)+('Mitigation drivers'!U177*CompostN2O)+('Mitigation drivers'!U178*ManwithbedN2O)+('Mitigation drivers'!U179*PMwithoutlitterN2O)+('Mitigation drivers'!U180*PMwithlitterN2O)+('Mitigation drivers'!U182*DigesterN2OEF))/100</f>
        <v>7.1200000000000005E-3</v>
      </c>
      <c r="AA67" s="26">
        <f>(('Mitigation drivers'!V172*LagoonN2O)+('Mitigation drivers'!V173*LiquidN2O)+('Mitigation drivers'!V174*DrylotN2O)+('Mitigation drivers'!V175*SolidStorageN2O)+('Mitigation drivers'!V176*DailyspreadN2O)+('Mitigation drivers'!V177*CompostN2O)+('Mitigation drivers'!V178*ManwithbedN2O)+('Mitigation drivers'!V179*PMwithoutlitterN2O)+('Mitigation drivers'!V180*PMwithlitterN2O)+('Mitigation drivers'!V182*DigesterN2OEF))/100</f>
        <v>7.1200000000000005E-3</v>
      </c>
      <c r="AB67" s="26">
        <f>(('Mitigation drivers'!W172*LagoonN2O)+('Mitigation drivers'!W173*LiquidN2O)+('Mitigation drivers'!W174*DrylotN2O)+('Mitigation drivers'!W175*SolidStorageN2O)+('Mitigation drivers'!W176*DailyspreadN2O)+('Mitigation drivers'!W177*CompostN2O)+('Mitigation drivers'!W178*ManwithbedN2O)+('Mitigation drivers'!W179*PMwithoutlitterN2O)+('Mitigation drivers'!W180*PMwithlitterN2O)+('Mitigation drivers'!W182*DigesterN2OEF))/100</f>
        <v>7.1200000000000005E-3</v>
      </c>
      <c r="AC67" s="26">
        <f>(('Mitigation drivers'!X172*LagoonN2O)+('Mitigation drivers'!X173*LiquidN2O)+('Mitigation drivers'!X174*DrylotN2O)+('Mitigation drivers'!X175*SolidStorageN2O)+('Mitigation drivers'!X176*DailyspreadN2O)+('Mitigation drivers'!X177*CompostN2O)+('Mitigation drivers'!X178*ManwithbedN2O)+('Mitigation drivers'!X179*PMwithoutlitterN2O)+('Mitigation drivers'!X180*PMwithlitterN2O)+('Mitigation drivers'!X182*DigesterN2OEF))/100</f>
        <v>7.1200000000000005E-3</v>
      </c>
      <c r="AD67" s="26">
        <f>(('Mitigation drivers'!Y172*LagoonN2O)+('Mitigation drivers'!Y173*LiquidN2O)+('Mitigation drivers'!Y174*DrylotN2O)+('Mitigation drivers'!Y175*SolidStorageN2O)+('Mitigation drivers'!Y176*DailyspreadN2O)+('Mitigation drivers'!Y177*CompostN2O)+('Mitigation drivers'!Y178*ManwithbedN2O)+('Mitigation drivers'!Y179*PMwithoutlitterN2O)+('Mitigation drivers'!Y180*PMwithlitterN2O)+('Mitigation drivers'!Y182*DigesterN2OEF))/100</f>
        <v>7.1200000000000005E-3</v>
      </c>
      <c r="AE67" s="26">
        <f>(('Mitigation drivers'!Z172*LagoonN2O)+('Mitigation drivers'!Z173*LiquidN2O)+('Mitigation drivers'!Z174*DrylotN2O)+('Mitigation drivers'!Z175*SolidStorageN2O)+('Mitigation drivers'!Z176*DailyspreadN2O)+('Mitigation drivers'!Z177*CompostN2O)+('Mitigation drivers'!Z178*ManwithbedN2O)+('Mitigation drivers'!Z179*PMwithoutlitterN2O)+('Mitigation drivers'!Z180*PMwithlitterN2O)+('Mitigation drivers'!Z182*DigesterN2OEF))/100</f>
        <v>7.1200000000000005E-3</v>
      </c>
      <c r="AF67" s="26">
        <f>(('Mitigation drivers'!AA172*LagoonN2O)+('Mitigation drivers'!AA173*LiquidN2O)+('Mitigation drivers'!AA174*DrylotN2O)+('Mitigation drivers'!AA175*SolidStorageN2O)+('Mitigation drivers'!AA176*DailyspreadN2O)+('Mitigation drivers'!AA177*CompostN2O)+('Mitigation drivers'!AA178*ManwithbedN2O)+('Mitigation drivers'!AA179*PMwithoutlitterN2O)+('Mitigation drivers'!AA180*PMwithlitterN2O)+('Mitigation drivers'!AA182*DigesterN2OEF))/100</f>
        <v>7.1200000000000005E-3</v>
      </c>
      <c r="AG67" s="26">
        <f>(('Mitigation drivers'!AB172*LagoonN2O)+('Mitigation drivers'!AB173*LiquidN2O)+('Mitigation drivers'!AB174*DrylotN2O)+('Mitigation drivers'!AB175*SolidStorageN2O)+('Mitigation drivers'!AB176*DailyspreadN2O)+('Mitigation drivers'!AB177*CompostN2O)+('Mitigation drivers'!AB178*ManwithbedN2O)+('Mitigation drivers'!AB179*PMwithoutlitterN2O)+('Mitigation drivers'!AB180*PMwithlitterN2O)+('Mitigation drivers'!AB182*DigesterN2OEF))/100</f>
        <v>7.1200000000000005E-3</v>
      </c>
      <c r="AH67" s="26">
        <f>(('Mitigation drivers'!AC172*LagoonN2O)+('Mitigation drivers'!AC173*LiquidN2O)+('Mitigation drivers'!AC174*DrylotN2O)+('Mitigation drivers'!AC175*SolidStorageN2O)+('Mitigation drivers'!AC176*DailyspreadN2O)+('Mitigation drivers'!AC177*CompostN2O)+('Mitigation drivers'!AC178*ManwithbedN2O)+('Mitigation drivers'!AC179*PMwithoutlitterN2O)+('Mitigation drivers'!AC180*PMwithlitterN2O)+('Mitigation drivers'!AC182*DigesterN2OEF))/100</f>
        <v>7.1200000000000005E-3</v>
      </c>
      <c r="AI67" s="26">
        <f>(('Mitigation drivers'!AD172*LagoonN2O)+('Mitigation drivers'!AD173*LiquidN2O)+('Mitigation drivers'!AD174*DrylotN2O)+('Mitigation drivers'!AD175*SolidStorageN2O)+('Mitigation drivers'!AD176*DailyspreadN2O)+('Mitigation drivers'!AD177*CompostN2O)+('Mitigation drivers'!AD178*ManwithbedN2O)+('Mitigation drivers'!AD179*PMwithoutlitterN2O)+('Mitigation drivers'!AD180*PMwithlitterN2O)+('Mitigation drivers'!AD182*DigesterN2OEF))/100</f>
        <v>7.1200000000000005E-3</v>
      </c>
      <c r="AJ67" s="26">
        <f>(('Mitigation drivers'!AE172*LagoonN2O)+('Mitigation drivers'!AE173*LiquidN2O)+('Mitigation drivers'!AE174*DrylotN2O)+('Mitigation drivers'!AE175*SolidStorageN2O)+('Mitigation drivers'!AE176*DailyspreadN2O)+('Mitigation drivers'!AE177*CompostN2O)+('Mitigation drivers'!AE178*ManwithbedN2O)+('Mitigation drivers'!AE179*PMwithoutlitterN2O)+('Mitigation drivers'!AE180*PMwithlitterN2O)+('Mitigation drivers'!AE182*DigesterN2OEF))/100</f>
        <v>7.1200000000000005E-3</v>
      </c>
      <c r="AK67" s="26">
        <f>(('Mitigation drivers'!AF172*LagoonN2O)+('Mitigation drivers'!AF173*LiquidN2O)+('Mitigation drivers'!AF174*DrylotN2O)+('Mitigation drivers'!AF175*SolidStorageN2O)+('Mitigation drivers'!AF176*DailyspreadN2O)+('Mitigation drivers'!AF177*CompostN2O)+('Mitigation drivers'!AF178*ManwithbedN2O)+('Mitigation drivers'!AF179*PMwithoutlitterN2O)+('Mitigation drivers'!AF180*PMwithlitterN2O)+('Mitigation drivers'!AF182*DigesterN2OEF))/100</f>
        <v>7.1200000000000005E-3</v>
      </c>
      <c r="AL67" s="26">
        <f>(('Mitigation drivers'!AG172*LagoonN2O)+('Mitigation drivers'!AG173*LiquidN2O)+('Mitigation drivers'!AG174*DrylotN2O)+('Mitigation drivers'!AG175*SolidStorageN2O)+('Mitigation drivers'!AG176*DailyspreadN2O)+('Mitigation drivers'!AG177*CompostN2O)+('Mitigation drivers'!AG178*ManwithbedN2O)+('Mitigation drivers'!AG179*PMwithoutlitterN2O)+('Mitigation drivers'!AG180*PMwithlitterN2O)+('Mitigation drivers'!AG182*DigesterN2OEF))/100</f>
        <v>7.1200000000000005E-3</v>
      </c>
      <c r="AM67" s="26">
        <f>(('Mitigation drivers'!AH172*LagoonN2O)+('Mitigation drivers'!AH173*LiquidN2O)+('Mitigation drivers'!AH174*DrylotN2O)+('Mitigation drivers'!AH175*SolidStorageN2O)+('Mitigation drivers'!AH176*DailyspreadN2O)+('Mitigation drivers'!AH177*CompostN2O)+('Mitigation drivers'!AH178*ManwithbedN2O)+('Mitigation drivers'!AH179*PMwithoutlitterN2O)+('Mitigation drivers'!AH180*PMwithlitterN2O)+('Mitigation drivers'!AH182*DigesterN2OEF))/100</f>
        <v>7.1200000000000005E-3</v>
      </c>
      <c r="AN67" s="26">
        <f>(('Mitigation drivers'!AI172*LagoonN2O)+('Mitigation drivers'!AI173*LiquidN2O)+('Mitigation drivers'!AI174*DrylotN2O)+('Mitigation drivers'!AI175*SolidStorageN2O)+('Mitigation drivers'!AI176*DailyspreadN2O)+('Mitigation drivers'!AI177*CompostN2O)+('Mitigation drivers'!AI178*ManwithbedN2O)+('Mitigation drivers'!AI179*PMwithoutlitterN2O)+('Mitigation drivers'!AI180*PMwithlitterN2O)+('Mitigation drivers'!AI182*DigesterN2OEF))/100</f>
        <v>7.1200000000000005E-3</v>
      </c>
      <c r="AO67" s="26">
        <f>(('Mitigation drivers'!AJ172*LagoonN2O)+('Mitigation drivers'!AJ173*LiquidN2O)+('Mitigation drivers'!AJ174*DrylotN2O)+('Mitigation drivers'!AJ175*SolidStorageN2O)+('Mitigation drivers'!AJ176*DailyspreadN2O)+('Mitigation drivers'!AJ177*CompostN2O)+('Mitigation drivers'!AJ178*ManwithbedN2O)+('Mitigation drivers'!AJ179*PMwithoutlitterN2O)+('Mitigation drivers'!AJ180*PMwithlitterN2O)+('Mitigation drivers'!AJ182*DigesterN2OEF))/100</f>
        <v>7.1200000000000005E-3</v>
      </c>
    </row>
    <row r="68" spans="1:41" x14ac:dyDescent="0.25">
      <c r="A68" t="str">
        <f t="shared" si="1"/>
        <v>3A Livestock</v>
      </c>
      <c r="B68" t="str">
        <f t="shared" si="8"/>
        <v>3A2 Manure management (N2O)</v>
      </c>
      <c r="C68" t="str">
        <f>'Activity data'!C19</f>
        <v>3A2i Poultry</v>
      </c>
      <c r="D68" t="str">
        <f>'Activity data'!D19</f>
        <v>Commercial layers</v>
      </c>
      <c r="E68" t="str">
        <f t="shared" si="27"/>
        <v>Manure management EF</v>
      </c>
      <c r="F68" t="str">
        <f t="shared" si="28"/>
        <v>N2O</v>
      </c>
      <c r="G68" t="str">
        <f t="shared" si="29"/>
        <v>kg N2O-N/kg Nex</v>
      </c>
      <c r="H68" s="26">
        <f>(('Mitigation drivers'!C185*LagoonN2O)+('Mitigation drivers'!C186*LiquidN2O)+('Mitigation drivers'!C187*DrylotN2O)+('Mitigation drivers'!C188*SolidStorageN2O)+('Mitigation drivers'!C189*DailyspreadN2O)+('Mitigation drivers'!C190*CompostN2O)+('Mitigation drivers'!C191*ManwithbedN2O)+('Mitigation drivers'!C192*PMwithoutlitterN2O)+('Mitigation drivers'!C193*PMwithlitterN2O)+('Mitigation drivers'!C195*DigesterN2OEF))/100</f>
        <v>1.4700000000000001E-2</v>
      </c>
      <c r="I68" s="26">
        <f>(('Mitigation drivers'!D185*LagoonN2O)+('Mitigation drivers'!D186*LiquidN2O)+('Mitigation drivers'!D187*DrylotN2O)+('Mitigation drivers'!D188*SolidStorageN2O)+('Mitigation drivers'!D189*DailyspreadN2O)+('Mitigation drivers'!D190*CompostN2O)+('Mitigation drivers'!D191*ManwithbedN2O)+('Mitigation drivers'!D192*PMwithoutlitterN2O)+('Mitigation drivers'!D193*PMwithlitterN2O)+('Mitigation drivers'!D195*DigesterN2OEF))/100</f>
        <v>1.4700000000000001E-2</v>
      </c>
      <c r="J68" s="26">
        <f>(('Mitigation drivers'!E185*LagoonN2O)+('Mitigation drivers'!E186*LiquidN2O)+('Mitigation drivers'!E187*DrylotN2O)+('Mitigation drivers'!E188*SolidStorageN2O)+('Mitigation drivers'!E189*DailyspreadN2O)+('Mitigation drivers'!E190*CompostN2O)+('Mitigation drivers'!E191*ManwithbedN2O)+('Mitigation drivers'!E192*PMwithoutlitterN2O)+('Mitigation drivers'!E193*PMwithlitterN2O)+('Mitigation drivers'!E195*DigesterN2OEF))/100</f>
        <v>1.4700000000000001E-2</v>
      </c>
      <c r="K68" s="26">
        <f>(('Mitigation drivers'!F185*LagoonN2O)+('Mitigation drivers'!F186*LiquidN2O)+('Mitigation drivers'!F187*DrylotN2O)+('Mitigation drivers'!F188*SolidStorageN2O)+('Mitigation drivers'!F189*DailyspreadN2O)+('Mitigation drivers'!F190*CompostN2O)+('Mitigation drivers'!F191*ManwithbedN2O)+('Mitigation drivers'!F192*PMwithoutlitterN2O)+('Mitigation drivers'!F193*PMwithlitterN2O)+('Mitigation drivers'!F195*DigesterN2OEF))/100</f>
        <v>1.4700000000000001E-2</v>
      </c>
      <c r="L68" s="26">
        <f>(('Mitigation drivers'!G185*LagoonN2O)+('Mitigation drivers'!G186*LiquidN2O)+('Mitigation drivers'!G187*DrylotN2O)+('Mitigation drivers'!G188*SolidStorageN2O)+('Mitigation drivers'!G189*DailyspreadN2O)+('Mitigation drivers'!G190*CompostN2O)+('Mitigation drivers'!G191*ManwithbedN2O)+('Mitigation drivers'!G192*PMwithoutlitterN2O)+('Mitigation drivers'!G193*PMwithlitterN2O)+('Mitigation drivers'!G195*DigesterN2OEF))/100</f>
        <v>1.4700000000000001E-2</v>
      </c>
      <c r="M68" s="26">
        <f>(('Mitigation drivers'!H185*LagoonN2O)+('Mitigation drivers'!H186*LiquidN2O)+('Mitigation drivers'!H187*DrylotN2O)+('Mitigation drivers'!H188*SolidStorageN2O)+('Mitigation drivers'!H189*DailyspreadN2O)+('Mitigation drivers'!H190*CompostN2O)+('Mitigation drivers'!H191*ManwithbedN2O)+('Mitigation drivers'!H192*PMwithoutlitterN2O)+('Mitigation drivers'!H193*PMwithlitterN2O)+('Mitigation drivers'!H195*DigesterN2OEF))/100</f>
        <v>1.4700000000000001E-2</v>
      </c>
      <c r="N68" s="26">
        <f>(('Mitigation drivers'!I185*LagoonN2O)+('Mitigation drivers'!I186*LiquidN2O)+('Mitigation drivers'!I187*DrylotN2O)+('Mitigation drivers'!I188*SolidStorageN2O)+('Mitigation drivers'!I189*DailyspreadN2O)+('Mitigation drivers'!I190*CompostN2O)+('Mitigation drivers'!I191*ManwithbedN2O)+('Mitigation drivers'!I192*PMwithoutlitterN2O)+('Mitigation drivers'!I193*PMwithlitterN2O)+('Mitigation drivers'!I195*DigesterN2OEF))/100</f>
        <v>1.4700000000000001E-2</v>
      </c>
      <c r="O68" s="26">
        <f>(('Mitigation drivers'!J185*LagoonN2O)+('Mitigation drivers'!J186*LiquidN2O)+('Mitigation drivers'!J187*DrylotN2O)+('Mitigation drivers'!J188*SolidStorageN2O)+('Mitigation drivers'!J189*DailyspreadN2O)+('Mitigation drivers'!J190*CompostN2O)+('Mitigation drivers'!J191*ManwithbedN2O)+('Mitigation drivers'!J192*PMwithoutlitterN2O)+('Mitigation drivers'!J193*PMwithlitterN2O)+('Mitigation drivers'!J195*DigesterN2OEF))/100</f>
        <v>1.4700000000000001E-2</v>
      </c>
      <c r="P68" s="26">
        <f>(('Mitigation drivers'!K185*LagoonN2O)+('Mitigation drivers'!K186*LiquidN2O)+('Mitigation drivers'!K187*DrylotN2O)+('Mitigation drivers'!K188*SolidStorageN2O)+('Mitigation drivers'!K189*DailyspreadN2O)+('Mitigation drivers'!K190*CompostN2O)+('Mitigation drivers'!K191*ManwithbedN2O)+('Mitigation drivers'!K192*PMwithoutlitterN2O)+('Mitigation drivers'!K193*PMwithlitterN2O)+('Mitigation drivers'!K195*DigesterN2OEF))/100</f>
        <v>1.4700000000000001E-2</v>
      </c>
      <c r="Q68" s="26">
        <f>(('Mitigation drivers'!L185*LagoonN2O)+('Mitigation drivers'!L186*LiquidN2O)+('Mitigation drivers'!L187*DrylotN2O)+('Mitigation drivers'!L188*SolidStorageN2O)+('Mitigation drivers'!L189*DailyspreadN2O)+('Mitigation drivers'!L190*CompostN2O)+('Mitigation drivers'!L191*ManwithbedN2O)+('Mitigation drivers'!L192*PMwithoutlitterN2O)+('Mitigation drivers'!L193*PMwithlitterN2O)+('Mitigation drivers'!L195*DigesterN2OEF))/100</f>
        <v>1.4700000000000001E-2</v>
      </c>
      <c r="R68" s="26">
        <f>(('Mitigation drivers'!M185*LagoonN2O)+('Mitigation drivers'!M186*LiquidN2O)+('Mitigation drivers'!M187*DrylotN2O)+('Mitigation drivers'!M188*SolidStorageN2O)+('Mitigation drivers'!M189*DailyspreadN2O)+('Mitigation drivers'!M190*CompostN2O)+('Mitigation drivers'!M191*ManwithbedN2O)+('Mitigation drivers'!M192*PMwithoutlitterN2O)+('Mitigation drivers'!M193*PMwithlitterN2O)+('Mitigation drivers'!M195*DigesterN2OEF))/100</f>
        <v>1.4700000000000001E-2</v>
      </c>
      <c r="S68" s="26">
        <f>(('Mitigation drivers'!N185*LagoonN2O)+('Mitigation drivers'!N186*LiquidN2O)+('Mitigation drivers'!N187*DrylotN2O)+('Mitigation drivers'!N188*SolidStorageN2O)+('Mitigation drivers'!N189*DailyspreadN2O)+('Mitigation drivers'!N190*CompostN2O)+('Mitigation drivers'!N191*ManwithbedN2O)+('Mitigation drivers'!N192*PMwithoutlitterN2O)+('Mitigation drivers'!N193*PMwithlitterN2O)+('Mitigation drivers'!N195*DigesterN2OEF))/100</f>
        <v>1.4700000000000001E-2</v>
      </c>
      <c r="T68" s="26">
        <f>(('Mitigation drivers'!O185*LagoonN2O)+('Mitigation drivers'!O186*LiquidN2O)+('Mitigation drivers'!O187*DrylotN2O)+('Mitigation drivers'!O188*SolidStorageN2O)+('Mitigation drivers'!O189*DailyspreadN2O)+('Mitigation drivers'!O190*CompostN2O)+('Mitigation drivers'!O191*ManwithbedN2O)+('Mitigation drivers'!O192*PMwithoutlitterN2O)+('Mitigation drivers'!O193*PMwithlitterN2O)+('Mitigation drivers'!O195*DigesterN2OEF))/100</f>
        <v>1.4700000000000001E-2</v>
      </c>
      <c r="U68" s="26">
        <f>(('Mitigation drivers'!P185*LagoonN2O)+('Mitigation drivers'!P186*LiquidN2O)+('Mitigation drivers'!P187*DrylotN2O)+('Mitigation drivers'!P188*SolidStorageN2O)+('Mitigation drivers'!P189*DailyspreadN2O)+('Mitigation drivers'!P190*CompostN2O)+('Mitigation drivers'!P191*ManwithbedN2O)+('Mitigation drivers'!P192*PMwithoutlitterN2O)+('Mitigation drivers'!P193*PMwithlitterN2O)+('Mitigation drivers'!P195*DigesterN2OEF))/100</f>
        <v>1.4700000000000001E-2</v>
      </c>
      <c r="V68" s="26">
        <f>(('Mitigation drivers'!Q185*LagoonN2O)+('Mitigation drivers'!Q186*LiquidN2O)+('Mitigation drivers'!Q187*DrylotN2O)+('Mitigation drivers'!Q188*SolidStorageN2O)+('Mitigation drivers'!Q189*DailyspreadN2O)+('Mitigation drivers'!Q190*CompostN2O)+('Mitigation drivers'!Q191*ManwithbedN2O)+('Mitigation drivers'!Q192*PMwithoutlitterN2O)+('Mitigation drivers'!Q193*PMwithlitterN2O)+('Mitigation drivers'!Q195*DigesterN2OEF))/100</f>
        <v>1.4700000000000001E-2</v>
      </c>
      <c r="W68" s="26">
        <f>(('Mitigation drivers'!R185*LagoonN2O)+('Mitigation drivers'!R186*LiquidN2O)+('Mitigation drivers'!R187*DrylotN2O)+('Mitigation drivers'!R188*SolidStorageN2O)+('Mitigation drivers'!R189*DailyspreadN2O)+('Mitigation drivers'!R190*CompostN2O)+('Mitigation drivers'!R191*ManwithbedN2O)+('Mitigation drivers'!R192*PMwithoutlitterN2O)+('Mitigation drivers'!R193*PMwithlitterN2O)+('Mitigation drivers'!R195*DigesterN2OEF))/100</f>
        <v>1.4700000000000001E-2</v>
      </c>
      <c r="X68" s="26">
        <f>(('Mitigation drivers'!S185*LagoonN2O)+('Mitigation drivers'!S186*LiquidN2O)+('Mitigation drivers'!S187*DrylotN2O)+('Mitigation drivers'!S188*SolidStorageN2O)+('Mitigation drivers'!S189*DailyspreadN2O)+('Mitigation drivers'!S190*CompostN2O)+('Mitigation drivers'!S191*ManwithbedN2O)+('Mitigation drivers'!S192*PMwithoutlitterN2O)+('Mitigation drivers'!S193*PMwithlitterN2O)+('Mitigation drivers'!S195*DigesterN2OEF))/100</f>
        <v>1.4700000000000001E-2</v>
      </c>
      <c r="Y68" s="26">
        <f>(('Mitigation drivers'!T185*LagoonN2O)+('Mitigation drivers'!T186*LiquidN2O)+('Mitigation drivers'!T187*DrylotN2O)+('Mitigation drivers'!T188*SolidStorageN2O)+('Mitigation drivers'!T189*DailyspreadN2O)+('Mitigation drivers'!T190*CompostN2O)+('Mitigation drivers'!T191*ManwithbedN2O)+('Mitigation drivers'!T192*PMwithoutlitterN2O)+('Mitigation drivers'!T193*PMwithlitterN2O)+('Mitigation drivers'!T195*DigesterN2OEF))/100</f>
        <v>1.4700000000000001E-2</v>
      </c>
      <c r="Z68" s="26">
        <f>(('Mitigation drivers'!U185*LagoonN2O)+('Mitigation drivers'!U186*LiquidN2O)+('Mitigation drivers'!U187*DrylotN2O)+('Mitigation drivers'!U188*SolidStorageN2O)+('Mitigation drivers'!U189*DailyspreadN2O)+('Mitigation drivers'!U190*CompostN2O)+('Mitigation drivers'!U191*ManwithbedN2O)+('Mitigation drivers'!U192*PMwithoutlitterN2O)+('Mitigation drivers'!U193*PMwithlitterN2O)+('Mitigation drivers'!U195*DigesterN2OEF))/100</f>
        <v>1.4700000000000001E-2</v>
      </c>
      <c r="AA68" s="26">
        <f>(('Mitigation drivers'!V185*LagoonN2O)+('Mitigation drivers'!V186*LiquidN2O)+('Mitigation drivers'!V187*DrylotN2O)+('Mitigation drivers'!V188*SolidStorageN2O)+('Mitigation drivers'!V189*DailyspreadN2O)+('Mitigation drivers'!V190*CompostN2O)+('Mitigation drivers'!V191*ManwithbedN2O)+('Mitigation drivers'!V192*PMwithoutlitterN2O)+('Mitigation drivers'!V193*PMwithlitterN2O)+('Mitigation drivers'!V195*DigesterN2OEF))/100</f>
        <v>1.4700000000000001E-2</v>
      </c>
      <c r="AB68" s="26">
        <f>(('Mitigation drivers'!W185*LagoonN2O)+('Mitigation drivers'!W186*LiquidN2O)+('Mitigation drivers'!W187*DrylotN2O)+('Mitigation drivers'!W188*SolidStorageN2O)+('Mitigation drivers'!W189*DailyspreadN2O)+('Mitigation drivers'!W190*CompostN2O)+('Mitigation drivers'!W191*ManwithbedN2O)+('Mitigation drivers'!W192*PMwithoutlitterN2O)+('Mitigation drivers'!W193*PMwithlitterN2O)+('Mitigation drivers'!W195*DigesterN2OEF))/100</f>
        <v>1.4700000000000001E-2</v>
      </c>
      <c r="AC68" s="26">
        <f>(('Mitigation drivers'!X185*LagoonN2O)+('Mitigation drivers'!X186*LiquidN2O)+('Mitigation drivers'!X187*DrylotN2O)+('Mitigation drivers'!X188*SolidStorageN2O)+('Mitigation drivers'!X189*DailyspreadN2O)+('Mitigation drivers'!X190*CompostN2O)+('Mitigation drivers'!X191*ManwithbedN2O)+('Mitigation drivers'!X192*PMwithoutlitterN2O)+('Mitigation drivers'!X193*PMwithlitterN2O)+('Mitigation drivers'!X195*DigesterN2OEF))/100</f>
        <v>1.4700000000000001E-2</v>
      </c>
      <c r="AD68" s="26">
        <f>(('Mitigation drivers'!Y185*LagoonN2O)+('Mitigation drivers'!Y186*LiquidN2O)+('Mitigation drivers'!Y187*DrylotN2O)+('Mitigation drivers'!Y188*SolidStorageN2O)+('Mitigation drivers'!Y189*DailyspreadN2O)+('Mitigation drivers'!Y190*CompostN2O)+('Mitigation drivers'!Y191*ManwithbedN2O)+('Mitigation drivers'!Y192*PMwithoutlitterN2O)+('Mitigation drivers'!Y193*PMwithlitterN2O)+('Mitigation drivers'!Y195*DigesterN2OEF))/100</f>
        <v>1.4700000000000001E-2</v>
      </c>
      <c r="AE68" s="26">
        <f>(('Mitigation drivers'!Z185*LagoonN2O)+('Mitigation drivers'!Z186*LiquidN2O)+('Mitigation drivers'!Z187*DrylotN2O)+('Mitigation drivers'!Z188*SolidStorageN2O)+('Mitigation drivers'!Z189*DailyspreadN2O)+('Mitigation drivers'!Z190*CompostN2O)+('Mitigation drivers'!Z191*ManwithbedN2O)+('Mitigation drivers'!Z192*PMwithoutlitterN2O)+('Mitigation drivers'!Z193*PMwithlitterN2O)+('Mitigation drivers'!Z195*DigesterN2OEF))/100</f>
        <v>1.4700000000000001E-2</v>
      </c>
      <c r="AF68" s="26">
        <f>(('Mitigation drivers'!AA185*LagoonN2O)+('Mitigation drivers'!AA186*LiquidN2O)+('Mitigation drivers'!AA187*DrylotN2O)+('Mitigation drivers'!AA188*SolidStorageN2O)+('Mitigation drivers'!AA189*DailyspreadN2O)+('Mitigation drivers'!AA190*CompostN2O)+('Mitigation drivers'!AA191*ManwithbedN2O)+('Mitigation drivers'!AA192*PMwithoutlitterN2O)+('Mitigation drivers'!AA193*PMwithlitterN2O)+('Mitigation drivers'!AA195*DigesterN2OEF))/100</f>
        <v>1.4700000000000001E-2</v>
      </c>
      <c r="AG68" s="26">
        <f>(('Mitigation drivers'!AB185*LagoonN2O)+('Mitigation drivers'!AB186*LiquidN2O)+('Mitigation drivers'!AB187*DrylotN2O)+('Mitigation drivers'!AB188*SolidStorageN2O)+('Mitigation drivers'!AB189*DailyspreadN2O)+('Mitigation drivers'!AB190*CompostN2O)+('Mitigation drivers'!AB191*ManwithbedN2O)+('Mitigation drivers'!AB192*PMwithoutlitterN2O)+('Mitigation drivers'!AB193*PMwithlitterN2O)+('Mitigation drivers'!AB195*DigesterN2OEF))/100</f>
        <v>1.4700000000000001E-2</v>
      </c>
      <c r="AH68" s="26">
        <f>(('Mitigation drivers'!AC185*LagoonN2O)+('Mitigation drivers'!AC186*LiquidN2O)+('Mitigation drivers'!AC187*DrylotN2O)+('Mitigation drivers'!AC188*SolidStorageN2O)+('Mitigation drivers'!AC189*DailyspreadN2O)+('Mitigation drivers'!AC190*CompostN2O)+('Mitigation drivers'!AC191*ManwithbedN2O)+('Mitigation drivers'!AC192*PMwithoutlitterN2O)+('Mitigation drivers'!AC193*PMwithlitterN2O)+('Mitigation drivers'!AC195*DigesterN2OEF))/100</f>
        <v>1.4700000000000001E-2</v>
      </c>
      <c r="AI68" s="26">
        <f>(('Mitigation drivers'!AD185*LagoonN2O)+('Mitigation drivers'!AD186*LiquidN2O)+('Mitigation drivers'!AD187*DrylotN2O)+('Mitigation drivers'!AD188*SolidStorageN2O)+('Mitigation drivers'!AD189*DailyspreadN2O)+('Mitigation drivers'!AD190*CompostN2O)+('Mitigation drivers'!AD191*ManwithbedN2O)+('Mitigation drivers'!AD192*PMwithoutlitterN2O)+('Mitigation drivers'!AD193*PMwithlitterN2O)+('Mitigation drivers'!AD195*DigesterN2OEF))/100</f>
        <v>1.4700000000000001E-2</v>
      </c>
      <c r="AJ68" s="26">
        <f>(('Mitigation drivers'!AE185*LagoonN2O)+('Mitigation drivers'!AE186*LiquidN2O)+('Mitigation drivers'!AE187*DrylotN2O)+('Mitigation drivers'!AE188*SolidStorageN2O)+('Mitigation drivers'!AE189*DailyspreadN2O)+('Mitigation drivers'!AE190*CompostN2O)+('Mitigation drivers'!AE191*ManwithbedN2O)+('Mitigation drivers'!AE192*PMwithoutlitterN2O)+('Mitigation drivers'!AE193*PMwithlitterN2O)+('Mitigation drivers'!AE195*DigesterN2OEF))/100</f>
        <v>1.4700000000000001E-2</v>
      </c>
      <c r="AK68" s="26">
        <f>(('Mitigation drivers'!AF185*LagoonN2O)+('Mitigation drivers'!AF186*LiquidN2O)+('Mitigation drivers'!AF187*DrylotN2O)+('Mitigation drivers'!AF188*SolidStorageN2O)+('Mitigation drivers'!AF189*DailyspreadN2O)+('Mitigation drivers'!AF190*CompostN2O)+('Mitigation drivers'!AF191*ManwithbedN2O)+('Mitigation drivers'!AF192*PMwithoutlitterN2O)+('Mitigation drivers'!AF193*PMwithlitterN2O)+('Mitigation drivers'!AF195*DigesterN2OEF))/100</f>
        <v>1.4700000000000001E-2</v>
      </c>
      <c r="AL68" s="26">
        <f>(('Mitigation drivers'!AG185*LagoonN2O)+('Mitigation drivers'!AG186*LiquidN2O)+('Mitigation drivers'!AG187*DrylotN2O)+('Mitigation drivers'!AG188*SolidStorageN2O)+('Mitigation drivers'!AG189*DailyspreadN2O)+('Mitigation drivers'!AG190*CompostN2O)+('Mitigation drivers'!AG191*ManwithbedN2O)+('Mitigation drivers'!AG192*PMwithoutlitterN2O)+('Mitigation drivers'!AG193*PMwithlitterN2O)+('Mitigation drivers'!AG195*DigesterN2OEF))/100</f>
        <v>1.4700000000000001E-2</v>
      </c>
      <c r="AM68" s="26">
        <f>(('Mitigation drivers'!AH185*LagoonN2O)+('Mitigation drivers'!AH186*LiquidN2O)+('Mitigation drivers'!AH187*DrylotN2O)+('Mitigation drivers'!AH188*SolidStorageN2O)+('Mitigation drivers'!AH189*DailyspreadN2O)+('Mitigation drivers'!AH190*CompostN2O)+('Mitigation drivers'!AH191*ManwithbedN2O)+('Mitigation drivers'!AH192*PMwithoutlitterN2O)+('Mitigation drivers'!AH193*PMwithlitterN2O)+('Mitigation drivers'!AH195*DigesterN2OEF))/100</f>
        <v>1.4700000000000001E-2</v>
      </c>
      <c r="AN68" s="26">
        <f>(('Mitigation drivers'!AI185*LagoonN2O)+('Mitigation drivers'!AI186*LiquidN2O)+('Mitigation drivers'!AI187*DrylotN2O)+('Mitigation drivers'!AI188*SolidStorageN2O)+('Mitigation drivers'!AI189*DailyspreadN2O)+('Mitigation drivers'!AI190*CompostN2O)+('Mitigation drivers'!AI191*ManwithbedN2O)+('Mitigation drivers'!AI192*PMwithoutlitterN2O)+('Mitigation drivers'!AI193*PMwithlitterN2O)+('Mitigation drivers'!AI195*DigesterN2OEF))/100</f>
        <v>1.4700000000000001E-2</v>
      </c>
      <c r="AO68" s="26">
        <f>(('Mitigation drivers'!AJ185*LagoonN2O)+('Mitigation drivers'!AJ186*LiquidN2O)+('Mitigation drivers'!AJ187*DrylotN2O)+('Mitigation drivers'!AJ188*SolidStorageN2O)+('Mitigation drivers'!AJ189*DailyspreadN2O)+('Mitigation drivers'!AJ190*CompostN2O)+('Mitigation drivers'!AJ191*ManwithbedN2O)+('Mitigation drivers'!AJ192*PMwithoutlitterN2O)+('Mitigation drivers'!AJ193*PMwithlitterN2O)+('Mitigation drivers'!AJ195*DigesterN2OEF))/100</f>
        <v>1.4700000000000001E-2</v>
      </c>
    </row>
    <row r="69" spans="1:41" x14ac:dyDescent="0.25">
      <c r="A69" t="str">
        <f t="shared" si="1"/>
        <v>3A Livestock</v>
      </c>
      <c r="B69" t="str">
        <f t="shared" si="8"/>
        <v>3A2 Manure management (N2O)</v>
      </c>
      <c r="C69" t="str">
        <f>'Activity data'!C20</f>
        <v>3A2i Poultry</v>
      </c>
      <c r="D69" t="str">
        <f>'Activity data'!D20</f>
        <v>Commercial broilers</v>
      </c>
      <c r="E69" t="str">
        <f t="shared" si="27"/>
        <v>Manure management EF</v>
      </c>
      <c r="F69" t="str">
        <f t="shared" si="28"/>
        <v>N2O</v>
      </c>
      <c r="G69" t="str">
        <f t="shared" si="29"/>
        <v>kg N2O-N/kg Nex</v>
      </c>
      <c r="H69" s="26">
        <f>(('Mitigation drivers'!C197*LagoonN2O)+('Mitigation drivers'!C198*LiquidN2O)+('Mitigation drivers'!C199*DrylotN2O)+('Mitigation drivers'!C200*SolidStorageN2O)+('Mitigation drivers'!C201*DailyspreadN2O)+('Mitigation drivers'!C202*CompostN2O)+('Mitigation drivers'!C203*ManwithbedN2O)+('Mitigation drivers'!C204*PMwithoutlitterN2O)+('Mitigation drivers'!C205*PMwithlitterN2O)+('Mitigation drivers'!C207*DigesterN2OEF))/100</f>
        <v>1.6449999999999999E-2</v>
      </c>
      <c r="I69" s="26">
        <f>(('Mitigation drivers'!D197*LagoonN2O)+('Mitigation drivers'!D198*LiquidN2O)+('Mitigation drivers'!D199*DrylotN2O)+('Mitigation drivers'!D200*SolidStorageN2O)+('Mitigation drivers'!D201*DailyspreadN2O)+('Mitigation drivers'!D202*CompostN2O)+('Mitigation drivers'!D203*ManwithbedN2O)+('Mitigation drivers'!D204*PMwithoutlitterN2O)+('Mitigation drivers'!D205*PMwithlitterN2O)+('Mitigation drivers'!D207*DigesterN2OEF))/100</f>
        <v>1.6449999999999999E-2</v>
      </c>
      <c r="J69" s="26">
        <f>(('Mitigation drivers'!E197*LagoonN2O)+('Mitigation drivers'!E198*LiquidN2O)+('Mitigation drivers'!E199*DrylotN2O)+('Mitigation drivers'!E200*SolidStorageN2O)+('Mitigation drivers'!E201*DailyspreadN2O)+('Mitigation drivers'!E202*CompostN2O)+('Mitigation drivers'!E203*ManwithbedN2O)+('Mitigation drivers'!E204*PMwithoutlitterN2O)+('Mitigation drivers'!E205*PMwithlitterN2O)+('Mitigation drivers'!E207*DigesterN2OEF))/100</f>
        <v>1.6449999999999999E-2</v>
      </c>
      <c r="K69" s="26">
        <f>(('Mitigation drivers'!F197*LagoonN2O)+('Mitigation drivers'!F198*LiquidN2O)+('Mitigation drivers'!F199*DrylotN2O)+('Mitigation drivers'!F200*SolidStorageN2O)+('Mitigation drivers'!F201*DailyspreadN2O)+('Mitigation drivers'!F202*CompostN2O)+('Mitigation drivers'!F203*ManwithbedN2O)+('Mitigation drivers'!F204*PMwithoutlitterN2O)+('Mitigation drivers'!F205*PMwithlitterN2O)+('Mitigation drivers'!F207*DigesterN2OEF))/100</f>
        <v>1.6449999999999999E-2</v>
      </c>
      <c r="L69" s="26">
        <f>(('Mitigation drivers'!G197*LagoonN2O)+('Mitigation drivers'!G198*LiquidN2O)+('Mitigation drivers'!G199*DrylotN2O)+('Mitigation drivers'!G200*SolidStorageN2O)+('Mitigation drivers'!G201*DailyspreadN2O)+('Mitigation drivers'!G202*CompostN2O)+('Mitigation drivers'!G203*ManwithbedN2O)+('Mitigation drivers'!G204*PMwithoutlitterN2O)+('Mitigation drivers'!G205*PMwithlitterN2O)+('Mitigation drivers'!G207*DigesterN2OEF))/100</f>
        <v>1.6449999999999999E-2</v>
      </c>
      <c r="M69" s="26">
        <f>(('Mitigation drivers'!H197*LagoonN2O)+('Mitigation drivers'!H198*LiquidN2O)+('Mitigation drivers'!H199*DrylotN2O)+('Mitigation drivers'!H200*SolidStorageN2O)+('Mitigation drivers'!H201*DailyspreadN2O)+('Mitigation drivers'!H202*CompostN2O)+('Mitigation drivers'!H203*ManwithbedN2O)+('Mitigation drivers'!H204*PMwithoutlitterN2O)+('Mitigation drivers'!H205*PMwithlitterN2O)+('Mitigation drivers'!H207*DigesterN2OEF))/100</f>
        <v>1.6449999999999999E-2</v>
      </c>
      <c r="N69" s="26">
        <f>(('Mitigation drivers'!I197*LagoonN2O)+('Mitigation drivers'!I198*LiquidN2O)+('Mitigation drivers'!I199*DrylotN2O)+('Mitigation drivers'!I200*SolidStorageN2O)+('Mitigation drivers'!I201*DailyspreadN2O)+('Mitigation drivers'!I202*CompostN2O)+('Mitigation drivers'!I203*ManwithbedN2O)+('Mitigation drivers'!I204*PMwithoutlitterN2O)+('Mitigation drivers'!I205*PMwithlitterN2O)+('Mitigation drivers'!I207*DigesterN2OEF))/100</f>
        <v>1.6449999999999999E-2</v>
      </c>
      <c r="O69" s="26">
        <f>(('Mitigation drivers'!J197*LagoonN2O)+('Mitigation drivers'!J198*LiquidN2O)+('Mitigation drivers'!J199*DrylotN2O)+('Mitigation drivers'!J200*SolidStorageN2O)+('Mitigation drivers'!J201*DailyspreadN2O)+('Mitigation drivers'!J202*CompostN2O)+('Mitigation drivers'!J203*ManwithbedN2O)+('Mitigation drivers'!J204*PMwithoutlitterN2O)+('Mitigation drivers'!J205*PMwithlitterN2O)+('Mitigation drivers'!J207*DigesterN2OEF))/100</f>
        <v>1.6449999999999999E-2</v>
      </c>
      <c r="P69" s="26">
        <f>(('Mitigation drivers'!K197*LagoonN2O)+('Mitigation drivers'!K198*LiquidN2O)+('Mitigation drivers'!K199*DrylotN2O)+('Mitigation drivers'!K200*SolidStorageN2O)+('Mitigation drivers'!K201*DailyspreadN2O)+('Mitigation drivers'!K202*CompostN2O)+('Mitigation drivers'!K203*ManwithbedN2O)+('Mitigation drivers'!K204*PMwithoutlitterN2O)+('Mitigation drivers'!K205*PMwithlitterN2O)+('Mitigation drivers'!K207*DigesterN2OEF))/100</f>
        <v>1.6449999999999999E-2</v>
      </c>
      <c r="Q69" s="26">
        <f>(('Mitigation drivers'!L197*LagoonN2O)+('Mitigation drivers'!L198*LiquidN2O)+('Mitigation drivers'!L199*DrylotN2O)+('Mitigation drivers'!L200*SolidStorageN2O)+('Mitigation drivers'!L201*DailyspreadN2O)+('Mitigation drivers'!L202*CompostN2O)+('Mitigation drivers'!L203*ManwithbedN2O)+('Mitigation drivers'!L204*PMwithoutlitterN2O)+('Mitigation drivers'!L205*PMwithlitterN2O)+('Mitigation drivers'!L207*DigesterN2OEF))/100</f>
        <v>1.6449999999999999E-2</v>
      </c>
      <c r="R69" s="26">
        <f>(('Mitigation drivers'!M197*LagoonN2O)+('Mitigation drivers'!M198*LiquidN2O)+('Mitigation drivers'!M199*DrylotN2O)+('Mitigation drivers'!M200*SolidStorageN2O)+('Mitigation drivers'!M201*DailyspreadN2O)+('Mitigation drivers'!M202*CompostN2O)+('Mitigation drivers'!M203*ManwithbedN2O)+('Mitigation drivers'!M204*PMwithoutlitterN2O)+('Mitigation drivers'!M205*PMwithlitterN2O)+('Mitigation drivers'!M207*DigesterN2OEF))/100</f>
        <v>1.6449999999999999E-2</v>
      </c>
      <c r="S69" s="26">
        <f>(('Mitigation drivers'!N197*LagoonN2O)+('Mitigation drivers'!N198*LiquidN2O)+('Mitigation drivers'!N199*DrylotN2O)+('Mitigation drivers'!N200*SolidStorageN2O)+('Mitigation drivers'!N201*DailyspreadN2O)+('Mitigation drivers'!N202*CompostN2O)+('Mitigation drivers'!N203*ManwithbedN2O)+('Mitigation drivers'!N204*PMwithoutlitterN2O)+('Mitigation drivers'!N205*PMwithlitterN2O)+('Mitigation drivers'!N207*DigesterN2OEF))/100</f>
        <v>1.6449999999999999E-2</v>
      </c>
      <c r="T69" s="26">
        <f>(('Mitigation drivers'!O197*LagoonN2O)+('Mitigation drivers'!O198*LiquidN2O)+('Mitigation drivers'!O199*DrylotN2O)+('Mitigation drivers'!O200*SolidStorageN2O)+('Mitigation drivers'!O201*DailyspreadN2O)+('Mitigation drivers'!O202*CompostN2O)+('Mitigation drivers'!O203*ManwithbedN2O)+('Mitigation drivers'!O204*PMwithoutlitterN2O)+('Mitigation drivers'!O205*PMwithlitterN2O)+('Mitigation drivers'!O207*DigesterN2OEF))/100</f>
        <v>1.6449999999999999E-2</v>
      </c>
      <c r="U69" s="26">
        <f>(('Mitigation drivers'!P197*LagoonN2O)+('Mitigation drivers'!P198*LiquidN2O)+('Mitigation drivers'!P199*DrylotN2O)+('Mitigation drivers'!P200*SolidStorageN2O)+('Mitigation drivers'!P201*DailyspreadN2O)+('Mitigation drivers'!P202*CompostN2O)+('Mitigation drivers'!P203*ManwithbedN2O)+('Mitigation drivers'!P204*PMwithoutlitterN2O)+('Mitigation drivers'!P205*PMwithlitterN2O)+('Mitigation drivers'!P207*DigesterN2OEF))/100</f>
        <v>1.6449999999999999E-2</v>
      </c>
      <c r="V69" s="26">
        <f>(('Mitigation drivers'!Q197*LagoonN2O)+('Mitigation drivers'!Q198*LiquidN2O)+('Mitigation drivers'!Q199*DrylotN2O)+('Mitigation drivers'!Q200*SolidStorageN2O)+('Mitigation drivers'!Q201*DailyspreadN2O)+('Mitigation drivers'!Q202*CompostN2O)+('Mitigation drivers'!Q203*ManwithbedN2O)+('Mitigation drivers'!Q204*PMwithoutlitterN2O)+('Mitigation drivers'!Q205*PMwithlitterN2O)+('Mitigation drivers'!Q207*DigesterN2OEF))/100</f>
        <v>1.6449999999999999E-2</v>
      </c>
      <c r="W69" s="26">
        <f>(('Mitigation drivers'!R197*LagoonN2O)+('Mitigation drivers'!R198*LiquidN2O)+('Mitigation drivers'!R199*DrylotN2O)+('Mitigation drivers'!R200*SolidStorageN2O)+('Mitigation drivers'!R201*DailyspreadN2O)+('Mitigation drivers'!R202*CompostN2O)+('Mitigation drivers'!R203*ManwithbedN2O)+('Mitigation drivers'!R204*PMwithoutlitterN2O)+('Mitigation drivers'!R205*PMwithlitterN2O)+('Mitigation drivers'!R207*DigesterN2OEF))/100</f>
        <v>1.6449999999999999E-2</v>
      </c>
      <c r="X69" s="26">
        <f>(('Mitigation drivers'!S197*LagoonN2O)+('Mitigation drivers'!S198*LiquidN2O)+('Mitigation drivers'!S199*DrylotN2O)+('Mitigation drivers'!S200*SolidStorageN2O)+('Mitigation drivers'!S201*DailyspreadN2O)+('Mitigation drivers'!S202*CompostN2O)+('Mitigation drivers'!S203*ManwithbedN2O)+('Mitigation drivers'!S204*PMwithoutlitterN2O)+('Mitigation drivers'!S205*PMwithlitterN2O)+('Mitigation drivers'!S207*DigesterN2OEF))/100</f>
        <v>1.6449999999999999E-2</v>
      </c>
      <c r="Y69" s="26">
        <f>(('Mitigation drivers'!T197*LagoonN2O)+('Mitigation drivers'!T198*LiquidN2O)+('Mitigation drivers'!T199*DrylotN2O)+('Mitigation drivers'!T200*SolidStorageN2O)+('Mitigation drivers'!T201*DailyspreadN2O)+('Mitigation drivers'!T202*CompostN2O)+('Mitigation drivers'!T203*ManwithbedN2O)+('Mitigation drivers'!T204*PMwithoutlitterN2O)+('Mitigation drivers'!T205*PMwithlitterN2O)+('Mitigation drivers'!T207*DigesterN2OEF))/100</f>
        <v>1.6449999999999999E-2</v>
      </c>
      <c r="Z69" s="26">
        <f>(('Mitigation drivers'!U197*LagoonN2O)+('Mitigation drivers'!U198*LiquidN2O)+('Mitigation drivers'!U199*DrylotN2O)+('Mitigation drivers'!U200*SolidStorageN2O)+('Mitigation drivers'!U201*DailyspreadN2O)+('Mitigation drivers'!U202*CompostN2O)+('Mitigation drivers'!U203*ManwithbedN2O)+('Mitigation drivers'!U204*PMwithoutlitterN2O)+('Mitigation drivers'!U205*PMwithlitterN2O)+('Mitigation drivers'!U207*DigesterN2OEF))/100</f>
        <v>1.6449999999999999E-2</v>
      </c>
      <c r="AA69" s="26">
        <f>(('Mitigation drivers'!V197*LagoonN2O)+('Mitigation drivers'!V198*LiquidN2O)+('Mitigation drivers'!V199*DrylotN2O)+('Mitigation drivers'!V200*SolidStorageN2O)+('Mitigation drivers'!V201*DailyspreadN2O)+('Mitigation drivers'!V202*CompostN2O)+('Mitigation drivers'!V203*ManwithbedN2O)+('Mitigation drivers'!V204*PMwithoutlitterN2O)+('Mitigation drivers'!V205*PMwithlitterN2O)+('Mitigation drivers'!V207*DigesterN2OEF))/100</f>
        <v>1.6449999999999999E-2</v>
      </c>
      <c r="AB69" s="26">
        <f>(('Mitigation drivers'!W197*LagoonN2O)+('Mitigation drivers'!W198*LiquidN2O)+('Mitigation drivers'!W199*DrylotN2O)+('Mitigation drivers'!W200*SolidStorageN2O)+('Mitigation drivers'!W201*DailyspreadN2O)+('Mitigation drivers'!W202*CompostN2O)+('Mitigation drivers'!W203*ManwithbedN2O)+('Mitigation drivers'!W204*PMwithoutlitterN2O)+('Mitigation drivers'!W205*PMwithlitterN2O)+('Mitigation drivers'!W207*DigesterN2OEF))/100</f>
        <v>1.6449999999999999E-2</v>
      </c>
      <c r="AC69" s="26">
        <f>(('Mitigation drivers'!X197*LagoonN2O)+('Mitigation drivers'!X198*LiquidN2O)+('Mitigation drivers'!X199*DrylotN2O)+('Mitigation drivers'!X200*SolidStorageN2O)+('Mitigation drivers'!X201*DailyspreadN2O)+('Mitigation drivers'!X202*CompostN2O)+('Mitigation drivers'!X203*ManwithbedN2O)+('Mitigation drivers'!X204*PMwithoutlitterN2O)+('Mitigation drivers'!X205*PMwithlitterN2O)+('Mitigation drivers'!X207*DigesterN2OEF))/100</f>
        <v>1.6449999999999999E-2</v>
      </c>
      <c r="AD69" s="26">
        <f>(('Mitigation drivers'!Y197*LagoonN2O)+('Mitigation drivers'!Y198*LiquidN2O)+('Mitigation drivers'!Y199*DrylotN2O)+('Mitigation drivers'!Y200*SolidStorageN2O)+('Mitigation drivers'!Y201*DailyspreadN2O)+('Mitigation drivers'!Y202*CompostN2O)+('Mitigation drivers'!Y203*ManwithbedN2O)+('Mitigation drivers'!Y204*PMwithoutlitterN2O)+('Mitigation drivers'!Y205*PMwithlitterN2O)+('Mitigation drivers'!Y207*DigesterN2OEF))/100</f>
        <v>1.6449999999999999E-2</v>
      </c>
      <c r="AE69" s="26">
        <f>(('Mitigation drivers'!Z197*LagoonN2O)+('Mitigation drivers'!Z198*LiquidN2O)+('Mitigation drivers'!Z199*DrylotN2O)+('Mitigation drivers'!Z200*SolidStorageN2O)+('Mitigation drivers'!Z201*DailyspreadN2O)+('Mitigation drivers'!Z202*CompostN2O)+('Mitigation drivers'!Z203*ManwithbedN2O)+('Mitigation drivers'!Z204*PMwithoutlitterN2O)+('Mitigation drivers'!Z205*PMwithlitterN2O)+('Mitigation drivers'!Z207*DigesterN2OEF))/100</f>
        <v>1.6449999999999999E-2</v>
      </c>
      <c r="AF69" s="26">
        <f>(('Mitigation drivers'!AA197*LagoonN2O)+('Mitigation drivers'!AA198*LiquidN2O)+('Mitigation drivers'!AA199*DrylotN2O)+('Mitigation drivers'!AA200*SolidStorageN2O)+('Mitigation drivers'!AA201*DailyspreadN2O)+('Mitigation drivers'!AA202*CompostN2O)+('Mitigation drivers'!AA203*ManwithbedN2O)+('Mitigation drivers'!AA204*PMwithoutlitterN2O)+('Mitigation drivers'!AA205*PMwithlitterN2O)+('Mitigation drivers'!AA207*DigesterN2OEF))/100</f>
        <v>1.6449999999999999E-2</v>
      </c>
      <c r="AG69" s="26">
        <f>(('Mitigation drivers'!AB197*LagoonN2O)+('Mitigation drivers'!AB198*LiquidN2O)+('Mitigation drivers'!AB199*DrylotN2O)+('Mitigation drivers'!AB200*SolidStorageN2O)+('Mitigation drivers'!AB201*DailyspreadN2O)+('Mitigation drivers'!AB202*CompostN2O)+('Mitigation drivers'!AB203*ManwithbedN2O)+('Mitigation drivers'!AB204*PMwithoutlitterN2O)+('Mitigation drivers'!AB205*PMwithlitterN2O)+('Mitigation drivers'!AB207*DigesterN2OEF))/100</f>
        <v>1.6449999999999999E-2</v>
      </c>
      <c r="AH69" s="26">
        <f>(('Mitigation drivers'!AC197*LagoonN2O)+('Mitigation drivers'!AC198*LiquidN2O)+('Mitigation drivers'!AC199*DrylotN2O)+('Mitigation drivers'!AC200*SolidStorageN2O)+('Mitigation drivers'!AC201*DailyspreadN2O)+('Mitigation drivers'!AC202*CompostN2O)+('Mitigation drivers'!AC203*ManwithbedN2O)+('Mitigation drivers'!AC204*PMwithoutlitterN2O)+('Mitigation drivers'!AC205*PMwithlitterN2O)+('Mitigation drivers'!AC207*DigesterN2OEF))/100</f>
        <v>1.6449999999999999E-2</v>
      </c>
      <c r="AI69" s="26">
        <f>(('Mitigation drivers'!AD197*LagoonN2O)+('Mitigation drivers'!AD198*LiquidN2O)+('Mitigation drivers'!AD199*DrylotN2O)+('Mitigation drivers'!AD200*SolidStorageN2O)+('Mitigation drivers'!AD201*DailyspreadN2O)+('Mitigation drivers'!AD202*CompostN2O)+('Mitigation drivers'!AD203*ManwithbedN2O)+('Mitigation drivers'!AD204*PMwithoutlitterN2O)+('Mitigation drivers'!AD205*PMwithlitterN2O)+('Mitigation drivers'!AD207*DigesterN2OEF))/100</f>
        <v>1.6449999999999999E-2</v>
      </c>
      <c r="AJ69" s="26">
        <f>(('Mitigation drivers'!AE197*LagoonN2O)+('Mitigation drivers'!AE198*LiquidN2O)+('Mitigation drivers'!AE199*DrylotN2O)+('Mitigation drivers'!AE200*SolidStorageN2O)+('Mitigation drivers'!AE201*DailyspreadN2O)+('Mitigation drivers'!AE202*CompostN2O)+('Mitigation drivers'!AE203*ManwithbedN2O)+('Mitigation drivers'!AE204*PMwithoutlitterN2O)+('Mitigation drivers'!AE205*PMwithlitterN2O)+('Mitigation drivers'!AE207*DigesterN2OEF))/100</f>
        <v>1.6449999999999999E-2</v>
      </c>
      <c r="AK69" s="26">
        <f>(('Mitigation drivers'!AF197*LagoonN2O)+('Mitigation drivers'!AF198*LiquidN2O)+('Mitigation drivers'!AF199*DrylotN2O)+('Mitigation drivers'!AF200*SolidStorageN2O)+('Mitigation drivers'!AF201*DailyspreadN2O)+('Mitigation drivers'!AF202*CompostN2O)+('Mitigation drivers'!AF203*ManwithbedN2O)+('Mitigation drivers'!AF204*PMwithoutlitterN2O)+('Mitigation drivers'!AF205*PMwithlitterN2O)+('Mitigation drivers'!AF207*DigesterN2OEF))/100</f>
        <v>1.6449999999999999E-2</v>
      </c>
      <c r="AL69" s="26">
        <f>(('Mitigation drivers'!AG197*LagoonN2O)+('Mitigation drivers'!AG198*LiquidN2O)+('Mitigation drivers'!AG199*DrylotN2O)+('Mitigation drivers'!AG200*SolidStorageN2O)+('Mitigation drivers'!AG201*DailyspreadN2O)+('Mitigation drivers'!AG202*CompostN2O)+('Mitigation drivers'!AG203*ManwithbedN2O)+('Mitigation drivers'!AG204*PMwithoutlitterN2O)+('Mitigation drivers'!AG205*PMwithlitterN2O)+('Mitigation drivers'!AG207*DigesterN2OEF))/100</f>
        <v>1.6449999999999999E-2</v>
      </c>
      <c r="AM69" s="26">
        <f>(('Mitigation drivers'!AH197*LagoonN2O)+('Mitigation drivers'!AH198*LiquidN2O)+('Mitigation drivers'!AH199*DrylotN2O)+('Mitigation drivers'!AH200*SolidStorageN2O)+('Mitigation drivers'!AH201*DailyspreadN2O)+('Mitigation drivers'!AH202*CompostN2O)+('Mitigation drivers'!AH203*ManwithbedN2O)+('Mitigation drivers'!AH204*PMwithoutlitterN2O)+('Mitigation drivers'!AH205*PMwithlitterN2O)+('Mitigation drivers'!AH207*DigesterN2OEF))/100</f>
        <v>1.6449999999999999E-2</v>
      </c>
      <c r="AN69" s="26">
        <f>(('Mitigation drivers'!AI197*LagoonN2O)+('Mitigation drivers'!AI198*LiquidN2O)+('Mitigation drivers'!AI199*DrylotN2O)+('Mitigation drivers'!AI200*SolidStorageN2O)+('Mitigation drivers'!AI201*DailyspreadN2O)+('Mitigation drivers'!AI202*CompostN2O)+('Mitigation drivers'!AI203*ManwithbedN2O)+('Mitigation drivers'!AI204*PMwithoutlitterN2O)+('Mitigation drivers'!AI205*PMwithlitterN2O)+('Mitigation drivers'!AI207*DigesterN2OEF))/100</f>
        <v>1.6449999999999999E-2</v>
      </c>
      <c r="AO69" s="26">
        <f>(('Mitigation drivers'!AJ197*LagoonN2O)+('Mitigation drivers'!AJ198*LiquidN2O)+('Mitigation drivers'!AJ199*DrylotN2O)+('Mitigation drivers'!AJ200*SolidStorageN2O)+('Mitigation drivers'!AJ201*DailyspreadN2O)+('Mitigation drivers'!AJ202*CompostN2O)+('Mitigation drivers'!AJ203*ManwithbedN2O)+('Mitigation drivers'!AJ204*PMwithoutlitterN2O)+('Mitigation drivers'!AJ205*PMwithlitterN2O)+('Mitigation drivers'!AJ207*DigesterN2OEF))/100</f>
        <v>1.6449999999999999E-2</v>
      </c>
    </row>
    <row r="70" spans="1:41" x14ac:dyDescent="0.25">
      <c r="A70" t="str">
        <f t="shared" ref="A70:A71" si="30">A69</f>
        <v>3A Livestock</v>
      </c>
      <c r="B70" t="str">
        <f t="shared" si="8"/>
        <v>3A2 Manure management (N2O)</v>
      </c>
      <c r="C70" t="str">
        <f>'Activity data'!C21</f>
        <v>3A2i Poultry</v>
      </c>
      <c r="D70" t="str">
        <f>'Activity data'!D21</f>
        <v>Subsistence layers</v>
      </c>
      <c r="E70" t="str">
        <f t="shared" si="27"/>
        <v>Manure management EF</v>
      </c>
      <c r="F70" t="str">
        <f t="shared" si="28"/>
        <v>N2O</v>
      </c>
      <c r="G70" t="str">
        <f t="shared" si="29"/>
        <v>kg N2O-N/kg Nex</v>
      </c>
      <c r="H70" s="26">
        <f>(('Mitigation drivers'!C209*LagoonN2O)+('Mitigation drivers'!C210*LiquidN2O)+('Mitigation drivers'!C211*DrylotN2O)+('Mitigation drivers'!C212*SolidStorageN2O)+('Mitigation drivers'!C213*DailyspreadN2O)+('Mitigation drivers'!C214*CompostN2O)+('Mitigation drivers'!C215*ManwithbedN2O)+('Mitigation drivers'!C216*PMwithoutlitterN2O)+('Mitigation drivers'!C217*PMwithlitterN2O)+('Mitigation drivers'!C219*DigesterN2OEF))/100</f>
        <v>1.4700000000000001E-2</v>
      </c>
      <c r="I70" s="26">
        <f>(('Mitigation drivers'!D209*LagoonN2O)+('Mitigation drivers'!D210*LiquidN2O)+('Mitigation drivers'!D211*DrylotN2O)+('Mitigation drivers'!D212*SolidStorageN2O)+('Mitigation drivers'!D213*DailyspreadN2O)+('Mitigation drivers'!D214*CompostN2O)+('Mitigation drivers'!D215*ManwithbedN2O)+('Mitigation drivers'!D216*PMwithoutlitterN2O)+('Mitigation drivers'!D217*PMwithlitterN2O)+('Mitigation drivers'!D219*DigesterN2OEF))/100</f>
        <v>1.4700000000000001E-2</v>
      </c>
      <c r="J70" s="26">
        <f>(('Mitigation drivers'!E209*LagoonN2O)+('Mitigation drivers'!E210*LiquidN2O)+('Mitigation drivers'!E211*DrylotN2O)+('Mitigation drivers'!E212*SolidStorageN2O)+('Mitigation drivers'!E213*DailyspreadN2O)+('Mitigation drivers'!E214*CompostN2O)+('Mitigation drivers'!E215*ManwithbedN2O)+('Mitigation drivers'!E216*PMwithoutlitterN2O)+('Mitigation drivers'!E217*PMwithlitterN2O)+('Mitigation drivers'!E219*DigesterN2OEF))/100</f>
        <v>1.4700000000000001E-2</v>
      </c>
      <c r="K70" s="26">
        <f>(('Mitigation drivers'!F209*LagoonN2O)+('Mitigation drivers'!F210*LiquidN2O)+('Mitigation drivers'!F211*DrylotN2O)+('Mitigation drivers'!F212*SolidStorageN2O)+('Mitigation drivers'!F213*DailyspreadN2O)+('Mitigation drivers'!F214*CompostN2O)+('Mitigation drivers'!F215*ManwithbedN2O)+('Mitigation drivers'!F216*PMwithoutlitterN2O)+('Mitigation drivers'!F217*PMwithlitterN2O)+('Mitigation drivers'!F219*DigesterN2OEF))/100</f>
        <v>1.4700000000000001E-2</v>
      </c>
      <c r="L70" s="26">
        <f>(('Mitigation drivers'!G209*LagoonN2O)+('Mitigation drivers'!G210*LiquidN2O)+('Mitigation drivers'!G211*DrylotN2O)+('Mitigation drivers'!G212*SolidStorageN2O)+('Mitigation drivers'!G213*DailyspreadN2O)+('Mitigation drivers'!G214*CompostN2O)+('Mitigation drivers'!G215*ManwithbedN2O)+('Mitigation drivers'!G216*PMwithoutlitterN2O)+('Mitigation drivers'!G217*PMwithlitterN2O)+('Mitigation drivers'!G219*DigesterN2OEF))/100</f>
        <v>1.4700000000000001E-2</v>
      </c>
      <c r="M70" s="26">
        <f>(('Mitigation drivers'!H209*LagoonN2O)+('Mitigation drivers'!H210*LiquidN2O)+('Mitigation drivers'!H211*DrylotN2O)+('Mitigation drivers'!H212*SolidStorageN2O)+('Mitigation drivers'!H213*DailyspreadN2O)+('Mitigation drivers'!H214*CompostN2O)+('Mitigation drivers'!H215*ManwithbedN2O)+('Mitigation drivers'!H216*PMwithoutlitterN2O)+('Mitigation drivers'!H217*PMwithlitterN2O)+('Mitigation drivers'!H219*DigesterN2OEF))/100</f>
        <v>1.4700000000000001E-2</v>
      </c>
      <c r="N70" s="26">
        <f>(('Mitigation drivers'!I209*LagoonN2O)+('Mitigation drivers'!I210*LiquidN2O)+('Mitigation drivers'!I211*DrylotN2O)+('Mitigation drivers'!I212*SolidStorageN2O)+('Mitigation drivers'!I213*DailyspreadN2O)+('Mitigation drivers'!I214*CompostN2O)+('Mitigation drivers'!I215*ManwithbedN2O)+('Mitigation drivers'!I216*PMwithoutlitterN2O)+('Mitigation drivers'!I217*PMwithlitterN2O)+('Mitigation drivers'!I219*DigesterN2OEF))/100</f>
        <v>1.4700000000000001E-2</v>
      </c>
      <c r="O70" s="26">
        <f>(('Mitigation drivers'!J209*LagoonN2O)+('Mitigation drivers'!J210*LiquidN2O)+('Mitigation drivers'!J211*DrylotN2O)+('Mitigation drivers'!J212*SolidStorageN2O)+('Mitigation drivers'!J213*DailyspreadN2O)+('Mitigation drivers'!J214*CompostN2O)+('Mitigation drivers'!J215*ManwithbedN2O)+('Mitigation drivers'!J216*PMwithoutlitterN2O)+('Mitigation drivers'!J217*PMwithlitterN2O)+('Mitigation drivers'!J219*DigesterN2OEF))/100</f>
        <v>1.4700000000000001E-2</v>
      </c>
      <c r="P70" s="26">
        <f>(('Mitigation drivers'!K209*LagoonN2O)+('Mitigation drivers'!K210*LiquidN2O)+('Mitigation drivers'!K211*DrylotN2O)+('Mitigation drivers'!K212*SolidStorageN2O)+('Mitigation drivers'!K213*DailyspreadN2O)+('Mitigation drivers'!K214*CompostN2O)+('Mitigation drivers'!K215*ManwithbedN2O)+('Mitigation drivers'!K216*PMwithoutlitterN2O)+('Mitigation drivers'!K217*PMwithlitterN2O)+('Mitigation drivers'!K219*DigesterN2OEF))/100</f>
        <v>1.4700000000000001E-2</v>
      </c>
      <c r="Q70" s="26">
        <f>(('Mitigation drivers'!L209*LagoonN2O)+('Mitigation drivers'!L210*LiquidN2O)+('Mitigation drivers'!L211*DrylotN2O)+('Mitigation drivers'!L212*SolidStorageN2O)+('Mitigation drivers'!L213*DailyspreadN2O)+('Mitigation drivers'!L214*CompostN2O)+('Mitigation drivers'!L215*ManwithbedN2O)+('Mitigation drivers'!L216*PMwithoutlitterN2O)+('Mitigation drivers'!L217*PMwithlitterN2O)+('Mitigation drivers'!L219*DigesterN2OEF))/100</f>
        <v>1.4700000000000001E-2</v>
      </c>
      <c r="R70" s="26">
        <f>(('Mitigation drivers'!M209*LagoonN2O)+('Mitigation drivers'!M210*LiquidN2O)+('Mitigation drivers'!M211*DrylotN2O)+('Mitigation drivers'!M212*SolidStorageN2O)+('Mitigation drivers'!M213*DailyspreadN2O)+('Mitigation drivers'!M214*CompostN2O)+('Mitigation drivers'!M215*ManwithbedN2O)+('Mitigation drivers'!M216*PMwithoutlitterN2O)+('Mitigation drivers'!M217*PMwithlitterN2O)+('Mitigation drivers'!M219*DigesterN2OEF))/100</f>
        <v>1.4700000000000001E-2</v>
      </c>
      <c r="S70" s="26">
        <f>(('Mitigation drivers'!N209*LagoonN2O)+('Mitigation drivers'!N210*LiquidN2O)+('Mitigation drivers'!N211*DrylotN2O)+('Mitigation drivers'!N212*SolidStorageN2O)+('Mitigation drivers'!N213*DailyspreadN2O)+('Mitigation drivers'!N214*CompostN2O)+('Mitigation drivers'!N215*ManwithbedN2O)+('Mitigation drivers'!N216*PMwithoutlitterN2O)+('Mitigation drivers'!N217*PMwithlitterN2O)+('Mitigation drivers'!N219*DigesterN2OEF))/100</f>
        <v>1.4700000000000001E-2</v>
      </c>
      <c r="T70" s="26">
        <f>(('Mitigation drivers'!O209*LagoonN2O)+('Mitigation drivers'!O210*LiquidN2O)+('Mitigation drivers'!O211*DrylotN2O)+('Mitigation drivers'!O212*SolidStorageN2O)+('Mitigation drivers'!O213*DailyspreadN2O)+('Mitigation drivers'!O214*CompostN2O)+('Mitigation drivers'!O215*ManwithbedN2O)+('Mitigation drivers'!O216*PMwithoutlitterN2O)+('Mitigation drivers'!O217*PMwithlitterN2O)+('Mitigation drivers'!O219*DigesterN2OEF))/100</f>
        <v>1.4700000000000001E-2</v>
      </c>
      <c r="U70" s="26">
        <f>(('Mitigation drivers'!P209*LagoonN2O)+('Mitigation drivers'!P210*LiquidN2O)+('Mitigation drivers'!P211*DrylotN2O)+('Mitigation drivers'!P212*SolidStorageN2O)+('Mitigation drivers'!P213*DailyspreadN2O)+('Mitigation drivers'!P214*CompostN2O)+('Mitigation drivers'!P215*ManwithbedN2O)+('Mitigation drivers'!P216*PMwithoutlitterN2O)+('Mitigation drivers'!P217*PMwithlitterN2O)+('Mitigation drivers'!P219*DigesterN2OEF))/100</f>
        <v>1.4700000000000001E-2</v>
      </c>
      <c r="V70" s="26">
        <f>(('Mitigation drivers'!Q209*LagoonN2O)+('Mitigation drivers'!Q210*LiquidN2O)+('Mitigation drivers'!Q211*DrylotN2O)+('Mitigation drivers'!Q212*SolidStorageN2O)+('Mitigation drivers'!Q213*DailyspreadN2O)+('Mitigation drivers'!Q214*CompostN2O)+('Mitigation drivers'!Q215*ManwithbedN2O)+('Mitigation drivers'!Q216*PMwithoutlitterN2O)+('Mitigation drivers'!Q217*PMwithlitterN2O)+('Mitigation drivers'!Q219*DigesterN2OEF))/100</f>
        <v>1.4700000000000001E-2</v>
      </c>
      <c r="W70" s="26">
        <f>(('Mitigation drivers'!R209*LagoonN2O)+('Mitigation drivers'!R210*LiquidN2O)+('Mitigation drivers'!R211*DrylotN2O)+('Mitigation drivers'!R212*SolidStorageN2O)+('Mitigation drivers'!R213*DailyspreadN2O)+('Mitigation drivers'!R214*CompostN2O)+('Mitigation drivers'!R215*ManwithbedN2O)+('Mitigation drivers'!R216*PMwithoutlitterN2O)+('Mitigation drivers'!R217*PMwithlitterN2O)+('Mitigation drivers'!R219*DigesterN2OEF))/100</f>
        <v>1.4700000000000001E-2</v>
      </c>
      <c r="X70" s="26">
        <f>(('Mitigation drivers'!S209*LagoonN2O)+('Mitigation drivers'!S210*LiquidN2O)+('Mitigation drivers'!S211*DrylotN2O)+('Mitigation drivers'!S212*SolidStorageN2O)+('Mitigation drivers'!S213*DailyspreadN2O)+('Mitigation drivers'!S214*CompostN2O)+('Mitigation drivers'!S215*ManwithbedN2O)+('Mitigation drivers'!S216*PMwithoutlitterN2O)+('Mitigation drivers'!S217*PMwithlitterN2O)+('Mitigation drivers'!S219*DigesterN2OEF))/100</f>
        <v>1.4700000000000001E-2</v>
      </c>
      <c r="Y70" s="26">
        <f>(('Mitigation drivers'!T209*LagoonN2O)+('Mitigation drivers'!T210*LiquidN2O)+('Mitigation drivers'!T211*DrylotN2O)+('Mitigation drivers'!T212*SolidStorageN2O)+('Mitigation drivers'!T213*DailyspreadN2O)+('Mitigation drivers'!T214*CompostN2O)+('Mitigation drivers'!T215*ManwithbedN2O)+('Mitigation drivers'!T216*PMwithoutlitterN2O)+('Mitigation drivers'!T217*PMwithlitterN2O)+('Mitigation drivers'!T219*DigesterN2OEF))/100</f>
        <v>1.4700000000000001E-2</v>
      </c>
      <c r="Z70" s="26">
        <f>(('Mitigation drivers'!U209*LagoonN2O)+('Mitigation drivers'!U210*LiquidN2O)+('Mitigation drivers'!U211*DrylotN2O)+('Mitigation drivers'!U212*SolidStorageN2O)+('Mitigation drivers'!U213*DailyspreadN2O)+('Mitigation drivers'!U214*CompostN2O)+('Mitigation drivers'!U215*ManwithbedN2O)+('Mitigation drivers'!U216*PMwithoutlitterN2O)+('Mitigation drivers'!U217*PMwithlitterN2O)+('Mitigation drivers'!U219*DigesterN2OEF))/100</f>
        <v>1.4700000000000001E-2</v>
      </c>
      <c r="AA70" s="26">
        <f>(('Mitigation drivers'!V209*LagoonN2O)+('Mitigation drivers'!V210*LiquidN2O)+('Mitigation drivers'!V211*DrylotN2O)+('Mitigation drivers'!V212*SolidStorageN2O)+('Mitigation drivers'!V213*DailyspreadN2O)+('Mitigation drivers'!V214*CompostN2O)+('Mitigation drivers'!V215*ManwithbedN2O)+('Mitigation drivers'!V216*PMwithoutlitterN2O)+('Mitigation drivers'!V217*PMwithlitterN2O)+('Mitigation drivers'!V219*DigesterN2OEF))/100</f>
        <v>1.4700000000000001E-2</v>
      </c>
      <c r="AB70" s="26">
        <f>(('Mitigation drivers'!W209*LagoonN2O)+('Mitigation drivers'!W210*LiquidN2O)+('Mitigation drivers'!W211*DrylotN2O)+('Mitigation drivers'!W212*SolidStorageN2O)+('Mitigation drivers'!W213*DailyspreadN2O)+('Mitigation drivers'!W214*CompostN2O)+('Mitigation drivers'!W215*ManwithbedN2O)+('Mitigation drivers'!W216*PMwithoutlitterN2O)+('Mitigation drivers'!W217*PMwithlitterN2O)+('Mitigation drivers'!W219*DigesterN2OEF))/100</f>
        <v>1.4700000000000001E-2</v>
      </c>
      <c r="AC70" s="26">
        <f>(('Mitigation drivers'!X209*LagoonN2O)+('Mitigation drivers'!X210*LiquidN2O)+('Mitigation drivers'!X211*DrylotN2O)+('Mitigation drivers'!X212*SolidStorageN2O)+('Mitigation drivers'!X213*DailyspreadN2O)+('Mitigation drivers'!X214*CompostN2O)+('Mitigation drivers'!X215*ManwithbedN2O)+('Mitigation drivers'!X216*PMwithoutlitterN2O)+('Mitigation drivers'!X217*PMwithlitterN2O)+('Mitigation drivers'!X219*DigesterN2OEF))/100</f>
        <v>1.4700000000000001E-2</v>
      </c>
      <c r="AD70" s="26">
        <f>(('Mitigation drivers'!Y209*LagoonN2O)+('Mitigation drivers'!Y210*LiquidN2O)+('Mitigation drivers'!Y211*DrylotN2O)+('Mitigation drivers'!Y212*SolidStorageN2O)+('Mitigation drivers'!Y213*DailyspreadN2O)+('Mitigation drivers'!Y214*CompostN2O)+('Mitigation drivers'!Y215*ManwithbedN2O)+('Mitigation drivers'!Y216*PMwithoutlitterN2O)+('Mitigation drivers'!Y217*PMwithlitterN2O)+('Mitigation drivers'!Y219*DigesterN2OEF))/100</f>
        <v>1.4700000000000001E-2</v>
      </c>
      <c r="AE70" s="26">
        <f>(('Mitigation drivers'!Z209*LagoonN2O)+('Mitigation drivers'!Z210*LiquidN2O)+('Mitigation drivers'!Z211*DrylotN2O)+('Mitigation drivers'!Z212*SolidStorageN2O)+('Mitigation drivers'!Z213*DailyspreadN2O)+('Mitigation drivers'!Z214*CompostN2O)+('Mitigation drivers'!Z215*ManwithbedN2O)+('Mitigation drivers'!Z216*PMwithoutlitterN2O)+('Mitigation drivers'!Z217*PMwithlitterN2O)+('Mitigation drivers'!Z219*DigesterN2OEF))/100</f>
        <v>1.4700000000000001E-2</v>
      </c>
      <c r="AF70" s="26">
        <f>(('Mitigation drivers'!AA209*LagoonN2O)+('Mitigation drivers'!AA210*LiquidN2O)+('Mitigation drivers'!AA211*DrylotN2O)+('Mitigation drivers'!AA212*SolidStorageN2O)+('Mitigation drivers'!AA213*DailyspreadN2O)+('Mitigation drivers'!AA214*CompostN2O)+('Mitigation drivers'!AA215*ManwithbedN2O)+('Mitigation drivers'!AA216*PMwithoutlitterN2O)+('Mitigation drivers'!AA217*PMwithlitterN2O)+('Mitigation drivers'!AA219*DigesterN2OEF))/100</f>
        <v>1.4700000000000001E-2</v>
      </c>
      <c r="AG70" s="26">
        <f>(('Mitigation drivers'!AB209*LagoonN2O)+('Mitigation drivers'!AB210*LiquidN2O)+('Mitigation drivers'!AB211*DrylotN2O)+('Mitigation drivers'!AB212*SolidStorageN2O)+('Mitigation drivers'!AB213*DailyspreadN2O)+('Mitigation drivers'!AB214*CompostN2O)+('Mitigation drivers'!AB215*ManwithbedN2O)+('Mitigation drivers'!AB216*PMwithoutlitterN2O)+('Mitigation drivers'!AB217*PMwithlitterN2O)+('Mitigation drivers'!AB219*DigesterN2OEF))/100</f>
        <v>1.4700000000000001E-2</v>
      </c>
      <c r="AH70" s="26">
        <f>(('Mitigation drivers'!AC209*LagoonN2O)+('Mitigation drivers'!AC210*LiquidN2O)+('Mitigation drivers'!AC211*DrylotN2O)+('Mitigation drivers'!AC212*SolidStorageN2O)+('Mitigation drivers'!AC213*DailyspreadN2O)+('Mitigation drivers'!AC214*CompostN2O)+('Mitigation drivers'!AC215*ManwithbedN2O)+('Mitigation drivers'!AC216*PMwithoutlitterN2O)+('Mitigation drivers'!AC217*PMwithlitterN2O)+('Mitigation drivers'!AC219*DigesterN2OEF))/100</f>
        <v>1.4700000000000001E-2</v>
      </c>
      <c r="AI70" s="26">
        <f>(('Mitigation drivers'!AD209*LagoonN2O)+('Mitigation drivers'!AD210*LiquidN2O)+('Mitigation drivers'!AD211*DrylotN2O)+('Mitigation drivers'!AD212*SolidStorageN2O)+('Mitigation drivers'!AD213*DailyspreadN2O)+('Mitigation drivers'!AD214*CompostN2O)+('Mitigation drivers'!AD215*ManwithbedN2O)+('Mitigation drivers'!AD216*PMwithoutlitterN2O)+('Mitigation drivers'!AD217*PMwithlitterN2O)+('Mitigation drivers'!AD219*DigesterN2OEF))/100</f>
        <v>1.4700000000000001E-2</v>
      </c>
      <c r="AJ70" s="26">
        <f>(('Mitigation drivers'!AE209*LagoonN2O)+('Mitigation drivers'!AE210*LiquidN2O)+('Mitigation drivers'!AE211*DrylotN2O)+('Mitigation drivers'!AE212*SolidStorageN2O)+('Mitigation drivers'!AE213*DailyspreadN2O)+('Mitigation drivers'!AE214*CompostN2O)+('Mitigation drivers'!AE215*ManwithbedN2O)+('Mitigation drivers'!AE216*PMwithoutlitterN2O)+('Mitigation drivers'!AE217*PMwithlitterN2O)+('Mitigation drivers'!AE219*DigesterN2OEF))/100</f>
        <v>1.4700000000000001E-2</v>
      </c>
      <c r="AK70" s="26">
        <f>(('Mitigation drivers'!AF209*LagoonN2O)+('Mitigation drivers'!AF210*LiquidN2O)+('Mitigation drivers'!AF211*DrylotN2O)+('Mitigation drivers'!AF212*SolidStorageN2O)+('Mitigation drivers'!AF213*DailyspreadN2O)+('Mitigation drivers'!AF214*CompostN2O)+('Mitigation drivers'!AF215*ManwithbedN2O)+('Mitigation drivers'!AF216*PMwithoutlitterN2O)+('Mitigation drivers'!AF217*PMwithlitterN2O)+('Mitigation drivers'!AF219*DigesterN2OEF))/100</f>
        <v>1.4700000000000001E-2</v>
      </c>
      <c r="AL70" s="26">
        <f>(('Mitigation drivers'!AG209*LagoonN2O)+('Mitigation drivers'!AG210*LiquidN2O)+('Mitigation drivers'!AG211*DrylotN2O)+('Mitigation drivers'!AG212*SolidStorageN2O)+('Mitigation drivers'!AG213*DailyspreadN2O)+('Mitigation drivers'!AG214*CompostN2O)+('Mitigation drivers'!AG215*ManwithbedN2O)+('Mitigation drivers'!AG216*PMwithoutlitterN2O)+('Mitigation drivers'!AG217*PMwithlitterN2O)+('Mitigation drivers'!AG219*DigesterN2OEF))/100</f>
        <v>1.4700000000000001E-2</v>
      </c>
      <c r="AM70" s="26">
        <f>(('Mitigation drivers'!AH209*LagoonN2O)+('Mitigation drivers'!AH210*LiquidN2O)+('Mitigation drivers'!AH211*DrylotN2O)+('Mitigation drivers'!AH212*SolidStorageN2O)+('Mitigation drivers'!AH213*DailyspreadN2O)+('Mitigation drivers'!AH214*CompostN2O)+('Mitigation drivers'!AH215*ManwithbedN2O)+('Mitigation drivers'!AH216*PMwithoutlitterN2O)+('Mitigation drivers'!AH217*PMwithlitterN2O)+('Mitigation drivers'!AH219*DigesterN2OEF))/100</f>
        <v>1.4700000000000001E-2</v>
      </c>
      <c r="AN70" s="26">
        <f>(('Mitigation drivers'!AI209*LagoonN2O)+('Mitigation drivers'!AI210*LiquidN2O)+('Mitigation drivers'!AI211*DrylotN2O)+('Mitigation drivers'!AI212*SolidStorageN2O)+('Mitigation drivers'!AI213*DailyspreadN2O)+('Mitigation drivers'!AI214*CompostN2O)+('Mitigation drivers'!AI215*ManwithbedN2O)+('Mitigation drivers'!AI216*PMwithoutlitterN2O)+('Mitigation drivers'!AI217*PMwithlitterN2O)+('Mitigation drivers'!AI219*DigesterN2OEF))/100</f>
        <v>1.4700000000000001E-2</v>
      </c>
      <c r="AO70" s="26">
        <f>(('Mitigation drivers'!AJ209*LagoonN2O)+('Mitigation drivers'!AJ210*LiquidN2O)+('Mitigation drivers'!AJ211*DrylotN2O)+('Mitigation drivers'!AJ212*SolidStorageN2O)+('Mitigation drivers'!AJ213*DailyspreadN2O)+('Mitigation drivers'!AJ214*CompostN2O)+('Mitigation drivers'!AJ215*ManwithbedN2O)+('Mitigation drivers'!AJ216*PMwithoutlitterN2O)+('Mitigation drivers'!AJ217*PMwithlitterN2O)+('Mitigation drivers'!AJ219*DigesterN2OEF))/100</f>
        <v>1.4700000000000001E-2</v>
      </c>
    </row>
    <row r="71" spans="1:41" x14ac:dyDescent="0.25">
      <c r="A71" t="str">
        <f t="shared" si="30"/>
        <v>3A Livestock</v>
      </c>
      <c r="B71" t="str">
        <f t="shared" si="8"/>
        <v>3A2 Manure management (N2O)</v>
      </c>
      <c r="C71" t="str">
        <f>'Activity data'!C22</f>
        <v>3A2i Poultry</v>
      </c>
      <c r="D71" t="str">
        <f>'Activity data'!D22</f>
        <v>Subsistence broilers</v>
      </c>
      <c r="E71" t="str">
        <f t="shared" si="27"/>
        <v>Manure management EF</v>
      </c>
      <c r="F71" t="str">
        <f t="shared" si="28"/>
        <v>N2O</v>
      </c>
      <c r="G71" t="str">
        <f t="shared" si="29"/>
        <v>kg N2O-N/kg Nex</v>
      </c>
      <c r="H71" s="26">
        <f>(('Mitigation drivers'!C221*LagoonN2O)+('Mitigation drivers'!C222*LiquidN2O)+('Mitigation drivers'!C223*DrylotN2O)+('Mitigation drivers'!C224*SolidStorageN2O)+('Mitigation drivers'!C225*DailyspreadN2O)+('Mitigation drivers'!C226*CompostN2O)+('Mitigation drivers'!C227*ManwithbedN2O)+('Mitigation drivers'!C228*PMwithoutlitterN2O)+('Mitigation drivers'!C229*PMwithlitterN2O)+('Mitigation drivers'!C231*DigesterN2OEF))/100</f>
        <v>1.6449999999999999E-2</v>
      </c>
      <c r="I71" s="26">
        <f>(('Mitigation drivers'!D221*LagoonN2O)+('Mitigation drivers'!D222*LiquidN2O)+('Mitigation drivers'!D223*DrylotN2O)+('Mitigation drivers'!D224*SolidStorageN2O)+('Mitigation drivers'!D225*DailyspreadN2O)+('Mitigation drivers'!D226*CompostN2O)+('Mitigation drivers'!D227*ManwithbedN2O)+('Mitigation drivers'!D228*PMwithoutlitterN2O)+('Mitigation drivers'!D229*PMwithlitterN2O)+('Mitigation drivers'!D231*DigesterN2OEF))/100</f>
        <v>1.6449999999999999E-2</v>
      </c>
      <c r="J71" s="26">
        <f>(('Mitigation drivers'!E221*LagoonN2O)+('Mitigation drivers'!E222*LiquidN2O)+('Mitigation drivers'!E223*DrylotN2O)+('Mitigation drivers'!E224*SolidStorageN2O)+('Mitigation drivers'!E225*DailyspreadN2O)+('Mitigation drivers'!E226*CompostN2O)+('Mitigation drivers'!E227*ManwithbedN2O)+('Mitigation drivers'!E228*PMwithoutlitterN2O)+('Mitigation drivers'!E229*PMwithlitterN2O)+('Mitigation drivers'!E231*DigesterN2OEF))/100</f>
        <v>1.6449999999999999E-2</v>
      </c>
      <c r="K71" s="26">
        <f>(('Mitigation drivers'!F221*LagoonN2O)+('Mitigation drivers'!F222*LiquidN2O)+('Mitigation drivers'!F223*DrylotN2O)+('Mitigation drivers'!F224*SolidStorageN2O)+('Mitigation drivers'!F225*DailyspreadN2O)+('Mitigation drivers'!F226*CompostN2O)+('Mitigation drivers'!F227*ManwithbedN2O)+('Mitigation drivers'!F228*PMwithoutlitterN2O)+('Mitigation drivers'!F229*PMwithlitterN2O)+('Mitigation drivers'!F231*DigesterN2OEF))/100</f>
        <v>1.6449999999999999E-2</v>
      </c>
      <c r="L71" s="26">
        <f>(('Mitigation drivers'!G221*LagoonN2O)+('Mitigation drivers'!G222*LiquidN2O)+('Mitigation drivers'!G223*DrylotN2O)+('Mitigation drivers'!G224*SolidStorageN2O)+('Mitigation drivers'!G225*DailyspreadN2O)+('Mitigation drivers'!G226*CompostN2O)+('Mitigation drivers'!G227*ManwithbedN2O)+('Mitigation drivers'!G228*PMwithoutlitterN2O)+('Mitigation drivers'!G229*PMwithlitterN2O)+('Mitigation drivers'!G231*DigesterN2OEF))/100</f>
        <v>1.6449999999999999E-2</v>
      </c>
      <c r="M71" s="26">
        <f>(('Mitigation drivers'!H221*LagoonN2O)+('Mitigation drivers'!H222*LiquidN2O)+('Mitigation drivers'!H223*DrylotN2O)+('Mitigation drivers'!H224*SolidStorageN2O)+('Mitigation drivers'!H225*DailyspreadN2O)+('Mitigation drivers'!H226*CompostN2O)+('Mitigation drivers'!H227*ManwithbedN2O)+('Mitigation drivers'!H228*PMwithoutlitterN2O)+('Mitigation drivers'!H229*PMwithlitterN2O)+('Mitigation drivers'!H231*DigesterN2OEF))/100</f>
        <v>1.6449999999999999E-2</v>
      </c>
      <c r="N71" s="26">
        <f>(('Mitigation drivers'!I221*LagoonN2O)+('Mitigation drivers'!I222*LiquidN2O)+('Mitigation drivers'!I223*DrylotN2O)+('Mitigation drivers'!I224*SolidStorageN2O)+('Mitigation drivers'!I225*DailyspreadN2O)+('Mitigation drivers'!I226*CompostN2O)+('Mitigation drivers'!I227*ManwithbedN2O)+('Mitigation drivers'!I228*PMwithoutlitterN2O)+('Mitigation drivers'!I229*PMwithlitterN2O)+('Mitigation drivers'!I231*DigesterN2OEF))/100</f>
        <v>1.6449999999999999E-2</v>
      </c>
      <c r="O71" s="26">
        <f>(('Mitigation drivers'!J221*LagoonN2O)+('Mitigation drivers'!J222*LiquidN2O)+('Mitigation drivers'!J223*DrylotN2O)+('Mitigation drivers'!J224*SolidStorageN2O)+('Mitigation drivers'!J225*DailyspreadN2O)+('Mitigation drivers'!J226*CompostN2O)+('Mitigation drivers'!J227*ManwithbedN2O)+('Mitigation drivers'!J228*PMwithoutlitterN2O)+('Mitigation drivers'!J229*PMwithlitterN2O)+('Mitigation drivers'!J231*DigesterN2OEF))/100</f>
        <v>1.6449999999999999E-2</v>
      </c>
      <c r="P71" s="26">
        <f>(('Mitigation drivers'!K221*LagoonN2O)+('Mitigation drivers'!K222*LiquidN2O)+('Mitigation drivers'!K223*DrylotN2O)+('Mitigation drivers'!K224*SolidStorageN2O)+('Mitigation drivers'!K225*DailyspreadN2O)+('Mitigation drivers'!K226*CompostN2O)+('Mitigation drivers'!K227*ManwithbedN2O)+('Mitigation drivers'!K228*PMwithoutlitterN2O)+('Mitigation drivers'!K229*PMwithlitterN2O)+('Mitigation drivers'!K231*DigesterN2OEF))/100</f>
        <v>1.6449999999999999E-2</v>
      </c>
      <c r="Q71" s="26">
        <f>(('Mitigation drivers'!L221*LagoonN2O)+('Mitigation drivers'!L222*LiquidN2O)+('Mitigation drivers'!L223*DrylotN2O)+('Mitigation drivers'!L224*SolidStorageN2O)+('Mitigation drivers'!L225*DailyspreadN2O)+('Mitigation drivers'!L226*CompostN2O)+('Mitigation drivers'!L227*ManwithbedN2O)+('Mitigation drivers'!L228*PMwithoutlitterN2O)+('Mitigation drivers'!L229*PMwithlitterN2O)+('Mitigation drivers'!L231*DigesterN2OEF))/100</f>
        <v>1.6449999999999999E-2</v>
      </c>
      <c r="R71" s="26">
        <f>(('Mitigation drivers'!M221*LagoonN2O)+('Mitigation drivers'!M222*LiquidN2O)+('Mitigation drivers'!M223*DrylotN2O)+('Mitigation drivers'!M224*SolidStorageN2O)+('Mitigation drivers'!M225*DailyspreadN2O)+('Mitigation drivers'!M226*CompostN2O)+('Mitigation drivers'!M227*ManwithbedN2O)+('Mitigation drivers'!M228*PMwithoutlitterN2O)+('Mitigation drivers'!M229*PMwithlitterN2O)+('Mitigation drivers'!M231*DigesterN2OEF))/100</f>
        <v>1.6449999999999999E-2</v>
      </c>
      <c r="S71" s="26">
        <f>(('Mitigation drivers'!N221*LagoonN2O)+('Mitigation drivers'!N222*LiquidN2O)+('Mitigation drivers'!N223*DrylotN2O)+('Mitigation drivers'!N224*SolidStorageN2O)+('Mitigation drivers'!N225*DailyspreadN2O)+('Mitigation drivers'!N226*CompostN2O)+('Mitigation drivers'!N227*ManwithbedN2O)+('Mitigation drivers'!N228*PMwithoutlitterN2O)+('Mitigation drivers'!N229*PMwithlitterN2O)+('Mitigation drivers'!N231*DigesterN2OEF))/100</f>
        <v>1.6449999999999999E-2</v>
      </c>
      <c r="T71" s="26">
        <f>(('Mitigation drivers'!O221*LagoonN2O)+('Mitigation drivers'!O222*LiquidN2O)+('Mitigation drivers'!O223*DrylotN2O)+('Mitigation drivers'!O224*SolidStorageN2O)+('Mitigation drivers'!O225*DailyspreadN2O)+('Mitigation drivers'!O226*CompostN2O)+('Mitigation drivers'!O227*ManwithbedN2O)+('Mitigation drivers'!O228*PMwithoutlitterN2O)+('Mitigation drivers'!O229*PMwithlitterN2O)+('Mitigation drivers'!O231*DigesterN2OEF))/100</f>
        <v>1.6449999999999999E-2</v>
      </c>
      <c r="U71" s="26">
        <f>(('Mitigation drivers'!P221*LagoonN2O)+('Mitigation drivers'!P222*LiquidN2O)+('Mitigation drivers'!P223*DrylotN2O)+('Mitigation drivers'!P224*SolidStorageN2O)+('Mitigation drivers'!P225*DailyspreadN2O)+('Mitigation drivers'!P226*CompostN2O)+('Mitigation drivers'!P227*ManwithbedN2O)+('Mitigation drivers'!P228*PMwithoutlitterN2O)+('Mitigation drivers'!P229*PMwithlitterN2O)+('Mitigation drivers'!P231*DigesterN2OEF))/100</f>
        <v>1.6449999999999999E-2</v>
      </c>
      <c r="V71" s="26">
        <f>(('Mitigation drivers'!Q221*LagoonN2O)+('Mitigation drivers'!Q222*LiquidN2O)+('Mitigation drivers'!Q223*DrylotN2O)+('Mitigation drivers'!Q224*SolidStorageN2O)+('Mitigation drivers'!Q225*DailyspreadN2O)+('Mitigation drivers'!Q226*CompostN2O)+('Mitigation drivers'!Q227*ManwithbedN2O)+('Mitigation drivers'!Q228*PMwithoutlitterN2O)+('Mitigation drivers'!Q229*PMwithlitterN2O)+('Mitigation drivers'!Q231*DigesterN2OEF))/100</f>
        <v>1.6449999999999999E-2</v>
      </c>
      <c r="W71" s="26">
        <f>(('Mitigation drivers'!R221*LagoonN2O)+('Mitigation drivers'!R222*LiquidN2O)+('Mitigation drivers'!R223*DrylotN2O)+('Mitigation drivers'!R224*SolidStorageN2O)+('Mitigation drivers'!R225*DailyspreadN2O)+('Mitigation drivers'!R226*CompostN2O)+('Mitigation drivers'!R227*ManwithbedN2O)+('Mitigation drivers'!R228*PMwithoutlitterN2O)+('Mitigation drivers'!R229*PMwithlitterN2O)+('Mitigation drivers'!R231*DigesterN2OEF))/100</f>
        <v>1.6449999999999999E-2</v>
      </c>
      <c r="X71" s="26">
        <f>(('Mitigation drivers'!S221*LagoonN2O)+('Mitigation drivers'!S222*LiquidN2O)+('Mitigation drivers'!S223*DrylotN2O)+('Mitigation drivers'!S224*SolidStorageN2O)+('Mitigation drivers'!S225*DailyspreadN2O)+('Mitigation drivers'!S226*CompostN2O)+('Mitigation drivers'!S227*ManwithbedN2O)+('Mitigation drivers'!S228*PMwithoutlitterN2O)+('Mitigation drivers'!S229*PMwithlitterN2O)+('Mitigation drivers'!S231*DigesterN2OEF))/100</f>
        <v>1.6449999999999999E-2</v>
      </c>
      <c r="Y71" s="26">
        <f>(('Mitigation drivers'!T221*LagoonN2O)+('Mitigation drivers'!T222*LiquidN2O)+('Mitigation drivers'!T223*DrylotN2O)+('Mitigation drivers'!T224*SolidStorageN2O)+('Mitigation drivers'!T225*DailyspreadN2O)+('Mitigation drivers'!T226*CompostN2O)+('Mitigation drivers'!T227*ManwithbedN2O)+('Mitigation drivers'!T228*PMwithoutlitterN2O)+('Mitigation drivers'!T229*PMwithlitterN2O)+('Mitigation drivers'!T231*DigesterN2OEF))/100</f>
        <v>1.6449999999999999E-2</v>
      </c>
      <c r="Z71" s="26">
        <f>(('Mitigation drivers'!U221*LagoonN2O)+('Mitigation drivers'!U222*LiquidN2O)+('Mitigation drivers'!U223*DrylotN2O)+('Mitigation drivers'!U224*SolidStorageN2O)+('Mitigation drivers'!U225*DailyspreadN2O)+('Mitigation drivers'!U226*CompostN2O)+('Mitigation drivers'!U227*ManwithbedN2O)+('Mitigation drivers'!U228*PMwithoutlitterN2O)+('Mitigation drivers'!U229*PMwithlitterN2O)+('Mitigation drivers'!U231*DigesterN2OEF))/100</f>
        <v>1.6449999999999999E-2</v>
      </c>
      <c r="AA71" s="26">
        <f>(('Mitigation drivers'!V221*LagoonN2O)+('Mitigation drivers'!V222*LiquidN2O)+('Mitigation drivers'!V223*DrylotN2O)+('Mitigation drivers'!V224*SolidStorageN2O)+('Mitigation drivers'!V225*DailyspreadN2O)+('Mitigation drivers'!V226*CompostN2O)+('Mitigation drivers'!V227*ManwithbedN2O)+('Mitigation drivers'!V228*PMwithoutlitterN2O)+('Mitigation drivers'!V229*PMwithlitterN2O)+('Mitigation drivers'!V231*DigesterN2OEF))/100</f>
        <v>1.6449999999999999E-2</v>
      </c>
      <c r="AB71" s="26">
        <f>(('Mitigation drivers'!W221*LagoonN2O)+('Mitigation drivers'!W222*LiquidN2O)+('Mitigation drivers'!W223*DrylotN2O)+('Mitigation drivers'!W224*SolidStorageN2O)+('Mitigation drivers'!W225*DailyspreadN2O)+('Mitigation drivers'!W226*CompostN2O)+('Mitigation drivers'!W227*ManwithbedN2O)+('Mitigation drivers'!W228*PMwithoutlitterN2O)+('Mitigation drivers'!W229*PMwithlitterN2O)+('Mitigation drivers'!W231*DigesterN2OEF))/100</f>
        <v>1.6449999999999999E-2</v>
      </c>
      <c r="AC71" s="26">
        <f>(('Mitigation drivers'!X221*LagoonN2O)+('Mitigation drivers'!X222*LiquidN2O)+('Mitigation drivers'!X223*DrylotN2O)+('Mitigation drivers'!X224*SolidStorageN2O)+('Mitigation drivers'!X225*DailyspreadN2O)+('Mitigation drivers'!X226*CompostN2O)+('Mitigation drivers'!X227*ManwithbedN2O)+('Mitigation drivers'!X228*PMwithoutlitterN2O)+('Mitigation drivers'!X229*PMwithlitterN2O)+('Mitigation drivers'!X231*DigesterN2OEF))/100</f>
        <v>1.6449999999999999E-2</v>
      </c>
      <c r="AD71" s="26">
        <f>(('Mitigation drivers'!Y221*LagoonN2O)+('Mitigation drivers'!Y222*LiquidN2O)+('Mitigation drivers'!Y223*DrylotN2O)+('Mitigation drivers'!Y224*SolidStorageN2O)+('Mitigation drivers'!Y225*DailyspreadN2O)+('Mitigation drivers'!Y226*CompostN2O)+('Mitigation drivers'!Y227*ManwithbedN2O)+('Mitigation drivers'!Y228*PMwithoutlitterN2O)+('Mitigation drivers'!Y229*PMwithlitterN2O)+('Mitigation drivers'!Y231*DigesterN2OEF))/100</f>
        <v>1.6449999999999999E-2</v>
      </c>
      <c r="AE71" s="26">
        <f>(('Mitigation drivers'!Z221*LagoonN2O)+('Mitigation drivers'!Z222*LiquidN2O)+('Mitigation drivers'!Z223*DrylotN2O)+('Mitigation drivers'!Z224*SolidStorageN2O)+('Mitigation drivers'!Z225*DailyspreadN2O)+('Mitigation drivers'!Z226*CompostN2O)+('Mitigation drivers'!Z227*ManwithbedN2O)+('Mitigation drivers'!Z228*PMwithoutlitterN2O)+('Mitigation drivers'!Z229*PMwithlitterN2O)+('Mitigation drivers'!Z231*DigesterN2OEF))/100</f>
        <v>1.6449999999999999E-2</v>
      </c>
      <c r="AF71" s="26">
        <f>(('Mitigation drivers'!AA221*LagoonN2O)+('Mitigation drivers'!AA222*LiquidN2O)+('Mitigation drivers'!AA223*DrylotN2O)+('Mitigation drivers'!AA224*SolidStorageN2O)+('Mitigation drivers'!AA225*DailyspreadN2O)+('Mitigation drivers'!AA226*CompostN2O)+('Mitigation drivers'!AA227*ManwithbedN2O)+('Mitigation drivers'!AA228*PMwithoutlitterN2O)+('Mitigation drivers'!AA229*PMwithlitterN2O)+('Mitigation drivers'!AA231*DigesterN2OEF))/100</f>
        <v>1.6449999999999999E-2</v>
      </c>
      <c r="AG71" s="26">
        <f>(('Mitigation drivers'!AB221*LagoonN2O)+('Mitigation drivers'!AB222*LiquidN2O)+('Mitigation drivers'!AB223*DrylotN2O)+('Mitigation drivers'!AB224*SolidStorageN2O)+('Mitigation drivers'!AB225*DailyspreadN2O)+('Mitigation drivers'!AB226*CompostN2O)+('Mitigation drivers'!AB227*ManwithbedN2O)+('Mitigation drivers'!AB228*PMwithoutlitterN2O)+('Mitigation drivers'!AB229*PMwithlitterN2O)+('Mitigation drivers'!AB231*DigesterN2OEF))/100</f>
        <v>1.6449999999999999E-2</v>
      </c>
      <c r="AH71" s="26">
        <f>(('Mitigation drivers'!AC221*LagoonN2O)+('Mitigation drivers'!AC222*LiquidN2O)+('Mitigation drivers'!AC223*DrylotN2O)+('Mitigation drivers'!AC224*SolidStorageN2O)+('Mitigation drivers'!AC225*DailyspreadN2O)+('Mitigation drivers'!AC226*CompostN2O)+('Mitigation drivers'!AC227*ManwithbedN2O)+('Mitigation drivers'!AC228*PMwithoutlitterN2O)+('Mitigation drivers'!AC229*PMwithlitterN2O)+('Mitigation drivers'!AC231*DigesterN2OEF))/100</f>
        <v>1.6449999999999999E-2</v>
      </c>
      <c r="AI71" s="26">
        <f>(('Mitigation drivers'!AD221*LagoonN2O)+('Mitigation drivers'!AD222*LiquidN2O)+('Mitigation drivers'!AD223*DrylotN2O)+('Mitigation drivers'!AD224*SolidStorageN2O)+('Mitigation drivers'!AD225*DailyspreadN2O)+('Mitigation drivers'!AD226*CompostN2O)+('Mitigation drivers'!AD227*ManwithbedN2O)+('Mitigation drivers'!AD228*PMwithoutlitterN2O)+('Mitigation drivers'!AD229*PMwithlitterN2O)+('Mitigation drivers'!AD231*DigesterN2OEF))/100</f>
        <v>1.6449999999999999E-2</v>
      </c>
      <c r="AJ71" s="26">
        <f>(('Mitigation drivers'!AE221*LagoonN2O)+('Mitigation drivers'!AE222*LiquidN2O)+('Mitigation drivers'!AE223*DrylotN2O)+('Mitigation drivers'!AE224*SolidStorageN2O)+('Mitigation drivers'!AE225*DailyspreadN2O)+('Mitigation drivers'!AE226*CompostN2O)+('Mitigation drivers'!AE227*ManwithbedN2O)+('Mitigation drivers'!AE228*PMwithoutlitterN2O)+('Mitigation drivers'!AE229*PMwithlitterN2O)+('Mitigation drivers'!AE231*DigesterN2OEF))/100</f>
        <v>1.6449999999999999E-2</v>
      </c>
      <c r="AK71" s="26">
        <f>(('Mitigation drivers'!AF221*LagoonN2O)+('Mitigation drivers'!AF222*LiquidN2O)+('Mitigation drivers'!AF223*DrylotN2O)+('Mitigation drivers'!AF224*SolidStorageN2O)+('Mitigation drivers'!AF225*DailyspreadN2O)+('Mitigation drivers'!AF226*CompostN2O)+('Mitigation drivers'!AF227*ManwithbedN2O)+('Mitigation drivers'!AF228*PMwithoutlitterN2O)+('Mitigation drivers'!AF229*PMwithlitterN2O)+('Mitigation drivers'!AF231*DigesterN2OEF))/100</f>
        <v>1.6449999999999999E-2</v>
      </c>
      <c r="AL71" s="26">
        <f>(('Mitigation drivers'!AG221*LagoonN2O)+('Mitigation drivers'!AG222*LiquidN2O)+('Mitigation drivers'!AG223*DrylotN2O)+('Mitigation drivers'!AG224*SolidStorageN2O)+('Mitigation drivers'!AG225*DailyspreadN2O)+('Mitigation drivers'!AG226*CompostN2O)+('Mitigation drivers'!AG227*ManwithbedN2O)+('Mitigation drivers'!AG228*PMwithoutlitterN2O)+('Mitigation drivers'!AG229*PMwithlitterN2O)+('Mitigation drivers'!AG231*DigesterN2OEF))/100</f>
        <v>1.6449999999999999E-2</v>
      </c>
      <c r="AM71" s="26">
        <f>(('Mitigation drivers'!AH221*LagoonN2O)+('Mitigation drivers'!AH222*LiquidN2O)+('Mitigation drivers'!AH223*DrylotN2O)+('Mitigation drivers'!AH224*SolidStorageN2O)+('Mitigation drivers'!AH225*DailyspreadN2O)+('Mitigation drivers'!AH226*CompostN2O)+('Mitigation drivers'!AH227*ManwithbedN2O)+('Mitigation drivers'!AH228*PMwithoutlitterN2O)+('Mitigation drivers'!AH229*PMwithlitterN2O)+('Mitigation drivers'!AH231*DigesterN2OEF))/100</f>
        <v>1.6449999999999999E-2</v>
      </c>
      <c r="AN71" s="26">
        <f>(('Mitigation drivers'!AI221*LagoonN2O)+('Mitigation drivers'!AI222*LiquidN2O)+('Mitigation drivers'!AI223*DrylotN2O)+('Mitigation drivers'!AI224*SolidStorageN2O)+('Mitigation drivers'!AI225*DailyspreadN2O)+('Mitigation drivers'!AI226*CompostN2O)+('Mitigation drivers'!AI227*ManwithbedN2O)+('Mitigation drivers'!AI228*PMwithoutlitterN2O)+('Mitigation drivers'!AI229*PMwithlitterN2O)+('Mitigation drivers'!AI231*DigesterN2OEF))/100</f>
        <v>1.6449999999999999E-2</v>
      </c>
      <c r="AO71" s="26">
        <f>(('Mitigation drivers'!AJ221*LagoonN2O)+('Mitigation drivers'!AJ222*LiquidN2O)+('Mitigation drivers'!AJ223*DrylotN2O)+('Mitigation drivers'!AJ224*SolidStorageN2O)+('Mitigation drivers'!AJ225*DailyspreadN2O)+('Mitigation drivers'!AJ226*CompostN2O)+('Mitigation drivers'!AJ227*ManwithbedN2O)+('Mitigation drivers'!AJ228*PMwithoutlitterN2O)+('Mitigation drivers'!AJ229*PMwithlitterN2O)+('Mitigation drivers'!AJ231*DigesterN2OEF))/100</f>
        <v>1.6449999999999999E-2</v>
      </c>
    </row>
    <row r="73" spans="1:41" x14ac:dyDescent="0.25">
      <c r="A73" t="str">
        <f>'IPCC Categories'!A5</f>
        <v>3A Livestock</v>
      </c>
      <c r="B73" t="str">
        <f>'IPCC Categories'!B20</f>
        <v>3A2 Manure management (N2O)</v>
      </c>
      <c r="C73" t="str">
        <f>'IPCC Categories'!B20</f>
        <v>3A2 Manure management (N2O)</v>
      </c>
      <c r="D73" t="s">
        <v>294</v>
      </c>
      <c r="E73" t="s">
        <v>293</v>
      </c>
      <c r="F73" t="s">
        <v>139</v>
      </c>
      <c r="G73" t="s">
        <v>145</v>
      </c>
      <c r="H73" s="27">
        <v>0</v>
      </c>
    </row>
    <row r="74" spans="1:41" x14ac:dyDescent="0.25">
      <c r="A74" t="str">
        <f>A73</f>
        <v>3A Livestock</v>
      </c>
      <c r="B74" t="str">
        <f>B73</f>
        <v>3A2 Manure management (N2O)</v>
      </c>
      <c r="C74" t="str">
        <f>C73</f>
        <v>3A2 Manure management (N2O)</v>
      </c>
      <c r="D74" t="s">
        <v>295</v>
      </c>
      <c r="E74" t="str">
        <f>E73</f>
        <v>Manure EF</v>
      </c>
      <c r="F74" t="str">
        <f>F73</f>
        <v>N2O</v>
      </c>
      <c r="G74" t="str">
        <f>G73</f>
        <v>kg N2O-N/kg Nex</v>
      </c>
      <c r="H74" s="27">
        <v>0</v>
      </c>
    </row>
    <row r="75" spans="1:41" x14ac:dyDescent="0.25">
      <c r="A75" t="str">
        <f t="shared" ref="A75:A82" si="31">A74</f>
        <v>3A Livestock</v>
      </c>
      <c r="B75" t="str">
        <f t="shared" ref="B75:B82" si="32">B74</f>
        <v>3A2 Manure management (N2O)</v>
      </c>
      <c r="C75" t="str">
        <f t="shared" ref="C75:C82" si="33">C74</f>
        <v>3A2 Manure management (N2O)</v>
      </c>
      <c r="D75" t="s">
        <v>296</v>
      </c>
      <c r="E75" t="str">
        <f t="shared" ref="E75:E82" si="34">E74</f>
        <v>Manure EF</v>
      </c>
      <c r="F75" t="str">
        <f t="shared" ref="F75:F82" si="35">F74</f>
        <v>N2O</v>
      </c>
      <c r="G75" t="str">
        <f t="shared" ref="G75:G82" si="36">G74</f>
        <v>kg N2O-N/kg Nex</v>
      </c>
      <c r="H75" s="27">
        <v>0.02</v>
      </c>
    </row>
    <row r="76" spans="1:41" x14ac:dyDescent="0.25">
      <c r="A76" t="str">
        <f t="shared" si="31"/>
        <v>3A Livestock</v>
      </c>
      <c r="B76" t="str">
        <f t="shared" si="32"/>
        <v>3A2 Manure management (N2O)</v>
      </c>
      <c r="C76" t="str">
        <f t="shared" si="33"/>
        <v>3A2 Manure management (N2O)</v>
      </c>
      <c r="D76" t="s">
        <v>297</v>
      </c>
      <c r="E76" t="str">
        <f t="shared" si="34"/>
        <v>Manure EF</v>
      </c>
      <c r="F76" t="str">
        <f t="shared" si="35"/>
        <v>N2O</v>
      </c>
      <c r="G76" t="str">
        <f t="shared" si="36"/>
        <v>kg N2O-N/kg Nex</v>
      </c>
      <c r="H76" s="27">
        <v>5.0000000000000001E-3</v>
      </c>
    </row>
    <row r="77" spans="1:41" x14ac:dyDescent="0.25">
      <c r="A77" t="str">
        <f t="shared" si="31"/>
        <v>3A Livestock</v>
      </c>
      <c r="B77" t="str">
        <f t="shared" si="32"/>
        <v>3A2 Manure management (N2O)</v>
      </c>
      <c r="C77" t="str">
        <f t="shared" si="33"/>
        <v>3A2 Manure management (N2O)</v>
      </c>
      <c r="D77" t="s">
        <v>298</v>
      </c>
      <c r="E77" t="str">
        <f t="shared" si="34"/>
        <v>Manure EF</v>
      </c>
      <c r="F77" t="str">
        <f t="shared" si="35"/>
        <v>N2O</v>
      </c>
      <c r="G77" t="str">
        <f t="shared" si="36"/>
        <v>kg N2O-N/kg Nex</v>
      </c>
      <c r="H77" s="27">
        <v>0</v>
      </c>
    </row>
    <row r="78" spans="1:41" x14ac:dyDescent="0.25">
      <c r="A78" t="str">
        <f t="shared" si="31"/>
        <v>3A Livestock</v>
      </c>
      <c r="B78" t="str">
        <f t="shared" si="32"/>
        <v>3A2 Manure management (N2O)</v>
      </c>
      <c r="C78" t="str">
        <f t="shared" si="33"/>
        <v>3A2 Manure management (N2O)</v>
      </c>
      <c r="D78" t="s">
        <v>299</v>
      </c>
      <c r="E78" t="str">
        <f t="shared" si="34"/>
        <v>Manure EF</v>
      </c>
      <c r="F78" t="str">
        <f t="shared" si="35"/>
        <v>N2O</v>
      </c>
      <c r="G78" t="str">
        <f t="shared" si="36"/>
        <v>kg N2O-N/kg Nex</v>
      </c>
      <c r="H78" s="27">
        <v>6.0000000000000001E-3</v>
      </c>
    </row>
    <row r="79" spans="1:41" x14ac:dyDescent="0.25">
      <c r="A79" t="str">
        <f t="shared" si="31"/>
        <v>3A Livestock</v>
      </c>
      <c r="B79" t="str">
        <f t="shared" si="32"/>
        <v>3A2 Manure management (N2O)</v>
      </c>
      <c r="C79" t="str">
        <f t="shared" si="33"/>
        <v>3A2 Manure management (N2O)</v>
      </c>
      <c r="D79" t="s">
        <v>300</v>
      </c>
      <c r="E79" t="str">
        <f t="shared" si="34"/>
        <v>Manure EF</v>
      </c>
      <c r="F79" t="str">
        <f t="shared" si="35"/>
        <v>N2O</v>
      </c>
      <c r="G79" t="str">
        <f t="shared" si="36"/>
        <v>kg N2O-N/kg Nex</v>
      </c>
      <c r="H79" s="27">
        <v>0.01</v>
      </c>
    </row>
    <row r="80" spans="1:41" x14ac:dyDescent="0.25">
      <c r="A80" t="str">
        <f t="shared" si="31"/>
        <v>3A Livestock</v>
      </c>
      <c r="B80" t="str">
        <f t="shared" si="32"/>
        <v>3A2 Manure management (N2O)</v>
      </c>
      <c r="C80" t="str">
        <f t="shared" si="33"/>
        <v>3A2 Manure management (N2O)</v>
      </c>
      <c r="D80" t="s">
        <v>301</v>
      </c>
      <c r="E80" t="str">
        <f t="shared" si="34"/>
        <v>Manure EF</v>
      </c>
      <c r="F80" t="str">
        <f t="shared" si="35"/>
        <v>N2O</v>
      </c>
      <c r="G80" t="str">
        <f t="shared" si="36"/>
        <v>kg N2O-N/kg Nex</v>
      </c>
      <c r="H80" s="27">
        <v>1E-3</v>
      </c>
    </row>
    <row r="81" spans="1:8" x14ac:dyDescent="0.25">
      <c r="A81" t="str">
        <f t="shared" si="31"/>
        <v>3A Livestock</v>
      </c>
      <c r="B81" t="str">
        <f t="shared" si="32"/>
        <v>3A2 Manure management (N2O)</v>
      </c>
      <c r="C81" t="str">
        <f t="shared" si="33"/>
        <v>3A2 Manure management (N2O)</v>
      </c>
      <c r="D81" t="s">
        <v>302</v>
      </c>
      <c r="E81" t="str">
        <f t="shared" si="34"/>
        <v>Manure EF</v>
      </c>
      <c r="F81" t="str">
        <f t="shared" si="35"/>
        <v>N2O</v>
      </c>
      <c r="G81" t="str">
        <f t="shared" si="36"/>
        <v>kg N2O-N/kg Nex</v>
      </c>
      <c r="H81" s="27">
        <v>1E-3</v>
      </c>
    </row>
    <row r="82" spans="1:8" x14ac:dyDescent="0.25">
      <c r="A82" t="str">
        <f t="shared" si="31"/>
        <v>3A Livestock</v>
      </c>
      <c r="B82" t="str">
        <f t="shared" si="32"/>
        <v>3A2 Manure management (N2O)</v>
      </c>
      <c r="C82" t="str">
        <f t="shared" si="33"/>
        <v>3A2 Manure management (N2O)</v>
      </c>
      <c r="D82" t="s">
        <v>769</v>
      </c>
      <c r="E82" t="str">
        <f t="shared" si="34"/>
        <v>Manure EF</v>
      </c>
      <c r="F82" t="str">
        <f t="shared" si="35"/>
        <v>N2O</v>
      </c>
      <c r="G82" t="str">
        <f t="shared" si="36"/>
        <v>kg N2O-N/kg Nex</v>
      </c>
      <c r="H82" s="27">
        <v>0</v>
      </c>
    </row>
    <row r="84" spans="1:8" x14ac:dyDescent="0.25">
      <c r="A84" t="str">
        <f>'IPCC Categories'!A59</f>
        <v>3C Aggregated and non-CO2 emissions on land</v>
      </c>
      <c r="B84" t="str">
        <f>'IPCC Categories'!B59</f>
        <v>3C1 Biomass burning (CH4)</v>
      </c>
      <c r="C84" t="str">
        <f>'Activity data'!C24</f>
        <v>3C1a Biomass burning in forest land</v>
      </c>
      <c r="D84" t="str">
        <f>'Activity data'!D24</f>
        <v>Indigenous forests</v>
      </c>
      <c r="E84" t="s">
        <v>364</v>
      </c>
      <c r="G84" t="s">
        <v>365</v>
      </c>
      <c r="H84" s="56">
        <v>19.8</v>
      </c>
    </row>
    <row r="85" spans="1:8" x14ac:dyDescent="0.25">
      <c r="A85" t="str">
        <f>A84</f>
        <v>3C Aggregated and non-CO2 emissions on land</v>
      </c>
      <c r="B85" t="str">
        <f>B84</f>
        <v>3C1 Biomass burning (CH4)</v>
      </c>
      <c r="C85" t="str">
        <f>'Activity data'!C25</f>
        <v>3C1a Biomass burning in forest land</v>
      </c>
      <c r="D85" t="str">
        <f>'Activity data'!D25</f>
        <v>Thickets</v>
      </c>
      <c r="E85" t="str">
        <f>E84</f>
        <v>Biomass burning Mb</v>
      </c>
      <c r="G85" t="s">
        <v>365</v>
      </c>
      <c r="H85" s="56">
        <v>1.4</v>
      </c>
    </row>
    <row r="86" spans="1:8" x14ac:dyDescent="0.25">
      <c r="A86" t="str">
        <f t="shared" ref="A86:A147" si="37">A85</f>
        <v>3C Aggregated and non-CO2 emissions on land</v>
      </c>
      <c r="B86" t="str">
        <f t="shared" ref="B86:B99" si="38">B85</f>
        <v>3C1 Biomass burning (CH4)</v>
      </c>
      <c r="C86" t="str">
        <f>'Activity data'!C26</f>
        <v>3C1a Biomass burning in forest land</v>
      </c>
      <c r="D86" t="str">
        <f>'Activity data'!D26</f>
        <v>Woodlands</v>
      </c>
      <c r="E86" t="str">
        <f t="shared" ref="E86:E115" si="39">E85</f>
        <v>Biomass burning Mb</v>
      </c>
      <c r="G86" t="s">
        <v>365</v>
      </c>
      <c r="H86" s="56">
        <v>4.4000000000000004</v>
      </c>
    </row>
    <row r="87" spans="1:8" x14ac:dyDescent="0.25">
      <c r="A87" t="str">
        <f t="shared" si="37"/>
        <v>3C Aggregated and non-CO2 emissions on land</v>
      </c>
      <c r="B87" t="str">
        <f t="shared" si="38"/>
        <v>3C1 Biomass burning (CH4)</v>
      </c>
      <c r="C87" t="str">
        <f>'Activity data'!C27</f>
        <v>3C1a Biomass burning in forest land</v>
      </c>
      <c r="D87" t="str">
        <f>'Activity data'!D27</f>
        <v>Plantations</v>
      </c>
      <c r="E87" t="str">
        <f t="shared" si="39"/>
        <v>Biomass burning Mb</v>
      </c>
      <c r="G87" t="s">
        <v>365</v>
      </c>
      <c r="H87" s="56">
        <v>33.6</v>
      </c>
    </row>
    <row r="88" spans="1:8" x14ac:dyDescent="0.25">
      <c r="A88" t="str">
        <f t="shared" si="37"/>
        <v>3C Aggregated and non-CO2 emissions on land</v>
      </c>
      <c r="B88" t="str">
        <f t="shared" si="38"/>
        <v>3C1 Biomass burning (CH4)</v>
      </c>
      <c r="C88" t="str">
        <f>'Activity data'!C28</f>
        <v>3C1b Biomass burning in Croplands</v>
      </c>
      <c r="D88" t="str">
        <f>'Activity data'!D28</f>
        <v>Annual non-pivot</v>
      </c>
      <c r="E88" t="str">
        <f t="shared" si="39"/>
        <v>Biomass burning Mb</v>
      </c>
      <c r="G88" t="s">
        <v>365</v>
      </c>
      <c r="H88" s="56">
        <v>7</v>
      </c>
    </row>
    <row r="89" spans="1:8" x14ac:dyDescent="0.25">
      <c r="A89" t="str">
        <f t="shared" si="37"/>
        <v>3C Aggregated and non-CO2 emissions on land</v>
      </c>
      <c r="B89" t="str">
        <f t="shared" si="38"/>
        <v>3C1 Biomass burning (CH4)</v>
      </c>
      <c r="C89" t="str">
        <f>'Activity data'!C29</f>
        <v>3C1b Biomass burning in Croplands</v>
      </c>
      <c r="D89" t="str">
        <f>'Activity data'!D29</f>
        <v>Annual pivot</v>
      </c>
      <c r="E89" t="str">
        <f t="shared" si="39"/>
        <v>Biomass burning Mb</v>
      </c>
      <c r="G89" t="s">
        <v>365</v>
      </c>
      <c r="H89" s="56">
        <v>7</v>
      </c>
    </row>
    <row r="90" spans="1:8" x14ac:dyDescent="0.25">
      <c r="A90" t="str">
        <f t="shared" si="37"/>
        <v>3C Aggregated and non-CO2 emissions on land</v>
      </c>
      <c r="B90" t="str">
        <f t="shared" si="38"/>
        <v>3C1 Biomass burning (CH4)</v>
      </c>
      <c r="C90" t="str">
        <f>'Activity data'!C30</f>
        <v>3C1b Biomass burning in Croplands</v>
      </c>
      <c r="D90" t="str">
        <f>'Activity data'!D30</f>
        <v>Perennial orchards</v>
      </c>
      <c r="E90" t="str">
        <f t="shared" si="39"/>
        <v>Biomass burning Mb</v>
      </c>
      <c r="G90" t="s">
        <v>365</v>
      </c>
      <c r="H90" s="56">
        <v>7</v>
      </c>
    </row>
    <row r="91" spans="1:8" x14ac:dyDescent="0.25">
      <c r="A91" t="str">
        <f t="shared" si="37"/>
        <v>3C Aggregated and non-CO2 emissions on land</v>
      </c>
      <c r="B91" t="str">
        <f t="shared" si="38"/>
        <v>3C1 Biomass burning (CH4)</v>
      </c>
      <c r="C91" t="str">
        <f>'Activity data'!C31</f>
        <v>3C1b Biomass burning in Croplands</v>
      </c>
      <c r="D91" t="str">
        <f>'Activity data'!D31</f>
        <v>Perennial vineyards</v>
      </c>
      <c r="E91" t="str">
        <f t="shared" si="39"/>
        <v>Biomass burning Mb</v>
      </c>
      <c r="G91" t="s">
        <v>365</v>
      </c>
      <c r="H91" s="56">
        <v>7</v>
      </c>
    </row>
    <row r="92" spans="1:8" x14ac:dyDescent="0.25">
      <c r="A92" t="str">
        <f t="shared" si="37"/>
        <v>3C Aggregated and non-CO2 emissions on land</v>
      </c>
      <c r="B92" t="str">
        <f t="shared" si="38"/>
        <v>3C1 Biomass burning (CH4)</v>
      </c>
      <c r="C92" t="str">
        <f>'Activity data'!C32</f>
        <v>3C1b Biomass burning in Croplands</v>
      </c>
      <c r="D92" t="str">
        <f>'Activity data'!D32</f>
        <v>Cropland subsistence</v>
      </c>
      <c r="E92" t="str">
        <f t="shared" si="39"/>
        <v>Biomass burning Mb</v>
      </c>
      <c r="G92" t="s">
        <v>365</v>
      </c>
      <c r="H92" s="56">
        <v>7</v>
      </c>
    </row>
    <row r="93" spans="1:8" x14ac:dyDescent="0.25">
      <c r="A93" t="str">
        <f t="shared" si="37"/>
        <v>3C Aggregated and non-CO2 emissions on land</v>
      </c>
      <c r="B93" t="str">
        <f t="shared" si="38"/>
        <v>3C1 Biomass burning (CH4)</v>
      </c>
      <c r="C93" t="str">
        <f>'Activity data'!C33</f>
        <v>3C1c Biomass burning in Grasslands</v>
      </c>
      <c r="D93" t="str">
        <f>'Activity data'!D33</f>
        <v>Grasslands</v>
      </c>
      <c r="E93" t="str">
        <f t="shared" si="39"/>
        <v>Biomass burning Mb</v>
      </c>
      <c r="G93" t="s">
        <v>365</v>
      </c>
      <c r="H93" s="56">
        <v>4.0999999999999996</v>
      </c>
    </row>
    <row r="94" spans="1:8" x14ac:dyDescent="0.25">
      <c r="A94" t="str">
        <f t="shared" si="37"/>
        <v>3C Aggregated and non-CO2 emissions on land</v>
      </c>
      <c r="B94" t="str">
        <f t="shared" si="38"/>
        <v>3C1 Biomass burning (CH4)</v>
      </c>
      <c r="C94" t="str">
        <f>'Activity data'!C34</f>
        <v>3C1c Biomass burning in Grasslands</v>
      </c>
      <c r="D94" t="str">
        <f>'Activity data'!D34</f>
        <v>Low shrublands</v>
      </c>
      <c r="E94" t="str">
        <f t="shared" si="39"/>
        <v>Biomass burning Mb</v>
      </c>
      <c r="G94" t="s">
        <v>365</v>
      </c>
      <c r="H94" s="56">
        <v>2.4</v>
      </c>
    </row>
    <row r="95" spans="1:8" x14ac:dyDescent="0.25">
      <c r="A95" t="str">
        <f>A99</f>
        <v>3C Aggregated and non-CO2 emissions on land</v>
      </c>
      <c r="B95" t="str">
        <f>B99</f>
        <v>3C1 Biomass burning (CH4)</v>
      </c>
      <c r="C95" t="str">
        <f>'Activity data'!C35</f>
        <v>3C1f Biomass burning in Other lands</v>
      </c>
      <c r="D95" t="str">
        <f>'Activity data'!D35</f>
        <v>Degraded land</v>
      </c>
      <c r="E95" t="str">
        <f>E99</f>
        <v>Biomass burning Mb</v>
      </c>
      <c r="G95" t="s">
        <v>365</v>
      </c>
      <c r="H95" s="56">
        <v>2</v>
      </c>
    </row>
    <row r="96" spans="1:8" x14ac:dyDescent="0.25">
      <c r="A96" t="str">
        <f>A94</f>
        <v>3C Aggregated and non-CO2 emissions on land</v>
      </c>
      <c r="B96" t="str">
        <f>B94</f>
        <v>3C1 Biomass burning (CH4)</v>
      </c>
      <c r="C96" t="str">
        <f>'Activity data'!C36</f>
        <v>3C1d Biomass burning in Wetlands</v>
      </c>
      <c r="D96" t="str">
        <f>'Activity data'!D36</f>
        <v>Wetlands</v>
      </c>
      <c r="E96" t="str">
        <f>E94</f>
        <v>Biomass burning Mb</v>
      </c>
      <c r="G96" t="s">
        <v>365</v>
      </c>
      <c r="H96" s="56">
        <v>4.0999999999999996</v>
      </c>
    </row>
    <row r="97" spans="1:8" x14ac:dyDescent="0.25">
      <c r="A97" t="str">
        <f t="shared" si="37"/>
        <v>3C Aggregated and non-CO2 emissions on land</v>
      </c>
      <c r="B97" t="str">
        <f t="shared" si="38"/>
        <v>3C1 Biomass burning (CH4)</v>
      </c>
      <c r="C97" t="str">
        <f>'Activity data'!C37</f>
        <v>3C1e Biomass burning in Settlements</v>
      </c>
      <c r="D97" t="str">
        <f>'Activity data'!D37</f>
        <v>Settlements</v>
      </c>
      <c r="E97" t="str">
        <f t="shared" si="39"/>
        <v>Biomass burning Mb</v>
      </c>
      <c r="G97" t="s">
        <v>365</v>
      </c>
      <c r="H97" s="56">
        <v>4.0999999999999996</v>
      </c>
    </row>
    <row r="98" spans="1:8" x14ac:dyDescent="0.25">
      <c r="A98" t="str">
        <f t="shared" si="37"/>
        <v>3C Aggregated and non-CO2 emissions on land</v>
      </c>
      <c r="B98" t="str">
        <f t="shared" si="38"/>
        <v>3C1 Biomass burning (CH4)</v>
      </c>
      <c r="C98" t="str">
        <f>'Activity data'!C38</f>
        <v>3C1e Biomass burning in Settlements</v>
      </c>
      <c r="D98" t="str">
        <f>'Activity data'!D38</f>
        <v>Mines</v>
      </c>
      <c r="E98" t="str">
        <f t="shared" si="39"/>
        <v>Biomass burning Mb</v>
      </c>
      <c r="G98" t="s">
        <v>365</v>
      </c>
      <c r="H98" s="56">
        <v>4.0999999999999996</v>
      </c>
    </row>
    <row r="99" spans="1:8" x14ac:dyDescent="0.25">
      <c r="A99" t="str">
        <f t="shared" si="37"/>
        <v>3C Aggregated and non-CO2 emissions on land</v>
      </c>
      <c r="B99" t="str">
        <f t="shared" si="38"/>
        <v>3C1 Biomass burning (CH4)</v>
      </c>
      <c r="C99" t="str">
        <f>'Activity data'!C39</f>
        <v>3C1f Biomass burning in Other lands</v>
      </c>
      <c r="D99" t="str">
        <f>'Activity data'!D39</f>
        <v>Bare ground</v>
      </c>
      <c r="E99" t="str">
        <f t="shared" si="39"/>
        <v>Biomass burning Mb</v>
      </c>
      <c r="G99" t="s">
        <v>365</v>
      </c>
      <c r="H99" s="56">
        <v>0</v>
      </c>
    </row>
    <row r="100" spans="1:8" x14ac:dyDescent="0.25">
      <c r="A100" t="str">
        <f>A95</f>
        <v>3C Aggregated and non-CO2 emissions on land</v>
      </c>
      <c r="B100" t="str">
        <f>'IPCC Categories'!B65</f>
        <v>3C1 Biomass burning (N2O)</v>
      </c>
      <c r="C100" t="str">
        <f t="shared" ref="C100:D119" si="40">C84</f>
        <v>3C1a Biomass burning in forest land</v>
      </c>
      <c r="D100" t="str">
        <f t="shared" si="40"/>
        <v>Indigenous forests</v>
      </c>
      <c r="E100" t="s">
        <v>363</v>
      </c>
      <c r="G100" t="s">
        <v>705</v>
      </c>
      <c r="H100" s="27">
        <v>1</v>
      </c>
    </row>
    <row r="101" spans="1:8" x14ac:dyDescent="0.25">
      <c r="A101" t="str">
        <f t="shared" si="37"/>
        <v>3C Aggregated and non-CO2 emissions on land</v>
      </c>
      <c r="B101" t="str">
        <f>B100</f>
        <v>3C1 Biomass burning (N2O)</v>
      </c>
      <c r="C101" t="str">
        <f t="shared" si="40"/>
        <v>3C1a Biomass burning in forest land</v>
      </c>
      <c r="D101" t="str">
        <f t="shared" si="40"/>
        <v>Thickets</v>
      </c>
      <c r="E101" t="str">
        <f t="shared" si="39"/>
        <v>Biomass burning Cf</v>
      </c>
      <c r="G101" t="s">
        <v>705</v>
      </c>
      <c r="H101" s="56">
        <v>0.95</v>
      </c>
    </row>
    <row r="102" spans="1:8" x14ac:dyDescent="0.25">
      <c r="A102" t="str">
        <f t="shared" si="37"/>
        <v>3C Aggregated and non-CO2 emissions on land</v>
      </c>
      <c r="B102" t="str">
        <f t="shared" ref="B102:B147" si="41">B101</f>
        <v>3C1 Biomass burning (N2O)</v>
      </c>
      <c r="C102" t="str">
        <f t="shared" si="40"/>
        <v>3C1a Biomass burning in forest land</v>
      </c>
      <c r="D102" t="str">
        <f t="shared" si="40"/>
        <v>Woodlands</v>
      </c>
      <c r="E102" t="str">
        <f t="shared" si="39"/>
        <v>Biomass burning Cf</v>
      </c>
      <c r="G102" t="s">
        <v>705</v>
      </c>
      <c r="H102" s="56">
        <v>0.8</v>
      </c>
    </row>
    <row r="103" spans="1:8" x14ac:dyDescent="0.25">
      <c r="A103" t="str">
        <f t="shared" si="37"/>
        <v>3C Aggregated and non-CO2 emissions on land</v>
      </c>
      <c r="B103" t="str">
        <f t="shared" si="41"/>
        <v>3C1 Biomass burning (N2O)</v>
      </c>
      <c r="C103" t="str">
        <f t="shared" si="40"/>
        <v>3C1a Biomass burning in forest land</v>
      </c>
      <c r="D103" t="str">
        <f t="shared" si="40"/>
        <v>Plantations</v>
      </c>
      <c r="E103" t="str">
        <f t="shared" si="39"/>
        <v>Biomass burning Cf</v>
      </c>
      <c r="G103" t="s">
        <v>705</v>
      </c>
      <c r="H103" s="27">
        <v>1</v>
      </c>
    </row>
    <row r="104" spans="1:8" x14ac:dyDescent="0.25">
      <c r="A104" t="str">
        <f t="shared" si="37"/>
        <v>3C Aggregated and non-CO2 emissions on land</v>
      </c>
      <c r="B104" t="str">
        <f t="shared" si="41"/>
        <v>3C1 Biomass burning (N2O)</v>
      </c>
      <c r="C104" t="str">
        <f t="shared" si="40"/>
        <v>3C1b Biomass burning in Croplands</v>
      </c>
      <c r="D104" t="str">
        <f t="shared" si="40"/>
        <v>Annual non-pivot</v>
      </c>
      <c r="E104" t="str">
        <f t="shared" si="39"/>
        <v>Biomass burning Cf</v>
      </c>
      <c r="G104" t="s">
        <v>705</v>
      </c>
      <c r="H104" s="27">
        <v>1</v>
      </c>
    </row>
    <row r="105" spans="1:8" x14ac:dyDescent="0.25">
      <c r="A105" t="str">
        <f t="shared" si="37"/>
        <v>3C Aggregated and non-CO2 emissions on land</v>
      </c>
      <c r="B105" t="str">
        <f t="shared" si="41"/>
        <v>3C1 Biomass burning (N2O)</v>
      </c>
      <c r="C105" t="str">
        <f t="shared" si="40"/>
        <v>3C1b Biomass burning in Croplands</v>
      </c>
      <c r="D105" t="str">
        <f t="shared" si="40"/>
        <v>Annual pivot</v>
      </c>
      <c r="E105" t="str">
        <f t="shared" si="39"/>
        <v>Biomass burning Cf</v>
      </c>
      <c r="G105" t="s">
        <v>705</v>
      </c>
      <c r="H105" s="27">
        <v>1</v>
      </c>
    </row>
    <row r="106" spans="1:8" x14ac:dyDescent="0.25">
      <c r="A106" t="str">
        <f t="shared" si="37"/>
        <v>3C Aggregated and non-CO2 emissions on land</v>
      </c>
      <c r="B106" t="str">
        <f t="shared" si="41"/>
        <v>3C1 Biomass burning (N2O)</v>
      </c>
      <c r="C106" t="str">
        <f t="shared" si="40"/>
        <v>3C1b Biomass burning in Croplands</v>
      </c>
      <c r="D106" t="str">
        <f t="shared" si="40"/>
        <v>Perennial orchards</v>
      </c>
      <c r="E106" t="str">
        <f t="shared" si="39"/>
        <v>Biomass burning Cf</v>
      </c>
      <c r="G106" t="s">
        <v>705</v>
      </c>
      <c r="H106" s="27">
        <v>1</v>
      </c>
    </row>
    <row r="107" spans="1:8" x14ac:dyDescent="0.25">
      <c r="A107" t="str">
        <f t="shared" si="37"/>
        <v>3C Aggregated and non-CO2 emissions on land</v>
      </c>
      <c r="B107" t="str">
        <f t="shared" si="41"/>
        <v>3C1 Biomass burning (N2O)</v>
      </c>
      <c r="C107" t="str">
        <f t="shared" si="40"/>
        <v>3C1b Biomass burning in Croplands</v>
      </c>
      <c r="D107" t="str">
        <f t="shared" si="40"/>
        <v>Perennial vineyards</v>
      </c>
      <c r="E107" t="str">
        <f t="shared" si="39"/>
        <v>Biomass burning Cf</v>
      </c>
      <c r="G107" t="s">
        <v>705</v>
      </c>
      <c r="H107" s="27">
        <v>1</v>
      </c>
    </row>
    <row r="108" spans="1:8" x14ac:dyDescent="0.25">
      <c r="A108" t="str">
        <f t="shared" si="37"/>
        <v>3C Aggregated and non-CO2 emissions on land</v>
      </c>
      <c r="B108" t="str">
        <f t="shared" si="41"/>
        <v>3C1 Biomass burning (N2O)</v>
      </c>
      <c r="C108" t="str">
        <f t="shared" si="40"/>
        <v>3C1b Biomass burning in Croplands</v>
      </c>
      <c r="D108" t="str">
        <f t="shared" si="40"/>
        <v>Cropland subsistence</v>
      </c>
      <c r="E108" t="str">
        <f t="shared" si="39"/>
        <v>Biomass burning Cf</v>
      </c>
      <c r="G108" t="s">
        <v>705</v>
      </c>
      <c r="H108" s="27">
        <v>1</v>
      </c>
    </row>
    <row r="109" spans="1:8" x14ac:dyDescent="0.25">
      <c r="A109" t="str">
        <f t="shared" si="37"/>
        <v>3C Aggregated and non-CO2 emissions on land</v>
      </c>
      <c r="B109" t="str">
        <f t="shared" si="41"/>
        <v>3C1 Biomass burning (N2O)</v>
      </c>
      <c r="C109" t="str">
        <f t="shared" si="40"/>
        <v>3C1c Biomass burning in Grasslands</v>
      </c>
      <c r="D109" t="str">
        <f t="shared" si="40"/>
        <v>Grasslands</v>
      </c>
      <c r="E109" t="str">
        <f t="shared" si="39"/>
        <v>Biomass burning Cf</v>
      </c>
      <c r="G109" t="s">
        <v>705</v>
      </c>
      <c r="H109" s="27">
        <v>1</v>
      </c>
    </row>
    <row r="110" spans="1:8" x14ac:dyDescent="0.25">
      <c r="A110" t="str">
        <f t="shared" si="37"/>
        <v>3C Aggregated and non-CO2 emissions on land</v>
      </c>
      <c r="B110" t="str">
        <f t="shared" si="41"/>
        <v>3C1 Biomass burning (N2O)</v>
      </c>
      <c r="C110" t="str">
        <f t="shared" si="40"/>
        <v>3C1c Biomass burning in Grasslands</v>
      </c>
      <c r="D110" t="str">
        <f t="shared" si="40"/>
        <v>Low shrublands</v>
      </c>
      <c r="E110" t="str">
        <f t="shared" si="39"/>
        <v>Biomass burning Cf</v>
      </c>
      <c r="G110" t="s">
        <v>705</v>
      </c>
      <c r="H110" s="56">
        <v>0.91</v>
      </c>
    </row>
    <row r="111" spans="1:8" x14ac:dyDescent="0.25">
      <c r="A111" t="str">
        <f>A115</f>
        <v>3C Aggregated and non-CO2 emissions on land</v>
      </c>
      <c r="B111" t="str">
        <f>B115</f>
        <v>3C1 Biomass burning (N2O)</v>
      </c>
      <c r="C111" t="str">
        <f t="shared" si="40"/>
        <v>3C1f Biomass burning in Other lands</v>
      </c>
      <c r="D111" t="str">
        <f t="shared" si="40"/>
        <v>Degraded land</v>
      </c>
      <c r="E111" t="str">
        <f>E115</f>
        <v>Biomass burning Cf</v>
      </c>
      <c r="G111" t="s">
        <v>705</v>
      </c>
      <c r="H111" s="27">
        <v>1</v>
      </c>
    </row>
    <row r="112" spans="1:8" x14ac:dyDescent="0.25">
      <c r="A112" t="str">
        <f>A110</f>
        <v>3C Aggregated and non-CO2 emissions on land</v>
      </c>
      <c r="B112" t="str">
        <f>B110</f>
        <v>3C1 Biomass burning (N2O)</v>
      </c>
      <c r="C112" t="str">
        <f t="shared" si="40"/>
        <v>3C1d Biomass burning in Wetlands</v>
      </c>
      <c r="D112" t="str">
        <f t="shared" si="40"/>
        <v>Wetlands</v>
      </c>
      <c r="E112" t="str">
        <f>E110</f>
        <v>Biomass burning Cf</v>
      </c>
      <c r="G112" t="s">
        <v>705</v>
      </c>
      <c r="H112" s="27">
        <v>1</v>
      </c>
    </row>
    <row r="113" spans="1:8" x14ac:dyDescent="0.25">
      <c r="A113" t="str">
        <f t="shared" si="37"/>
        <v>3C Aggregated and non-CO2 emissions on land</v>
      </c>
      <c r="B113" t="str">
        <f t="shared" si="41"/>
        <v>3C1 Biomass burning (N2O)</v>
      </c>
      <c r="C113" t="str">
        <f t="shared" si="40"/>
        <v>3C1e Biomass burning in Settlements</v>
      </c>
      <c r="D113" t="str">
        <f t="shared" si="40"/>
        <v>Settlements</v>
      </c>
      <c r="E113" t="str">
        <f t="shared" si="39"/>
        <v>Biomass burning Cf</v>
      </c>
      <c r="G113" t="s">
        <v>705</v>
      </c>
      <c r="H113" s="27">
        <v>1</v>
      </c>
    </row>
    <row r="114" spans="1:8" x14ac:dyDescent="0.25">
      <c r="A114" t="str">
        <f t="shared" si="37"/>
        <v>3C Aggregated and non-CO2 emissions on land</v>
      </c>
      <c r="B114" t="str">
        <f t="shared" si="41"/>
        <v>3C1 Biomass burning (N2O)</v>
      </c>
      <c r="C114" t="str">
        <f t="shared" si="40"/>
        <v>3C1e Biomass burning in Settlements</v>
      </c>
      <c r="D114" t="str">
        <f t="shared" si="40"/>
        <v>Mines</v>
      </c>
      <c r="E114" t="str">
        <f t="shared" si="39"/>
        <v>Biomass burning Cf</v>
      </c>
      <c r="G114" t="s">
        <v>705</v>
      </c>
      <c r="H114" s="27">
        <v>1</v>
      </c>
    </row>
    <row r="115" spans="1:8" x14ac:dyDescent="0.25">
      <c r="A115" t="str">
        <f t="shared" si="37"/>
        <v>3C Aggregated and non-CO2 emissions on land</v>
      </c>
      <c r="B115" t="str">
        <f t="shared" si="41"/>
        <v>3C1 Biomass burning (N2O)</v>
      </c>
      <c r="C115" t="str">
        <f t="shared" si="40"/>
        <v>3C1f Biomass burning in Other lands</v>
      </c>
      <c r="D115" t="str">
        <f t="shared" si="40"/>
        <v>Bare ground</v>
      </c>
      <c r="E115" t="str">
        <f t="shared" si="39"/>
        <v>Biomass burning Cf</v>
      </c>
      <c r="G115" t="s">
        <v>705</v>
      </c>
      <c r="H115" s="56">
        <v>0</v>
      </c>
    </row>
    <row r="116" spans="1:8" x14ac:dyDescent="0.25">
      <c r="A116" t="str">
        <f t="shared" si="37"/>
        <v>3C Aggregated and non-CO2 emissions on land</v>
      </c>
      <c r="B116" t="str">
        <f t="shared" si="41"/>
        <v>3C1 Biomass burning (N2O)</v>
      </c>
      <c r="C116" t="str">
        <f t="shared" si="40"/>
        <v>3C1a Biomass burning in forest land</v>
      </c>
      <c r="D116" t="str">
        <f t="shared" si="40"/>
        <v>Indigenous forests</v>
      </c>
      <c r="E116" t="s">
        <v>362</v>
      </c>
      <c r="F116" t="s">
        <v>121</v>
      </c>
      <c r="G116" t="s">
        <v>366</v>
      </c>
      <c r="H116" s="27">
        <v>4.7</v>
      </c>
    </row>
    <row r="117" spans="1:8" x14ac:dyDescent="0.25">
      <c r="A117" t="str">
        <f t="shared" si="37"/>
        <v>3C Aggregated and non-CO2 emissions on land</v>
      </c>
      <c r="B117" t="str">
        <f t="shared" si="41"/>
        <v>3C1 Biomass burning (N2O)</v>
      </c>
      <c r="C117" t="str">
        <f t="shared" si="40"/>
        <v>3C1a Biomass burning in forest land</v>
      </c>
      <c r="D117" t="str">
        <f t="shared" si="40"/>
        <v>Thickets</v>
      </c>
      <c r="E117" t="str">
        <f>E116</f>
        <v>Biomass burning EF</v>
      </c>
      <c r="F117" t="str">
        <f>F116</f>
        <v>CH4</v>
      </c>
      <c r="G117" t="s">
        <v>366</v>
      </c>
      <c r="H117" s="27">
        <v>4.7</v>
      </c>
    </row>
    <row r="118" spans="1:8" x14ac:dyDescent="0.25">
      <c r="A118" t="str">
        <f t="shared" si="37"/>
        <v>3C Aggregated and non-CO2 emissions on land</v>
      </c>
      <c r="B118" t="str">
        <f t="shared" si="41"/>
        <v>3C1 Biomass burning (N2O)</v>
      </c>
      <c r="C118" t="str">
        <f t="shared" si="40"/>
        <v>3C1a Biomass burning in forest land</v>
      </c>
      <c r="D118" t="str">
        <f t="shared" si="40"/>
        <v>Woodlands</v>
      </c>
      <c r="E118" t="str">
        <f t="shared" ref="E118:E131" si="42">E117</f>
        <v>Biomass burning EF</v>
      </c>
      <c r="F118" t="str">
        <f t="shared" ref="F118:F131" si="43">F117</f>
        <v>CH4</v>
      </c>
      <c r="G118" t="s">
        <v>366</v>
      </c>
      <c r="H118" s="27">
        <v>2.2999999999999998</v>
      </c>
    </row>
    <row r="119" spans="1:8" x14ac:dyDescent="0.25">
      <c r="A119" t="str">
        <f t="shared" si="37"/>
        <v>3C Aggregated and non-CO2 emissions on land</v>
      </c>
      <c r="B119" t="str">
        <f t="shared" si="41"/>
        <v>3C1 Biomass burning (N2O)</v>
      </c>
      <c r="C119" t="str">
        <f t="shared" si="40"/>
        <v>3C1a Biomass burning in forest land</v>
      </c>
      <c r="D119" t="str">
        <f t="shared" si="40"/>
        <v>Plantations</v>
      </c>
      <c r="E119" t="str">
        <f t="shared" si="42"/>
        <v>Biomass burning EF</v>
      </c>
      <c r="F119" t="str">
        <f t="shared" si="43"/>
        <v>CH4</v>
      </c>
      <c r="G119" t="s">
        <v>366</v>
      </c>
      <c r="H119" s="27">
        <v>4.7</v>
      </c>
    </row>
    <row r="120" spans="1:8" x14ac:dyDescent="0.25">
      <c r="A120" t="str">
        <f t="shared" si="37"/>
        <v>3C Aggregated and non-CO2 emissions on land</v>
      </c>
      <c r="B120" t="str">
        <f t="shared" si="41"/>
        <v>3C1 Biomass burning (N2O)</v>
      </c>
      <c r="C120" t="str">
        <f t="shared" ref="C120:D139" si="44">C104</f>
        <v>3C1b Biomass burning in Croplands</v>
      </c>
      <c r="D120" t="str">
        <f t="shared" si="44"/>
        <v>Annual non-pivot</v>
      </c>
      <c r="E120" t="str">
        <f t="shared" si="42"/>
        <v>Biomass burning EF</v>
      </c>
      <c r="F120" t="str">
        <f t="shared" si="43"/>
        <v>CH4</v>
      </c>
      <c r="G120" t="s">
        <v>366</v>
      </c>
      <c r="H120" s="27">
        <v>2.7</v>
      </c>
    </row>
    <row r="121" spans="1:8" x14ac:dyDescent="0.25">
      <c r="A121" t="str">
        <f t="shared" si="37"/>
        <v>3C Aggregated and non-CO2 emissions on land</v>
      </c>
      <c r="B121" t="str">
        <f t="shared" si="41"/>
        <v>3C1 Biomass burning (N2O)</v>
      </c>
      <c r="C121" t="str">
        <f t="shared" si="44"/>
        <v>3C1b Biomass burning in Croplands</v>
      </c>
      <c r="D121" t="str">
        <f t="shared" si="44"/>
        <v>Annual pivot</v>
      </c>
      <c r="E121" t="str">
        <f t="shared" si="42"/>
        <v>Biomass burning EF</v>
      </c>
      <c r="F121" t="str">
        <f t="shared" si="43"/>
        <v>CH4</v>
      </c>
      <c r="G121" t="s">
        <v>366</v>
      </c>
      <c r="H121" s="27">
        <v>2.7</v>
      </c>
    </row>
    <row r="122" spans="1:8" x14ac:dyDescent="0.25">
      <c r="A122" t="str">
        <f t="shared" si="37"/>
        <v>3C Aggregated and non-CO2 emissions on land</v>
      </c>
      <c r="B122" t="str">
        <f t="shared" si="41"/>
        <v>3C1 Biomass burning (N2O)</v>
      </c>
      <c r="C122" t="str">
        <f t="shared" si="44"/>
        <v>3C1b Biomass burning in Croplands</v>
      </c>
      <c r="D122" t="str">
        <f t="shared" si="44"/>
        <v>Perennial orchards</v>
      </c>
      <c r="E122" t="str">
        <f t="shared" si="42"/>
        <v>Biomass burning EF</v>
      </c>
      <c r="F122" t="str">
        <f t="shared" si="43"/>
        <v>CH4</v>
      </c>
      <c r="G122" t="s">
        <v>366</v>
      </c>
      <c r="H122" s="27">
        <v>2.7</v>
      </c>
    </row>
    <row r="123" spans="1:8" x14ac:dyDescent="0.25">
      <c r="A123" t="str">
        <f t="shared" si="37"/>
        <v>3C Aggregated and non-CO2 emissions on land</v>
      </c>
      <c r="B123" t="str">
        <f t="shared" si="41"/>
        <v>3C1 Biomass burning (N2O)</v>
      </c>
      <c r="C123" t="str">
        <f t="shared" si="44"/>
        <v>3C1b Biomass burning in Croplands</v>
      </c>
      <c r="D123" t="str">
        <f t="shared" si="44"/>
        <v>Perennial vineyards</v>
      </c>
      <c r="E123" t="str">
        <f t="shared" si="42"/>
        <v>Biomass burning EF</v>
      </c>
      <c r="F123" t="str">
        <f t="shared" si="43"/>
        <v>CH4</v>
      </c>
      <c r="G123" t="s">
        <v>366</v>
      </c>
      <c r="H123" s="27">
        <v>2.7</v>
      </c>
    </row>
    <row r="124" spans="1:8" x14ac:dyDescent="0.25">
      <c r="A124" t="str">
        <f t="shared" si="37"/>
        <v>3C Aggregated and non-CO2 emissions on land</v>
      </c>
      <c r="B124" t="str">
        <f t="shared" si="41"/>
        <v>3C1 Biomass burning (N2O)</v>
      </c>
      <c r="C124" t="str">
        <f t="shared" si="44"/>
        <v>3C1b Biomass burning in Croplands</v>
      </c>
      <c r="D124" t="str">
        <f t="shared" si="44"/>
        <v>Cropland subsistence</v>
      </c>
      <c r="E124" t="str">
        <f t="shared" si="42"/>
        <v>Biomass burning EF</v>
      </c>
      <c r="F124" t="str">
        <f t="shared" si="43"/>
        <v>CH4</v>
      </c>
      <c r="G124" t="s">
        <v>366</v>
      </c>
      <c r="H124" s="27">
        <v>2.7</v>
      </c>
    </row>
    <row r="125" spans="1:8" x14ac:dyDescent="0.25">
      <c r="A125" t="str">
        <f t="shared" si="37"/>
        <v>3C Aggregated and non-CO2 emissions on land</v>
      </c>
      <c r="B125" t="str">
        <f t="shared" si="41"/>
        <v>3C1 Biomass burning (N2O)</v>
      </c>
      <c r="C125" t="str">
        <f t="shared" si="44"/>
        <v>3C1c Biomass burning in Grasslands</v>
      </c>
      <c r="D125" t="str">
        <f t="shared" si="44"/>
        <v>Grasslands</v>
      </c>
      <c r="E125" t="str">
        <f t="shared" si="42"/>
        <v>Biomass burning EF</v>
      </c>
      <c r="F125" t="str">
        <f t="shared" si="43"/>
        <v>CH4</v>
      </c>
      <c r="G125" t="s">
        <v>366</v>
      </c>
      <c r="H125" s="27">
        <v>2.2999999999999998</v>
      </c>
    </row>
    <row r="126" spans="1:8" x14ac:dyDescent="0.25">
      <c r="A126" t="str">
        <f t="shared" si="37"/>
        <v>3C Aggregated and non-CO2 emissions on land</v>
      </c>
      <c r="B126" t="str">
        <f t="shared" si="41"/>
        <v>3C1 Biomass burning (N2O)</v>
      </c>
      <c r="C126" t="str">
        <f t="shared" si="44"/>
        <v>3C1c Biomass burning in Grasslands</v>
      </c>
      <c r="D126" t="str">
        <f t="shared" si="44"/>
        <v>Low shrublands</v>
      </c>
      <c r="E126" t="str">
        <f t="shared" si="42"/>
        <v>Biomass burning EF</v>
      </c>
      <c r="F126" t="str">
        <f t="shared" si="43"/>
        <v>CH4</v>
      </c>
      <c r="G126" t="s">
        <v>366</v>
      </c>
      <c r="H126" s="27">
        <v>4.7</v>
      </c>
    </row>
    <row r="127" spans="1:8" x14ac:dyDescent="0.25">
      <c r="A127" t="str">
        <f t="shared" si="37"/>
        <v>3C Aggregated and non-CO2 emissions on land</v>
      </c>
      <c r="B127" t="str">
        <f t="shared" si="41"/>
        <v>3C1 Biomass burning (N2O)</v>
      </c>
      <c r="C127" t="str">
        <f t="shared" si="44"/>
        <v>3C1f Biomass burning in Other lands</v>
      </c>
      <c r="D127" t="str">
        <f t="shared" si="44"/>
        <v>Degraded land</v>
      </c>
      <c r="E127" t="str">
        <f>E131</f>
        <v>Biomass burning EF</v>
      </c>
      <c r="F127" t="str">
        <f>F131</f>
        <v>CH4</v>
      </c>
      <c r="G127" t="s">
        <v>366</v>
      </c>
      <c r="H127" s="27">
        <v>2.2999999999999998</v>
      </c>
    </row>
    <row r="128" spans="1:8" x14ac:dyDescent="0.25">
      <c r="A128" t="str">
        <f t="shared" si="37"/>
        <v>3C Aggregated and non-CO2 emissions on land</v>
      </c>
      <c r="B128" t="str">
        <f t="shared" si="41"/>
        <v>3C1 Biomass burning (N2O)</v>
      </c>
      <c r="C128" t="str">
        <f t="shared" si="44"/>
        <v>3C1d Biomass burning in Wetlands</v>
      </c>
      <c r="D128" t="str">
        <f t="shared" si="44"/>
        <v>Wetlands</v>
      </c>
      <c r="E128" t="str">
        <f>E126</f>
        <v>Biomass burning EF</v>
      </c>
      <c r="F128" t="str">
        <f>F126</f>
        <v>CH4</v>
      </c>
      <c r="G128" t="s">
        <v>366</v>
      </c>
      <c r="H128" s="27">
        <v>2.2999999999999998</v>
      </c>
    </row>
    <row r="129" spans="1:8" x14ac:dyDescent="0.25">
      <c r="A129" t="str">
        <f t="shared" si="37"/>
        <v>3C Aggregated and non-CO2 emissions on land</v>
      </c>
      <c r="B129" t="str">
        <f t="shared" si="41"/>
        <v>3C1 Biomass burning (N2O)</v>
      </c>
      <c r="C129" t="str">
        <f t="shared" si="44"/>
        <v>3C1e Biomass burning in Settlements</v>
      </c>
      <c r="D129" t="str">
        <f t="shared" si="44"/>
        <v>Settlements</v>
      </c>
      <c r="E129" t="str">
        <f t="shared" si="42"/>
        <v>Biomass burning EF</v>
      </c>
      <c r="F129" t="str">
        <f t="shared" si="43"/>
        <v>CH4</v>
      </c>
      <c r="G129" t="s">
        <v>366</v>
      </c>
      <c r="H129" s="27">
        <v>2.2999999999999998</v>
      </c>
    </row>
    <row r="130" spans="1:8" x14ac:dyDescent="0.25">
      <c r="A130" t="str">
        <f t="shared" si="37"/>
        <v>3C Aggregated and non-CO2 emissions on land</v>
      </c>
      <c r="B130" t="str">
        <f t="shared" si="41"/>
        <v>3C1 Biomass burning (N2O)</v>
      </c>
      <c r="C130" t="str">
        <f t="shared" si="44"/>
        <v>3C1e Biomass burning in Settlements</v>
      </c>
      <c r="D130" t="str">
        <f t="shared" si="44"/>
        <v>Mines</v>
      </c>
      <c r="E130" t="str">
        <f t="shared" si="42"/>
        <v>Biomass burning EF</v>
      </c>
      <c r="F130" t="str">
        <f t="shared" si="43"/>
        <v>CH4</v>
      </c>
      <c r="G130" t="s">
        <v>366</v>
      </c>
      <c r="H130" s="27">
        <v>2.2999999999999998</v>
      </c>
    </row>
    <row r="131" spans="1:8" x14ac:dyDescent="0.25">
      <c r="A131" t="str">
        <f t="shared" si="37"/>
        <v>3C Aggregated and non-CO2 emissions on land</v>
      </c>
      <c r="B131" t="str">
        <f t="shared" si="41"/>
        <v>3C1 Biomass burning (N2O)</v>
      </c>
      <c r="C131" t="str">
        <f t="shared" si="44"/>
        <v>3C1f Biomass burning in Other lands</v>
      </c>
      <c r="D131" t="str">
        <f t="shared" si="44"/>
        <v>Bare ground</v>
      </c>
      <c r="E131" t="str">
        <f t="shared" si="42"/>
        <v>Biomass burning EF</v>
      </c>
      <c r="F131" t="str">
        <f t="shared" si="43"/>
        <v>CH4</v>
      </c>
      <c r="G131" t="s">
        <v>366</v>
      </c>
      <c r="H131" s="27">
        <v>0</v>
      </c>
    </row>
    <row r="132" spans="1:8" x14ac:dyDescent="0.25">
      <c r="A132" t="str">
        <f t="shared" si="37"/>
        <v>3C Aggregated and non-CO2 emissions on land</v>
      </c>
      <c r="B132" t="str">
        <f t="shared" si="41"/>
        <v>3C1 Biomass burning (N2O)</v>
      </c>
      <c r="C132" t="str">
        <f t="shared" si="44"/>
        <v>3C1a Biomass burning in forest land</v>
      </c>
      <c r="D132" t="str">
        <f t="shared" si="44"/>
        <v>Indigenous forests</v>
      </c>
      <c r="E132" t="str">
        <f>E127</f>
        <v>Biomass burning EF</v>
      </c>
      <c r="F132" t="s">
        <v>139</v>
      </c>
      <c r="G132" t="s">
        <v>366</v>
      </c>
      <c r="H132" s="27">
        <v>0.26</v>
      </c>
    </row>
    <row r="133" spans="1:8" x14ac:dyDescent="0.25">
      <c r="A133" t="str">
        <f t="shared" si="37"/>
        <v>3C Aggregated and non-CO2 emissions on land</v>
      </c>
      <c r="B133" t="str">
        <f t="shared" si="41"/>
        <v>3C1 Biomass burning (N2O)</v>
      </c>
      <c r="C133" t="str">
        <f t="shared" si="44"/>
        <v>3C1a Biomass burning in forest land</v>
      </c>
      <c r="D133" t="str">
        <f t="shared" si="44"/>
        <v>Thickets</v>
      </c>
      <c r="E133" t="str">
        <f t="shared" ref="E133:E147" si="45">E132</f>
        <v>Biomass burning EF</v>
      </c>
      <c r="F133" t="str">
        <f t="shared" ref="F133:F147" si="46">F132</f>
        <v>N2O</v>
      </c>
      <c r="G133" t="s">
        <v>366</v>
      </c>
      <c r="H133" s="27">
        <v>0.26</v>
      </c>
    </row>
    <row r="134" spans="1:8" x14ac:dyDescent="0.25">
      <c r="A134" t="str">
        <f t="shared" si="37"/>
        <v>3C Aggregated and non-CO2 emissions on land</v>
      </c>
      <c r="B134" t="str">
        <f t="shared" si="41"/>
        <v>3C1 Biomass burning (N2O)</v>
      </c>
      <c r="C134" t="str">
        <f t="shared" si="44"/>
        <v>3C1a Biomass burning in forest land</v>
      </c>
      <c r="D134" t="str">
        <f t="shared" si="44"/>
        <v>Woodlands</v>
      </c>
      <c r="E134" t="str">
        <f t="shared" si="45"/>
        <v>Biomass burning EF</v>
      </c>
      <c r="F134" t="str">
        <f t="shared" si="46"/>
        <v>N2O</v>
      </c>
      <c r="G134" t="s">
        <v>366</v>
      </c>
      <c r="H134" s="27">
        <v>0.21</v>
      </c>
    </row>
    <row r="135" spans="1:8" x14ac:dyDescent="0.25">
      <c r="A135" t="str">
        <f t="shared" si="37"/>
        <v>3C Aggregated and non-CO2 emissions on land</v>
      </c>
      <c r="B135" t="str">
        <f t="shared" si="41"/>
        <v>3C1 Biomass burning (N2O)</v>
      </c>
      <c r="C135" t="str">
        <f t="shared" si="44"/>
        <v>3C1a Biomass burning in forest land</v>
      </c>
      <c r="D135" t="str">
        <f t="shared" si="44"/>
        <v>Plantations</v>
      </c>
      <c r="E135" t="str">
        <f t="shared" si="45"/>
        <v>Biomass burning EF</v>
      </c>
      <c r="F135" t="str">
        <f t="shared" si="46"/>
        <v>N2O</v>
      </c>
      <c r="G135" t="s">
        <v>366</v>
      </c>
      <c r="H135" s="27">
        <v>0.26</v>
      </c>
    </row>
    <row r="136" spans="1:8" x14ac:dyDescent="0.25">
      <c r="A136" t="str">
        <f t="shared" si="37"/>
        <v>3C Aggregated and non-CO2 emissions on land</v>
      </c>
      <c r="B136" t="str">
        <f t="shared" si="41"/>
        <v>3C1 Biomass burning (N2O)</v>
      </c>
      <c r="C136" t="str">
        <f t="shared" si="44"/>
        <v>3C1b Biomass burning in Croplands</v>
      </c>
      <c r="D136" t="str">
        <f t="shared" si="44"/>
        <v>Annual non-pivot</v>
      </c>
      <c r="E136" t="str">
        <f t="shared" si="45"/>
        <v>Biomass burning EF</v>
      </c>
      <c r="F136" t="str">
        <f t="shared" si="46"/>
        <v>N2O</v>
      </c>
      <c r="G136" t="s">
        <v>366</v>
      </c>
      <c r="H136" s="27">
        <v>7.0000000000000007E-2</v>
      </c>
    </row>
    <row r="137" spans="1:8" x14ac:dyDescent="0.25">
      <c r="A137" t="str">
        <f t="shared" si="37"/>
        <v>3C Aggregated and non-CO2 emissions on land</v>
      </c>
      <c r="B137" t="str">
        <f t="shared" si="41"/>
        <v>3C1 Biomass burning (N2O)</v>
      </c>
      <c r="C137" t="str">
        <f t="shared" si="44"/>
        <v>3C1b Biomass burning in Croplands</v>
      </c>
      <c r="D137" t="str">
        <f t="shared" si="44"/>
        <v>Annual pivot</v>
      </c>
      <c r="E137" t="str">
        <f t="shared" si="45"/>
        <v>Biomass burning EF</v>
      </c>
      <c r="F137" t="str">
        <f t="shared" si="46"/>
        <v>N2O</v>
      </c>
      <c r="G137" t="s">
        <v>366</v>
      </c>
      <c r="H137" s="27">
        <v>7.0000000000000007E-2</v>
      </c>
    </row>
    <row r="138" spans="1:8" x14ac:dyDescent="0.25">
      <c r="A138" t="str">
        <f t="shared" si="37"/>
        <v>3C Aggregated and non-CO2 emissions on land</v>
      </c>
      <c r="B138" t="str">
        <f t="shared" si="41"/>
        <v>3C1 Biomass burning (N2O)</v>
      </c>
      <c r="C138" t="str">
        <f t="shared" si="44"/>
        <v>3C1b Biomass burning in Croplands</v>
      </c>
      <c r="D138" t="str">
        <f t="shared" si="44"/>
        <v>Perennial orchards</v>
      </c>
      <c r="E138" t="str">
        <f t="shared" si="45"/>
        <v>Biomass burning EF</v>
      </c>
      <c r="F138" t="str">
        <f t="shared" si="46"/>
        <v>N2O</v>
      </c>
      <c r="G138" t="s">
        <v>366</v>
      </c>
      <c r="H138" s="27">
        <v>7.0000000000000007E-2</v>
      </c>
    </row>
    <row r="139" spans="1:8" x14ac:dyDescent="0.25">
      <c r="A139" t="str">
        <f t="shared" si="37"/>
        <v>3C Aggregated and non-CO2 emissions on land</v>
      </c>
      <c r="B139" t="str">
        <f t="shared" si="41"/>
        <v>3C1 Biomass burning (N2O)</v>
      </c>
      <c r="C139" t="str">
        <f t="shared" si="44"/>
        <v>3C1b Biomass burning in Croplands</v>
      </c>
      <c r="D139" t="str">
        <f t="shared" si="44"/>
        <v>Perennial vineyards</v>
      </c>
      <c r="E139" t="str">
        <f t="shared" si="45"/>
        <v>Biomass burning EF</v>
      </c>
      <c r="F139" t="str">
        <f t="shared" si="46"/>
        <v>N2O</v>
      </c>
      <c r="G139" t="s">
        <v>366</v>
      </c>
      <c r="H139" s="27">
        <v>7.0000000000000007E-2</v>
      </c>
    </row>
    <row r="140" spans="1:8" x14ac:dyDescent="0.25">
      <c r="A140" t="str">
        <f t="shared" si="37"/>
        <v>3C Aggregated and non-CO2 emissions on land</v>
      </c>
      <c r="B140" t="str">
        <f t="shared" si="41"/>
        <v>3C1 Biomass burning (N2O)</v>
      </c>
      <c r="C140" t="str">
        <f t="shared" ref="C140:D147" si="47">C124</f>
        <v>3C1b Biomass burning in Croplands</v>
      </c>
      <c r="D140" t="str">
        <f t="shared" si="47"/>
        <v>Cropland subsistence</v>
      </c>
      <c r="E140" t="str">
        <f t="shared" si="45"/>
        <v>Biomass burning EF</v>
      </c>
      <c r="F140" t="str">
        <f t="shared" si="46"/>
        <v>N2O</v>
      </c>
      <c r="G140" t="s">
        <v>366</v>
      </c>
      <c r="H140" s="27">
        <v>7.0000000000000007E-2</v>
      </c>
    </row>
    <row r="141" spans="1:8" x14ac:dyDescent="0.25">
      <c r="A141" t="str">
        <f t="shared" si="37"/>
        <v>3C Aggregated and non-CO2 emissions on land</v>
      </c>
      <c r="B141" t="str">
        <f t="shared" si="41"/>
        <v>3C1 Biomass burning (N2O)</v>
      </c>
      <c r="C141" t="str">
        <f t="shared" si="47"/>
        <v>3C1c Biomass burning in Grasslands</v>
      </c>
      <c r="D141" t="str">
        <f t="shared" si="47"/>
        <v>Grasslands</v>
      </c>
      <c r="E141" t="str">
        <f t="shared" si="45"/>
        <v>Biomass burning EF</v>
      </c>
      <c r="F141" t="str">
        <f t="shared" si="46"/>
        <v>N2O</v>
      </c>
      <c r="G141" t="s">
        <v>366</v>
      </c>
      <c r="H141" s="27">
        <v>0.21</v>
      </c>
    </row>
    <row r="142" spans="1:8" x14ac:dyDescent="0.25">
      <c r="A142" t="str">
        <f t="shared" si="37"/>
        <v>3C Aggregated and non-CO2 emissions on land</v>
      </c>
      <c r="B142" t="str">
        <f t="shared" si="41"/>
        <v>3C1 Biomass burning (N2O)</v>
      </c>
      <c r="C142" t="str">
        <f t="shared" si="47"/>
        <v>3C1c Biomass burning in Grasslands</v>
      </c>
      <c r="D142" t="str">
        <f t="shared" si="47"/>
        <v>Low shrublands</v>
      </c>
      <c r="E142" t="str">
        <f t="shared" si="45"/>
        <v>Biomass burning EF</v>
      </c>
      <c r="F142" t="str">
        <f t="shared" si="46"/>
        <v>N2O</v>
      </c>
      <c r="G142" t="s">
        <v>366</v>
      </c>
      <c r="H142" s="27">
        <v>0.26</v>
      </c>
    </row>
    <row r="143" spans="1:8" x14ac:dyDescent="0.25">
      <c r="A143" t="str">
        <f t="shared" si="37"/>
        <v>3C Aggregated and non-CO2 emissions on land</v>
      </c>
      <c r="B143" t="str">
        <f t="shared" si="41"/>
        <v>3C1 Biomass burning (N2O)</v>
      </c>
      <c r="C143" t="str">
        <f t="shared" si="47"/>
        <v>3C1f Biomass burning in Other lands</v>
      </c>
      <c r="D143" t="str">
        <f t="shared" si="47"/>
        <v>Degraded land</v>
      </c>
      <c r="E143" t="str">
        <f>E147</f>
        <v>Biomass burning EF</v>
      </c>
      <c r="F143" t="str">
        <f>F147</f>
        <v>N2O</v>
      </c>
      <c r="G143" t="s">
        <v>366</v>
      </c>
      <c r="H143" s="27">
        <v>0.21</v>
      </c>
    </row>
    <row r="144" spans="1:8" x14ac:dyDescent="0.25">
      <c r="A144" t="str">
        <f t="shared" si="37"/>
        <v>3C Aggregated and non-CO2 emissions on land</v>
      </c>
      <c r="B144" t="str">
        <f t="shared" si="41"/>
        <v>3C1 Biomass burning (N2O)</v>
      </c>
      <c r="C144" t="str">
        <f t="shared" si="47"/>
        <v>3C1d Biomass burning in Wetlands</v>
      </c>
      <c r="D144" t="str">
        <f t="shared" si="47"/>
        <v>Wetlands</v>
      </c>
      <c r="E144" t="str">
        <f>E142</f>
        <v>Biomass burning EF</v>
      </c>
      <c r="F144" t="str">
        <f>F142</f>
        <v>N2O</v>
      </c>
      <c r="G144" t="s">
        <v>366</v>
      </c>
      <c r="H144" s="27">
        <v>0.21</v>
      </c>
    </row>
    <row r="145" spans="1:8" x14ac:dyDescent="0.25">
      <c r="A145" t="str">
        <f t="shared" si="37"/>
        <v>3C Aggregated and non-CO2 emissions on land</v>
      </c>
      <c r="B145" t="str">
        <f t="shared" si="41"/>
        <v>3C1 Biomass burning (N2O)</v>
      </c>
      <c r="C145" t="str">
        <f t="shared" si="47"/>
        <v>3C1e Biomass burning in Settlements</v>
      </c>
      <c r="D145" t="str">
        <f t="shared" si="47"/>
        <v>Settlements</v>
      </c>
      <c r="E145" t="str">
        <f t="shared" si="45"/>
        <v>Biomass burning EF</v>
      </c>
      <c r="F145" t="str">
        <f t="shared" si="46"/>
        <v>N2O</v>
      </c>
      <c r="G145" t="s">
        <v>366</v>
      </c>
      <c r="H145" s="27">
        <v>0.21</v>
      </c>
    </row>
    <row r="146" spans="1:8" x14ac:dyDescent="0.25">
      <c r="A146" t="str">
        <f t="shared" si="37"/>
        <v>3C Aggregated and non-CO2 emissions on land</v>
      </c>
      <c r="B146" t="str">
        <f t="shared" si="41"/>
        <v>3C1 Biomass burning (N2O)</v>
      </c>
      <c r="C146" t="str">
        <f t="shared" si="47"/>
        <v>3C1e Biomass burning in Settlements</v>
      </c>
      <c r="D146" t="str">
        <f t="shared" si="47"/>
        <v>Mines</v>
      </c>
      <c r="E146" t="str">
        <f t="shared" si="45"/>
        <v>Biomass burning EF</v>
      </c>
      <c r="F146" t="str">
        <f t="shared" si="46"/>
        <v>N2O</v>
      </c>
      <c r="G146" t="s">
        <v>366</v>
      </c>
      <c r="H146" s="27">
        <v>0.21</v>
      </c>
    </row>
    <row r="147" spans="1:8" x14ac:dyDescent="0.25">
      <c r="A147" t="str">
        <f t="shared" si="37"/>
        <v>3C Aggregated and non-CO2 emissions on land</v>
      </c>
      <c r="B147" t="str">
        <f t="shared" si="41"/>
        <v>3C1 Biomass burning (N2O)</v>
      </c>
      <c r="C147" t="str">
        <f t="shared" si="47"/>
        <v>3C1f Biomass burning in Other lands</v>
      </c>
      <c r="D147" t="str">
        <f t="shared" si="47"/>
        <v>Bare ground</v>
      </c>
      <c r="E147" t="str">
        <f t="shared" si="45"/>
        <v>Biomass burning EF</v>
      </c>
      <c r="F147" t="str">
        <f t="shared" si="46"/>
        <v>N2O</v>
      </c>
      <c r="G147" t="s">
        <v>366</v>
      </c>
      <c r="H147" s="27">
        <v>0</v>
      </c>
    </row>
    <row r="149" spans="1:8" x14ac:dyDescent="0.25">
      <c r="A149" t="str">
        <f>'IPCC Categories'!A59</f>
        <v>3C Aggregated and non-CO2 emissions on land</v>
      </c>
      <c r="B149" t="str">
        <f>'IPCC Categories'!B71</f>
        <v>3C2 Liming (CO2)</v>
      </c>
      <c r="E149" t="s">
        <v>378</v>
      </c>
      <c r="F149" t="s">
        <v>380</v>
      </c>
      <c r="G149" t="s">
        <v>379</v>
      </c>
      <c r="H149" s="27">
        <v>0.125</v>
      </c>
    </row>
    <row r="150" spans="1:8" x14ac:dyDescent="0.25">
      <c r="A150" t="str">
        <f>A149</f>
        <v>3C Aggregated and non-CO2 emissions on land</v>
      </c>
      <c r="B150" t="str">
        <f>'IPCC Categories'!B72</f>
        <v>3C3 Urea application (CO2)</v>
      </c>
      <c r="E150" t="s">
        <v>385</v>
      </c>
      <c r="F150" t="s">
        <v>380</v>
      </c>
      <c r="G150" t="s">
        <v>386</v>
      </c>
      <c r="H150" s="27">
        <v>0.2</v>
      </c>
    </row>
    <row r="152" spans="1:8" x14ac:dyDescent="0.25">
      <c r="A152" t="str">
        <f>A150</f>
        <v>3C Aggregated and non-CO2 emissions on land</v>
      </c>
      <c r="B152" t="str">
        <f>'IPCC Categories'!B73</f>
        <v>3C4 Direct N2O from managed soils (N2O)</v>
      </c>
      <c r="C152" t="s">
        <v>391</v>
      </c>
      <c r="D152" t="s">
        <v>392</v>
      </c>
      <c r="E152" t="str">
        <f>C152&amp;D152</f>
        <v>FracMM - Diary cattle</v>
      </c>
      <c r="F152" t="s">
        <v>139</v>
      </c>
      <c r="G152" t="s">
        <v>377</v>
      </c>
      <c r="H152" s="22">
        <f>(SUM('Mitigation drivers'!C12:C20,'Mitigation drivers'!C24:C32)/2)/100</f>
        <v>0.7</v>
      </c>
    </row>
    <row r="153" spans="1:8" x14ac:dyDescent="0.25">
      <c r="A153" t="str">
        <f>A152</f>
        <v>3C Aggregated and non-CO2 emissions on land</v>
      </c>
      <c r="B153" t="str">
        <f>B152</f>
        <v>3C4 Direct N2O from managed soils (N2O)</v>
      </c>
      <c r="C153" t="str">
        <f>C152</f>
        <v>FracMM</v>
      </c>
      <c r="D153" t="s">
        <v>393</v>
      </c>
      <c r="E153" t="str">
        <f t="shared" ref="E153:E176" si="48">C153&amp;D153</f>
        <v>FracMM - commercial other cattle</v>
      </c>
      <c r="F153" t="str">
        <f>F152</f>
        <v>N2O</v>
      </c>
      <c r="G153" t="str">
        <f>G152</f>
        <v>fraction</v>
      </c>
      <c r="H153" s="22">
        <f>(SUM('Mitigation drivers'!C36:C44,'Mitigation drivers'!C49:C57)/2)/100</f>
        <v>0.05</v>
      </c>
    </row>
    <row r="154" spans="1:8" x14ac:dyDescent="0.25">
      <c r="A154" t="str">
        <f t="shared" ref="A154:A163" si="49">A153</f>
        <v>3C Aggregated and non-CO2 emissions on land</v>
      </c>
      <c r="B154" t="str">
        <f t="shared" ref="B154:B163" si="50">B153</f>
        <v>3C4 Direct N2O from managed soils (N2O)</v>
      </c>
      <c r="C154" t="str">
        <f t="shared" ref="C154:C163" si="51">C153</f>
        <v>FracMM</v>
      </c>
      <c r="D154" t="s">
        <v>394</v>
      </c>
      <c r="E154" t="str">
        <f t="shared" si="48"/>
        <v>FracMM - feedlot other cattle</v>
      </c>
      <c r="F154" t="str">
        <f t="shared" ref="F154:F163" si="52">F153</f>
        <v>N2O</v>
      </c>
      <c r="G154" t="str">
        <f t="shared" ref="G154:G163" si="53">G153</f>
        <v>fraction</v>
      </c>
      <c r="H154" s="22">
        <f>(SUM('Mitigation drivers'!C73:C81))/100</f>
        <v>1</v>
      </c>
    </row>
    <row r="155" spans="1:8" x14ac:dyDescent="0.25">
      <c r="A155" t="str">
        <f t="shared" si="49"/>
        <v>3C Aggregated and non-CO2 emissions on land</v>
      </c>
      <c r="B155" t="str">
        <f t="shared" si="50"/>
        <v>3C4 Direct N2O from managed soils (N2O)</v>
      </c>
      <c r="C155" t="str">
        <f t="shared" si="51"/>
        <v>FracMM</v>
      </c>
      <c r="D155" t="s">
        <v>395</v>
      </c>
      <c r="E155" t="str">
        <f t="shared" si="48"/>
        <v>FracMM - subsistence other cattle</v>
      </c>
      <c r="F155" t="str">
        <f t="shared" si="52"/>
        <v>N2O</v>
      </c>
      <c r="G155" t="str">
        <f t="shared" si="53"/>
        <v>fraction</v>
      </c>
      <c r="H155" s="22">
        <f>(SUM('Mitigation drivers'!C61:C69))/100</f>
        <v>0.1</v>
      </c>
    </row>
    <row r="156" spans="1:8" x14ac:dyDescent="0.25">
      <c r="A156" t="str">
        <f t="shared" si="49"/>
        <v>3C Aggregated and non-CO2 emissions on land</v>
      </c>
      <c r="B156" t="str">
        <f t="shared" si="50"/>
        <v>3C4 Direct N2O from managed soils (N2O)</v>
      </c>
      <c r="C156" t="str">
        <f t="shared" si="51"/>
        <v>FracMM</v>
      </c>
      <c r="D156" t="s">
        <v>396</v>
      </c>
      <c r="E156" t="str">
        <f t="shared" si="48"/>
        <v>FracMM - commercial sheep</v>
      </c>
      <c r="F156" t="str">
        <f t="shared" si="52"/>
        <v>N2O</v>
      </c>
      <c r="G156" t="str">
        <f t="shared" si="53"/>
        <v>fraction</v>
      </c>
      <c r="H156" s="22">
        <f>(SUM('Mitigation drivers'!C86:C94))/100</f>
        <v>0.01</v>
      </c>
    </row>
    <row r="157" spans="1:8" x14ac:dyDescent="0.25">
      <c r="A157" t="str">
        <f t="shared" si="49"/>
        <v>3C Aggregated and non-CO2 emissions on land</v>
      </c>
      <c r="B157" t="str">
        <f t="shared" si="50"/>
        <v>3C4 Direct N2O from managed soils (N2O)</v>
      </c>
      <c r="C157" t="str">
        <f t="shared" si="51"/>
        <v>FracMM</v>
      </c>
      <c r="D157" t="s">
        <v>397</v>
      </c>
      <c r="E157" t="str">
        <f t="shared" si="48"/>
        <v>FracMM - subsistence sheep</v>
      </c>
      <c r="F157" t="str">
        <f t="shared" si="52"/>
        <v>N2O</v>
      </c>
      <c r="G157" t="str">
        <f t="shared" si="53"/>
        <v>fraction</v>
      </c>
      <c r="H157" s="22">
        <f>(SUM('Mitigation drivers'!C97:C105))/100</f>
        <v>7.0000000000000007E-2</v>
      </c>
    </row>
    <row r="158" spans="1:8" x14ac:dyDescent="0.25">
      <c r="A158" t="str">
        <f t="shared" si="49"/>
        <v>3C Aggregated and non-CO2 emissions on land</v>
      </c>
      <c r="B158" t="str">
        <f t="shared" si="50"/>
        <v>3C4 Direct N2O from managed soils (N2O)</v>
      </c>
      <c r="C158" t="str">
        <f t="shared" si="51"/>
        <v>FracMM</v>
      </c>
      <c r="D158" t="s">
        <v>398</v>
      </c>
      <c r="E158" t="str">
        <f t="shared" si="48"/>
        <v>FracMM - commercial goats</v>
      </c>
      <c r="F158" t="str">
        <f t="shared" si="52"/>
        <v>N2O</v>
      </c>
      <c r="G158" t="str">
        <f t="shared" si="53"/>
        <v>fraction</v>
      </c>
      <c r="H158" s="22">
        <f>(SUM('Mitigation drivers'!C110:C118))/100</f>
        <v>0.01</v>
      </c>
    </row>
    <row r="159" spans="1:8" x14ac:dyDescent="0.25">
      <c r="A159" t="str">
        <f t="shared" si="49"/>
        <v>3C Aggregated and non-CO2 emissions on land</v>
      </c>
      <c r="B159" t="str">
        <f t="shared" si="50"/>
        <v>3C4 Direct N2O from managed soils (N2O)</v>
      </c>
      <c r="C159" t="str">
        <f t="shared" si="51"/>
        <v>FracMM</v>
      </c>
      <c r="D159" t="s">
        <v>399</v>
      </c>
      <c r="E159" t="str">
        <f t="shared" si="48"/>
        <v>FracMM - subsistence goats</v>
      </c>
      <c r="F159" t="str">
        <f t="shared" si="52"/>
        <v>N2O</v>
      </c>
      <c r="G159" t="str">
        <f t="shared" si="53"/>
        <v>fraction</v>
      </c>
      <c r="H159" s="22">
        <f>(SUM('Mitigation drivers'!C122:C130))/100</f>
        <v>7.0000000000000007E-2</v>
      </c>
    </row>
    <row r="160" spans="1:8" x14ac:dyDescent="0.25">
      <c r="A160" t="str">
        <f t="shared" si="49"/>
        <v>3C Aggregated and non-CO2 emissions on land</v>
      </c>
      <c r="B160" t="str">
        <f t="shared" si="50"/>
        <v>3C4 Direct N2O from managed soils (N2O)</v>
      </c>
      <c r="C160" t="str">
        <f t="shared" si="51"/>
        <v>FracMM</v>
      </c>
      <c r="D160" t="s">
        <v>400</v>
      </c>
      <c r="E160" t="str">
        <f t="shared" si="48"/>
        <v>FracMM - commercial swine</v>
      </c>
      <c r="F160" t="str">
        <f t="shared" si="52"/>
        <v>N2O</v>
      </c>
      <c r="G160" t="str">
        <f t="shared" si="53"/>
        <v>fraction</v>
      </c>
      <c r="H160" s="22">
        <f>(SUM('Mitigation drivers'!C160:C168))/100</f>
        <v>1</v>
      </c>
    </row>
    <row r="161" spans="1:8" x14ac:dyDescent="0.25">
      <c r="A161" t="str">
        <f t="shared" si="49"/>
        <v>3C Aggregated and non-CO2 emissions on land</v>
      </c>
      <c r="B161" t="str">
        <f t="shared" si="50"/>
        <v>3C4 Direct N2O from managed soils (N2O)</v>
      </c>
      <c r="C161" t="str">
        <f t="shared" si="51"/>
        <v>FracMM</v>
      </c>
      <c r="D161" t="s">
        <v>401</v>
      </c>
      <c r="E161" t="str">
        <f t="shared" si="48"/>
        <v>FracMM - subsistence swine</v>
      </c>
      <c r="F161" t="str">
        <f t="shared" si="52"/>
        <v>N2O</v>
      </c>
      <c r="G161" t="str">
        <f t="shared" si="53"/>
        <v>fraction</v>
      </c>
      <c r="H161" s="22">
        <f>(SUM('Mitigation drivers'!C172:C180))/100</f>
        <v>1</v>
      </c>
    </row>
    <row r="162" spans="1:8" x14ac:dyDescent="0.25">
      <c r="A162" t="str">
        <f t="shared" si="49"/>
        <v>3C Aggregated and non-CO2 emissions on land</v>
      </c>
      <c r="B162" t="str">
        <f t="shared" si="50"/>
        <v>3C4 Direct N2O from managed soils (N2O)</v>
      </c>
      <c r="C162" t="str">
        <f t="shared" si="51"/>
        <v>FracMM</v>
      </c>
      <c r="D162" t="s">
        <v>402</v>
      </c>
      <c r="E162" t="str">
        <f t="shared" si="48"/>
        <v>FracMM - broilers</v>
      </c>
      <c r="F162" t="str">
        <f t="shared" si="52"/>
        <v>N2O</v>
      </c>
      <c r="G162" t="str">
        <f t="shared" si="53"/>
        <v>fraction</v>
      </c>
      <c r="H162" s="22">
        <f>(SUM('Mitigation drivers'!C197:C205,'Mitigation drivers'!C221:C229)/2)/100</f>
        <v>1</v>
      </c>
    </row>
    <row r="163" spans="1:8" x14ac:dyDescent="0.25">
      <c r="A163" t="str">
        <f t="shared" si="49"/>
        <v>3C Aggregated and non-CO2 emissions on land</v>
      </c>
      <c r="B163" t="str">
        <f t="shared" si="50"/>
        <v>3C4 Direct N2O from managed soils (N2O)</v>
      </c>
      <c r="C163" t="str">
        <f t="shared" si="51"/>
        <v>FracMM</v>
      </c>
      <c r="D163" t="s">
        <v>403</v>
      </c>
      <c r="E163" t="str">
        <f t="shared" si="48"/>
        <v>FracMM - layers</v>
      </c>
      <c r="F163" t="str">
        <f t="shared" si="52"/>
        <v>N2O</v>
      </c>
      <c r="G163" t="str">
        <f t="shared" si="53"/>
        <v>fraction</v>
      </c>
      <c r="H163" s="22">
        <f>(SUM('Mitigation drivers'!C185:C193,'Mitigation drivers'!C209:C217)/2)/100</f>
        <v>1</v>
      </c>
    </row>
    <row r="164" spans="1:8" x14ac:dyDescent="0.25">
      <c r="A164" t="str">
        <f t="shared" ref="A164" si="54">A163</f>
        <v>3C Aggregated and non-CO2 emissions on land</v>
      </c>
      <c r="B164" t="str">
        <f t="shared" ref="B164" si="55">B163</f>
        <v>3C4 Direct N2O from managed soils (N2O)</v>
      </c>
      <c r="C164" t="s">
        <v>404</v>
      </c>
      <c r="D164" t="str">
        <f>D152</f>
        <v xml:space="preserve"> - Diary cattle</v>
      </c>
      <c r="E164" t="str">
        <f t="shared" si="48"/>
        <v>FracLoss - Diary cattle</v>
      </c>
      <c r="F164" t="str">
        <f>F152</f>
        <v>N2O</v>
      </c>
      <c r="G164" t="str">
        <f>G152</f>
        <v>fraction</v>
      </c>
      <c r="H164" s="56">
        <v>0.44350000000000001</v>
      </c>
    </row>
    <row r="165" spans="1:8" x14ac:dyDescent="0.25">
      <c r="A165" t="str">
        <f t="shared" ref="A165:A192" si="56">A164</f>
        <v>3C Aggregated and non-CO2 emissions on land</v>
      </c>
      <c r="B165" t="str">
        <f t="shared" ref="B165:B192" si="57">B164</f>
        <v>3C4 Direct N2O from managed soils (N2O)</v>
      </c>
      <c r="C165" t="str">
        <f>C164</f>
        <v>FracLoss</v>
      </c>
      <c r="D165" t="str">
        <f t="shared" ref="D165:G165" si="58">D153</f>
        <v xml:space="preserve"> - commercial other cattle</v>
      </c>
      <c r="E165" t="str">
        <f t="shared" si="48"/>
        <v>FracLoss - commercial other cattle</v>
      </c>
      <c r="F165" t="str">
        <f t="shared" si="58"/>
        <v>N2O</v>
      </c>
      <c r="G165" t="str">
        <f t="shared" si="58"/>
        <v>fraction</v>
      </c>
      <c r="H165" s="56">
        <v>1.4E-2</v>
      </c>
    </row>
    <row r="166" spans="1:8" x14ac:dyDescent="0.25">
      <c r="A166" t="str">
        <f t="shared" si="56"/>
        <v>3C Aggregated and non-CO2 emissions on land</v>
      </c>
      <c r="B166" t="str">
        <f t="shared" si="57"/>
        <v>3C4 Direct N2O from managed soils (N2O)</v>
      </c>
      <c r="C166" t="str">
        <f>C165</f>
        <v>FracLoss</v>
      </c>
      <c r="D166" t="str">
        <f t="shared" ref="D166:G166" si="59">D154</f>
        <v xml:space="preserve"> - feedlot other cattle</v>
      </c>
      <c r="E166" t="str">
        <f t="shared" si="48"/>
        <v>FracLoss - feedlot other cattle</v>
      </c>
      <c r="F166" t="str">
        <f t="shared" si="59"/>
        <v>N2O</v>
      </c>
      <c r="G166" t="str">
        <f t="shared" si="59"/>
        <v>fraction</v>
      </c>
      <c r="H166" s="56">
        <v>0.38600000000000001</v>
      </c>
    </row>
    <row r="167" spans="1:8" x14ac:dyDescent="0.25">
      <c r="A167" t="str">
        <f t="shared" si="56"/>
        <v>3C Aggregated and non-CO2 emissions on land</v>
      </c>
      <c r="B167" t="str">
        <f t="shared" si="57"/>
        <v>3C4 Direct N2O from managed soils (N2O)</v>
      </c>
      <c r="C167" t="str">
        <f t="shared" ref="C167:C175" si="60">C166</f>
        <v>FracLoss</v>
      </c>
      <c r="D167" t="str">
        <f t="shared" ref="D167:G167" si="61">D155</f>
        <v xml:space="preserve"> - subsistence other cattle</v>
      </c>
      <c r="E167" t="str">
        <f t="shared" si="48"/>
        <v>FracLoss - subsistence other cattle</v>
      </c>
      <c r="F167" t="str">
        <f t="shared" si="61"/>
        <v>N2O</v>
      </c>
      <c r="G167" t="str">
        <f t="shared" si="61"/>
        <v>fraction</v>
      </c>
      <c r="H167" s="56">
        <v>0.04</v>
      </c>
    </row>
    <row r="168" spans="1:8" x14ac:dyDescent="0.25">
      <c r="A168" t="str">
        <f t="shared" si="56"/>
        <v>3C Aggregated and non-CO2 emissions on land</v>
      </c>
      <c r="B168" t="str">
        <f t="shared" si="57"/>
        <v>3C4 Direct N2O from managed soils (N2O)</v>
      </c>
      <c r="C168" t="str">
        <f t="shared" si="60"/>
        <v>FracLoss</v>
      </c>
      <c r="D168" t="str">
        <f t="shared" ref="D168:G168" si="62">D156</f>
        <v xml:space="preserve"> - commercial sheep</v>
      </c>
      <c r="E168" t="str">
        <f t="shared" si="48"/>
        <v>FracLoss - commercial sheep</v>
      </c>
      <c r="F168" t="str">
        <f t="shared" si="62"/>
        <v>N2O</v>
      </c>
      <c r="G168" t="str">
        <f t="shared" si="62"/>
        <v>fraction</v>
      </c>
      <c r="H168" s="56">
        <v>4.0000000000000001E-3</v>
      </c>
    </row>
    <row r="169" spans="1:8" x14ac:dyDescent="0.25">
      <c r="A169" t="str">
        <f t="shared" si="56"/>
        <v>3C Aggregated and non-CO2 emissions on land</v>
      </c>
      <c r="B169" t="str">
        <f t="shared" si="57"/>
        <v>3C4 Direct N2O from managed soils (N2O)</v>
      </c>
      <c r="C169" t="str">
        <f t="shared" si="60"/>
        <v>FracLoss</v>
      </c>
      <c r="D169" t="str">
        <f t="shared" ref="D169:G169" si="63">D157</f>
        <v xml:space="preserve"> - subsistence sheep</v>
      </c>
      <c r="E169" t="str">
        <f t="shared" si="48"/>
        <v>FracLoss - subsistence sheep</v>
      </c>
      <c r="F169" t="str">
        <f t="shared" si="63"/>
        <v>N2O</v>
      </c>
      <c r="G169" t="str">
        <f t="shared" si="63"/>
        <v>fraction</v>
      </c>
      <c r="H169" s="56">
        <v>2.5499999999999998E-2</v>
      </c>
    </row>
    <row r="170" spans="1:8" x14ac:dyDescent="0.25">
      <c r="A170" t="str">
        <f t="shared" si="56"/>
        <v>3C Aggregated and non-CO2 emissions on land</v>
      </c>
      <c r="B170" t="str">
        <f t="shared" si="57"/>
        <v>3C4 Direct N2O from managed soils (N2O)</v>
      </c>
      <c r="C170" t="str">
        <f t="shared" si="60"/>
        <v>FracLoss</v>
      </c>
      <c r="D170" t="str">
        <f t="shared" ref="D170:G170" si="64">D158</f>
        <v xml:space="preserve"> - commercial goats</v>
      </c>
      <c r="E170" t="str">
        <f t="shared" si="48"/>
        <v>FracLoss - commercial goats</v>
      </c>
      <c r="F170" t="str">
        <f t="shared" si="64"/>
        <v>N2O</v>
      </c>
      <c r="G170" t="str">
        <f t="shared" si="64"/>
        <v>fraction</v>
      </c>
      <c r="H170" s="56">
        <v>4.0000000000000001E-3</v>
      </c>
    </row>
    <row r="171" spans="1:8" x14ac:dyDescent="0.25">
      <c r="A171" t="str">
        <f t="shared" si="56"/>
        <v>3C Aggregated and non-CO2 emissions on land</v>
      </c>
      <c r="B171" t="str">
        <f t="shared" si="57"/>
        <v>3C4 Direct N2O from managed soils (N2O)</v>
      </c>
      <c r="C171" t="str">
        <f t="shared" si="60"/>
        <v>FracLoss</v>
      </c>
      <c r="D171" t="str">
        <f t="shared" ref="D171:G171" si="65">D159</f>
        <v xml:space="preserve"> - subsistence goats</v>
      </c>
      <c r="E171" t="str">
        <f t="shared" si="48"/>
        <v>FracLoss - subsistence goats</v>
      </c>
      <c r="F171" t="str">
        <f t="shared" si="65"/>
        <v>N2O</v>
      </c>
      <c r="G171" t="str">
        <f t="shared" si="65"/>
        <v>fraction</v>
      </c>
      <c r="H171" s="56">
        <v>2.5499999999999998E-2</v>
      </c>
    </row>
    <row r="172" spans="1:8" x14ac:dyDescent="0.25">
      <c r="A172" t="str">
        <f t="shared" si="56"/>
        <v>3C Aggregated and non-CO2 emissions on land</v>
      </c>
      <c r="B172" t="str">
        <f t="shared" si="57"/>
        <v>3C4 Direct N2O from managed soils (N2O)</v>
      </c>
      <c r="C172" t="str">
        <f t="shared" si="60"/>
        <v>FracLoss</v>
      </c>
      <c r="D172" t="str">
        <f t="shared" ref="D172:G172" si="66">D160</f>
        <v xml:space="preserve"> - commercial swine</v>
      </c>
      <c r="E172" t="str">
        <f t="shared" si="48"/>
        <v>FracLoss - commercial swine</v>
      </c>
      <c r="F172" t="str">
        <f t="shared" si="66"/>
        <v>N2O</v>
      </c>
      <c r="G172" t="str">
        <f t="shared" si="66"/>
        <v>fraction</v>
      </c>
      <c r="H172" s="56">
        <v>0.6522</v>
      </c>
    </row>
    <row r="173" spans="1:8" x14ac:dyDescent="0.25">
      <c r="A173" t="str">
        <f t="shared" si="56"/>
        <v>3C Aggregated and non-CO2 emissions on land</v>
      </c>
      <c r="B173" t="str">
        <f t="shared" si="57"/>
        <v>3C4 Direct N2O from managed soils (N2O)</v>
      </c>
      <c r="C173" t="str">
        <f t="shared" si="60"/>
        <v>FracLoss</v>
      </c>
      <c r="D173" t="str">
        <f t="shared" ref="D173:G173" si="67">D161</f>
        <v xml:space="preserve"> - subsistence swine</v>
      </c>
      <c r="E173" t="str">
        <f t="shared" si="48"/>
        <v>FracLoss - subsistence swine</v>
      </c>
      <c r="F173" t="str">
        <f t="shared" si="67"/>
        <v>N2O</v>
      </c>
      <c r="G173" t="str">
        <f t="shared" si="67"/>
        <v>fraction</v>
      </c>
      <c r="H173" s="56">
        <v>0.40959999999999996</v>
      </c>
    </row>
    <row r="174" spans="1:8" x14ac:dyDescent="0.25">
      <c r="A174" t="str">
        <f t="shared" si="56"/>
        <v>3C Aggregated and non-CO2 emissions on land</v>
      </c>
      <c r="B174" t="str">
        <f t="shared" si="57"/>
        <v>3C4 Direct N2O from managed soils (N2O)</v>
      </c>
      <c r="C174" t="str">
        <f t="shared" si="60"/>
        <v>FracLoss</v>
      </c>
      <c r="D174" t="str">
        <f t="shared" ref="D174:G174" si="68">D162</f>
        <v xml:space="preserve"> - broilers</v>
      </c>
      <c r="E174" t="str">
        <f t="shared" si="48"/>
        <v>FracLoss - broilers</v>
      </c>
      <c r="F174" t="str">
        <f t="shared" si="68"/>
        <v>N2O</v>
      </c>
      <c r="G174" t="str">
        <f t="shared" si="68"/>
        <v>fraction</v>
      </c>
      <c r="H174" s="56">
        <v>0.24</v>
      </c>
    </row>
    <row r="175" spans="1:8" x14ac:dyDescent="0.25">
      <c r="A175" t="str">
        <f t="shared" si="56"/>
        <v>3C Aggregated and non-CO2 emissions on land</v>
      </c>
      <c r="B175" t="str">
        <f t="shared" si="57"/>
        <v>3C4 Direct N2O from managed soils (N2O)</v>
      </c>
      <c r="C175" t="str">
        <f t="shared" si="60"/>
        <v>FracLoss</v>
      </c>
      <c r="D175" t="str">
        <f t="shared" ref="D175:G176" si="69">D163</f>
        <v xml:space="preserve"> - layers</v>
      </c>
      <c r="E175" t="str">
        <f t="shared" si="48"/>
        <v>FracLoss - layers</v>
      </c>
      <c r="F175" t="str">
        <f t="shared" si="69"/>
        <v>N2O</v>
      </c>
      <c r="G175" t="str">
        <f t="shared" si="69"/>
        <v>fraction</v>
      </c>
      <c r="H175" s="56">
        <v>0.29600000000000004</v>
      </c>
    </row>
    <row r="176" spans="1:8" x14ac:dyDescent="0.25">
      <c r="A176" t="str">
        <f t="shared" si="56"/>
        <v>3C Aggregated and non-CO2 emissions on land</v>
      </c>
      <c r="B176" t="str">
        <f t="shared" si="57"/>
        <v>3C4 Direct N2O from managed soils (N2O)</v>
      </c>
      <c r="C176" t="s">
        <v>405</v>
      </c>
      <c r="D176" t="str">
        <f>D164</f>
        <v xml:space="preserve"> - Diary cattle</v>
      </c>
      <c r="E176" t="str">
        <f t="shared" si="48"/>
        <v>N for bedding - Diary cattle</v>
      </c>
      <c r="F176" t="str">
        <f t="shared" si="69"/>
        <v>N2O</v>
      </c>
      <c r="G176" t="str">
        <f t="shared" si="69"/>
        <v>fraction</v>
      </c>
      <c r="H176" s="56">
        <v>0.35</v>
      </c>
    </row>
    <row r="177" spans="1:8" x14ac:dyDescent="0.25">
      <c r="A177" t="str">
        <f t="shared" si="56"/>
        <v>3C Aggregated and non-CO2 emissions on land</v>
      </c>
      <c r="B177" t="str">
        <f t="shared" si="57"/>
        <v>3C4 Direct N2O from managed soils (N2O)</v>
      </c>
      <c r="C177" t="s">
        <v>405</v>
      </c>
      <c r="D177" t="str">
        <f t="shared" ref="D177:D187" si="70">D165</f>
        <v xml:space="preserve"> - commercial other cattle</v>
      </c>
      <c r="E177" t="str">
        <f t="shared" ref="E177:E187" si="71">C177&amp;D177</f>
        <v>N for bedding - commercial other cattle</v>
      </c>
      <c r="F177" t="str">
        <f t="shared" ref="F177:G177" si="72">F165</f>
        <v>N2O</v>
      </c>
      <c r="G177" t="str">
        <f t="shared" si="72"/>
        <v>fraction</v>
      </c>
      <c r="H177" s="56">
        <v>0.04</v>
      </c>
    </row>
    <row r="178" spans="1:8" x14ac:dyDescent="0.25">
      <c r="A178" t="str">
        <f t="shared" si="56"/>
        <v>3C Aggregated and non-CO2 emissions on land</v>
      </c>
      <c r="B178" t="str">
        <f t="shared" si="57"/>
        <v>3C4 Direct N2O from managed soils (N2O)</v>
      </c>
      <c r="C178" t="s">
        <v>405</v>
      </c>
      <c r="D178" t="str">
        <f t="shared" si="70"/>
        <v xml:space="preserve"> - feedlot other cattle</v>
      </c>
      <c r="E178" t="str">
        <f t="shared" si="71"/>
        <v>N for bedding - feedlot other cattle</v>
      </c>
      <c r="F178" t="str">
        <f t="shared" ref="F178:G178" si="73">F166</f>
        <v>N2O</v>
      </c>
      <c r="G178" t="str">
        <f t="shared" si="73"/>
        <v>fraction</v>
      </c>
      <c r="H178" s="56">
        <v>0</v>
      </c>
    </row>
    <row r="179" spans="1:8" x14ac:dyDescent="0.25">
      <c r="A179" t="str">
        <f t="shared" si="56"/>
        <v>3C Aggregated and non-CO2 emissions on land</v>
      </c>
      <c r="B179" t="str">
        <f t="shared" si="57"/>
        <v>3C4 Direct N2O from managed soils (N2O)</v>
      </c>
      <c r="C179" t="s">
        <v>405</v>
      </c>
      <c r="D179" t="str">
        <f t="shared" si="70"/>
        <v xml:space="preserve"> - subsistence other cattle</v>
      </c>
      <c r="E179" t="str">
        <f t="shared" si="71"/>
        <v>N for bedding - subsistence other cattle</v>
      </c>
      <c r="F179" t="str">
        <f t="shared" ref="F179:G179" si="74">F167</f>
        <v>N2O</v>
      </c>
      <c r="G179" t="str">
        <f t="shared" si="74"/>
        <v>fraction</v>
      </c>
      <c r="H179" s="56">
        <v>0.4</v>
      </c>
    </row>
    <row r="180" spans="1:8" x14ac:dyDescent="0.25">
      <c r="A180" t="str">
        <f t="shared" si="56"/>
        <v>3C Aggregated and non-CO2 emissions on land</v>
      </c>
      <c r="B180" t="str">
        <f t="shared" si="57"/>
        <v>3C4 Direct N2O from managed soils (N2O)</v>
      </c>
      <c r="C180" t="s">
        <v>405</v>
      </c>
      <c r="D180" t="str">
        <f t="shared" si="70"/>
        <v xml:space="preserve"> - commercial sheep</v>
      </c>
      <c r="E180" t="str">
        <f t="shared" si="71"/>
        <v>N for bedding - commercial sheep</v>
      </c>
      <c r="F180" t="str">
        <f t="shared" ref="F180:G180" si="75">F168</f>
        <v>N2O</v>
      </c>
      <c r="G180" t="str">
        <f t="shared" si="75"/>
        <v>fraction</v>
      </c>
      <c r="H180" s="56">
        <v>0</v>
      </c>
    </row>
    <row r="181" spans="1:8" x14ac:dyDescent="0.25">
      <c r="A181" t="str">
        <f t="shared" si="56"/>
        <v>3C Aggregated and non-CO2 emissions on land</v>
      </c>
      <c r="B181" t="str">
        <f t="shared" si="57"/>
        <v>3C4 Direct N2O from managed soils (N2O)</v>
      </c>
      <c r="C181" t="s">
        <v>405</v>
      </c>
      <c r="D181" t="str">
        <f t="shared" si="70"/>
        <v xml:space="preserve"> - subsistence sheep</v>
      </c>
      <c r="E181" t="str">
        <f t="shared" si="71"/>
        <v>N for bedding - subsistence sheep</v>
      </c>
      <c r="F181" t="str">
        <f t="shared" ref="F181:G181" si="76">F169</f>
        <v>N2O</v>
      </c>
      <c r="G181" t="str">
        <f t="shared" si="76"/>
        <v>fraction</v>
      </c>
      <c r="H181" s="56">
        <v>0</v>
      </c>
    </row>
    <row r="182" spans="1:8" x14ac:dyDescent="0.25">
      <c r="A182" t="str">
        <f t="shared" si="56"/>
        <v>3C Aggregated and non-CO2 emissions on land</v>
      </c>
      <c r="B182" t="str">
        <f t="shared" si="57"/>
        <v>3C4 Direct N2O from managed soils (N2O)</v>
      </c>
      <c r="C182" t="s">
        <v>405</v>
      </c>
      <c r="D182" t="str">
        <f t="shared" si="70"/>
        <v xml:space="preserve"> - commercial goats</v>
      </c>
      <c r="E182" t="str">
        <f t="shared" si="71"/>
        <v>N for bedding - commercial goats</v>
      </c>
      <c r="F182" t="str">
        <f t="shared" ref="F182:G182" si="77">F170</f>
        <v>N2O</v>
      </c>
      <c r="G182" t="str">
        <f t="shared" si="77"/>
        <v>fraction</v>
      </c>
      <c r="H182" s="56">
        <v>0</v>
      </c>
    </row>
    <row r="183" spans="1:8" x14ac:dyDescent="0.25">
      <c r="A183" t="str">
        <f t="shared" si="56"/>
        <v>3C Aggregated and non-CO2 emissions on land</v>
      </c>
      <c r="B183" t="str">
        <f t="shared" si="57"/>
        <v>3C4 Direct N2O from managed soils (N2O)</v>
      </c>
      <c r="C183" t="s">
        <v>405</v>
      </c>
      <c r="D183" t="str">
        <f t="shared" si="70"/>
        <v xml:space="preserve"> - subsistence goats</v>
      </c>
      <c r="E183" t="str">
        <f t="shared" si="71"/>
        <v>N for bedding - subsistence goats</v>
      </c>
      <c r="F183" t="str">
        <f t="shared" ref="F183:G183" si="78">F171</f>
        <v>N2O</v>
      </c>
      <c r="G183" t="str">
        <f t="shared" si="78"/>
        <v>fraction</v>
      </c>
      <c r="H183" s="56">
        <v>0</v>
      </c>
    </row>
    <row r="184" spans="1:8" x14ac:dyDescent="0.25">
      <c r="A184" t="str">
        <f t="shared" si="56"/>
        <v>3C Aggregated and non-CO2 emissions on land</v>
      </c>
      <c r="B184" t="str">
        <f t="shared" si="57"/>
        <v>3C4 Direct N2O from managed soils (N2O)</v>
      </c>
      <c r="C184" t="s">
        <v>405</v>
      </c>
      <c r="D184" t="str">
        <f t="shared" si="70"/>
        <v xml:space="preserve"> - commercial swine</v>
      </c>
      <c r="E184" t="str">
        <f t="shared" si="71"/>
        <v>N for bedding - commercial swine</v>
      </c>
      <c r="F184" t="str">
        <f t="shared" ref="F184:G184" si="79">F172</f>
        <v>N2O</v>
      </c>
      <c r="G184" t="str">
        <f t="shared" si="79"/>
        <v>fraction</v>
      </c>
      <c r="H184" s="56">
        <v>0</v>
      </c>
    </row>
    <row r="185" spans="1:8" x14ac:dyDescent="0.25">
      <c r="A185" t="str">
        <f t="shared" si="56"/>
        <v>3C Aggregated and non-CO2 emissions on land</v>
      </c>
      <c r="B185" t="str">
        <f t="shared" si="57"/>
        <v>3C4 Direct N2O from managed soils (N2O)</v>
      </c>
      <c r="C185" t="s">
        <v>405</v>
      </c>
      <c r="D185" t="str">
        <f t="shared" si="70"/>
        <v xml:space="preserve"> - subsistence swine</v>
      </c>
      <c r="E185" t="str">
        <f t="shared" si="71"/>
        <v>N for bedding - subsistence swine</v>
      </c>
      <c r="F185" t="str">
        <f t="shared" ref="F185:G185" si="80">F173</f>
        <v>N2O</v>
      </c>
      <c r="G185" t="str">
        <f t="shared" si="80"/>
        <v>fraction</v>
      </c>
      <c r="H185" s="56">
        <v>0</v>
      </c>
    </row>
    <row r="186" spans="1:8" x14ac:dyDescent="0.25">
      <c r="A186" t="str">
        <f t="shared" si="56"/>
        <v>3C Aggregated and non-CO2 emissions on land</v>
      </c>
      <c r="B186" t="str">
        <f t="shared" si="57"/>
        <v>3C4 Direct N2O from managed soils (N2O)</v>
      </c>
      <c r="C186" t="s">
        <v>405</v>
      </c>
      <c r="D186" t="str">
        <f t="shared" si="70"/>
        <v xml:space="preserve"> - broilers</v>
      </c>
      <c r="E186" t="str">
        <f t="shared" si="71"/>
        <v>N for bedding - broilers</v>
      </c>
      <c r="F186" t="str">
        <f t="shared" ref="F186:G186" si="81">F174</f>
        <v>N2O</v>
      </c>
      <c r="G186" t="str">
        <f t="shared" si="81"/>
        <v>fraction</v>
      </c>
      <c r="H186" s="56">
        <v>0</v>
      </c>
    </row>
    <row r="187" spans="1:8" x14ac:dyDescent="0.25">
      <c r="A187" t="str">
        <f t="shared" si="56"/>
        <v>3C Aggregated and non-CO2 emissions on land</v>
      </c>
      <c r="B187" t="str">
        <f t="shared" si="57"/>
        <v>3C4 Direct N2O from managed soils (N2O)</v>
      </c>
      <c r="C187" t="s">
        <v>405</v>
      </c>
      <c r="D187" t="str">
        <f t="shared" si="70"/>
        <v xml:space="preserve"> - layers</v>
      </c>
      <c r="E187" t="str">
        <f t="shared" si="71"/>
        <v>N for bedding - layers</v>
      </c>
      <c r="F187" t="str">
        <f t="shared" ref="F187:G187" si="82">F175</f>
        <v>N2O</v>
      </c>
      <c r="G187" t="str">
        <f t="shared" si="82"/>
        <v>fraction</v>
      </c>
      <c r="H187" s="56">
        <v>0</v>
      </c>
    </row>
    <row r="188" spans="1:8" x14ac:dyDescent="0.25">
      <c r="A188" t="str">
        <f t="shared" si="56"/>
        <v>3C Aggregated and non-CO2 emissions on land</v>
      </c>
      <c r="B188" t="str">
        <f t="shared" si="57"/>
        <v>3C4 Direct N2O from managed soils (N2O)</v>
      </c>
      <c r="C188" t="s">
        <v>411</v>
      </c>
      <c r="D188" t="s">
        <v>417</v>
      </c>
      <c r="E188" t="str">
        <f t="shared" ref="E188:E206" si="83">C188&amp;D188</f>
        <v>Synthetic N - EF</v>
      </c>
      <c r="F188" t="str">
        <f t="shared" ref="F188" si="84">F176</f>
        <v>N2O</v>
      </c>
      <c r="G188" t="s">
        <v>416</v>
      </c>
      <c r="H188" s="27">
        <v>0.01</v>
      </c>
    </row>
    <row r="189" spans="1:8" x14ac:dyDescent="0.25">
      <c r="A189" t="str">
        <f t="shared" si="56"/>
        <v>3C Aggregated and non-CO2 emissions on land</v>
      </c>
      <c r="B189" t="str">
        <f t="shared" si="57"/>
        <v>3C4 Direct N2O from managed soils (N2O)</v>
      </c>
      <c r="C189" t="s">
        <v>412</v>
      </c>
      <c r="D189" t="str">
        <f>D188</f>
        <v xml:space="preserve"> - EF</v>
      </c>
      <c r="E189" t="str">
        <f t="shared" si="83"/>
        <v>Organic N - EF</v>
      </c>
      <c r="F189" t="str">
        <f t="shared" ref="F189" si="85">F177</f>
        <v>N2O</v>
      </c>
      <c r="G189" t="s">
        <v>416</v>
      </c>
      <c r="H189" s="27">
        <v>0.01</v>
      </c>
    </row>
    <row r="190" spans="1:8" x14ac:dyDescent="0.25">
      <c r="A190" t="str">
        <f t="shared" si="56"/>
        <v>3C Aggregated and non-CO2 emissions on land</v>
      </c>
      <c r="B190" t="str">
        <f t="shared" si="57"/>
        <v>3C4 Direct N2O from managed soils (N2O)</v>
      </c>
      <c r="C190" t="s">
        <v>406</v>
      </c>
      <c r="D190" t="str">
        <f t="shared" ref="D190:D193" si="86">D189</f>
        <v xml:space="preserve"> - EF</v>
      </c>
      <c r="E190" t="str">
        <f t="shared" si="83"/>
        <v>Manure N - EF</v>
      </c>
      <c r="F190" t="str">
        <f t="shared" ref="F190" si="87">F178</f>
        <v>N2O</v>
      </c>
      <c r="G190" t="s">
        <v>416</v>
      </c>
      <c r="H190" s="27">
        <v>0.01</v>
      </c>
    </row>
    <row r="191" spans="1:8" x14ac:dyDescent="0.25">
      <c r="A191" t="str">
        <f t="shared" si="56"/>
        <v>3C Aggregated and non-CO2 emissions on land</v>
      </c>
      <c r="B191" t="str">
        <f t="shared" si="57"/>
        <v>3C4 Direct N2O from managed soils (N2O)</v>
      </c>
      <c r="C191" t="s">
        <v>414</v>
      </c>
      <c r="D191" t="str">
        <f t="shared" si="86"/>
        <v xml:space="preserve"> - EF</v>
      </c>
      <c r="E191" t="str">
        <f t="shared" si="83"/>
        <v>Urine and dung N (CPP) - EF</v>
      </c>
      <c r="F191" t="str">
        <f t="shared" ref="F191" si="88">F179</f>
        <v>N2O</v>
      </c>
      <c r="G191" t="s">
        <v>416</v>
      </c>
      <c r="H191" s="27">
        <v>0.02</v>
      </c>
    </row>
    <row r="192" spans="1:8" x14ac:dyDescent="0.25">
      <c r="A192" t="str">
        <f t="shared" si="56"/>
        <v>3C Aggregated and non-CO2 emissions on land</v>
      </c>
      <c r="B192" t="str">
        <f t="shared" si="57"/>
        <v>3C4 Direct N2O from managed soils (N2O)</v>
      </c>
      <c r="C192" t="s">
        <v>415</v>
      </c>
      <c r="D192" t="str">
        <f t="shared" si="86"/>
        <v xml:space="preserve"> - EF</v>
      </c>
      <c r="E192" t="str">
        <f t="shared" si="83"/>
        <v>Urine and dung N (SO) - EF</v>
      </c>
      <c r="F192" t="str">
        <f t="shared" ref="F192" si="89">F180</f>
        <v>N2O</v>
      </c>
      <c r="G192" t="s">
        <v>416</v>
      </c>
      <c r="H192" s="27">
        <v>0.01</v>
      </c>
    </row>
    <row r="193" spans="1:8" x14ac:dyDescent="0.25">
      <c r="A193" t="str">
        <f t="shared" ref="A193" si="90">A192</f>
        <v>3C Aggregated and non-CO2 emissions on land</v>
      </c>
      <c r="B193" t="str">
        <f t="shared" ref="B193" si="91">B192</f>
        <v>3C4 Direct N2O from managed soils (N2O)</v>
      </c>
      <c r="C193" t="s">
        <v>413</v>
      </c>
      <c r="D193" t="str">
        <f t="shared" si="86"/>
        <v xml:space="preserve"> - EF</v>
      </c>
      <c r="E193" t="str">
        <f t="shared" si="83"/>
        <v>SOM N - EF</v>
      </c>
      <c r="F193" t="str">
        <f t="shared" ref="F193:F194" si="92">F181</f>
        <v>N2O</v>
      </c>
      <c r="G193" t="s">
        <v>416</v>
      </c>
      <c r="H193" s="27">
        <v>0.01</v>
      </c>
    </row>
    <row r="194" spans="1:8" x14ac:dyDescent="0.25">
      <c r="A194" t="str">
        <f t="shared" ref="A194" si="93">A193</f>
        <v>3C Aggregated and non-CO2 emissions on land</v>
      </c>
      <c r="B194" t="str">
        <f t="shared" ref="B194" si="94">B193</f>
        <v>3C4 Direct N2O from managed soils (N2O)</v>
      </c>
      <c r="C194" t="s">
        <v>446</v>
      </c>
      <c r="D194" t="s">
        <v>417</v>
      </c>
      <c r="E194" t="str">
        <f t="shared" ref="E194" si="95">C194&amp;D194</f>
        <v>Crop residue - EF</v>
      </c>
      <c r="F194" t="str">
        <f t="shared" si="92"/>
        <v>N2O</v>
      </c>
      <c r="G194" t="s">
        <v>416</v>
      </c>
      <c r="H194" s="27">
        <v>0.01</v>
      </c>
    </row>
    <row r="196" spans="1:8" x14ac:dyDescent="0.25">
      <c r="A196" t="str">
        <f>'IPCC Categories'!A59</f>
        <v>3C Aggregated and non-CO2 emissions on land</v>
      </c>
      <c r="B196" t="str">
        <f>'IPCC Categories'!B78</f>
        <v>3C5 Indirect N2O from managed soils (N2O)</v>
      </c>
      <c r="C196" t="s">
        <v>423</v>
      </c>
      <c r="D196" t="s">
        <v>426</v>
      </c>
      <c r="E196" t="str">
        <f t="shared" si="83"/>
        <v>FracGASF - synthetic N</v>
      </c>
      <c r="F196" t="s">
        <v>139</v>
      </c>
      <c r="G196" t="s">
        <v>377</v>
      </c>
      <c r="H196" s="27">
        <v>0.1</v>
      </c>
    </row>
    <row r="197" spans="1:8" x14ac:dyDescent="0.25">
      <c r="A197" t="str">
        <f>A196</f>
        <v>3C Aggregated and non-CO2 emissions on land</v>
      </c>
      <c r="B197" t="str">
        <f>B196</f>
        <v>3C5 Indirect N2O from managed soils (N2O)</v>
      </c>
      <c r="C197" t="s">
        <v>424</v>
      </c>
      <c r="D197" t="s">
        <v>427</v>
      </c>
      <c r="E197" t="str">
        <f t="shared" si="83"/>
        <v>FracGASM - Organic N</v>
      </c>
      <c r="F197" t="str">
        <f>F196</f>
        <v>N2O</v>
      </c>
      <c r="G197" t="str">
        <f>G196</f>
        <v>fraction</v>
      </c>
      <c r="H197" s="27">
        <v>0.2</v>
      </c>
    </row>
    <row r="198" spans="1:8" x14ac:dyDescent="0.25">
      <c r="A198" t="str">
        <f t="shared" ref="A198:A201" si="96">A197</f>
        <v>3C Aggregated and non-CO2 emissions on land</v>
      </c>
      <c r="B198" t="str">
        <f t="shared" ref="B198:B201" si="97">B197</f>
        <v>3C5 Indirect N2O from managed soils (N2O)</v>
      </c>
      <c r="C198" t="s">
        <v>425</v>
      </c>
      <c r="D198" t="s">
        <v>428</v>
      </c>
      <c r="E198" t="str">
        <f t="shared" si="83"/>
        <v>FracLEACH - N application</v>
      </c>
      <c r="F198" t="str">
        <f t="shared" ref="F198:F201" si="98">F197</f>
        <v>N2O</v>
      </c>
      <c r="G198" t="str">
        <f t="shared" ref="G198:G199" si="99">G197</f>
        <v>fraction</v>
      </c>
      <c r="H198" s="27">
        <v>4.5999999999999999E-2</v>
      </c>
    </row>
    <row r="199" spans="1:8" x14ac:dyDescent="0.25">
      <c r="A199" t="str">
        <f t="shared" si="96"/>
        <v>3C Aggregated and non-CO2 emissions on land</v>
      </c>
      <c r="B199" t="str">
        <f t="shared" si="97"/>
        <v>3C5 Indirect N2O from managed soils (N2O)</v>
      </c>
      <c r="C199" t="s">
        <v>425</v>
      </c>
      <c r="D199" t="s">
        <v>429</v>
      </c>
      <c r="E199" t="str">
        <f t="shared" si="83"/>
        <v>FracLEACH - U&amp;D</v>
      </c>
      <c r="F199" t="str">
        <f t="shared" si="98"/>
        <v>N2O</v>
      </c>
      <c r="G199" t="str">
        <f t="shared" si="99"/>
        <v>fraction</v>
      </c>
      <c r="H199" s="27">
        <v>0</v>
      </c>
    </row>
    <row r="200" spans="1:8" x14ac:dyDescent="0.25">
      <c r="A200" t="str">
        <f t="shared" si="96"/>
        <v>3C Aggregated and non-CO2 emissions on land</v>
      </c>
      <c r="B200" t="str">
        <f t="shared" si="97"/>
        <v>3C5 Indirect N2O from managed soils (N2O)</v>
      </c>
      <c r="C200" t="s">
        <v>432</v>
      </c>
      <c r="D200" t="s">
        <v>430</v>
      </c>
      <c r="E200" t="str">
        <f t="shared" si="83"/>
        <v>Indirect MS - volatilisation EF</v>
      </c>
      <c r="F200" t="str">
        <f t="shared" si="98"/>
        <v>N2O</v>
      </c>
      <c r="G200" t="s">
        <v>433</v>
      </c>
      <c r="H200" s="27">
        <v>0.01</v>
      </c>
    </row>
    <row r="201" spans="1:8" x14ac:dyDescent="0.25">
      <c r="A201" t="str">
        <f t="shared" si="96"/>
        <v>3C Aggregated and non-CO2 emissions on land</v>
      </c>
      <c r="B201" t="str">
        <f t="shared" si="97"/>
        <v>3C5 Indirect N2O from managed soils (N2O)</v>
      </c>
      <c r="C201" t="str">
        <f>C200</f>
        <v>Indirect MS</v>
      </c>
      <c r="D201" t="s">
        <v>431</v>
      </c>
      <c r="E201" t="str">
        <f t="shared" si="83"/>
        <v>Indirect MS - leaching EF</v>
      </c>
      <c r="F201" t="str">
        <f t="shared" si="98"/>
        <v>N2O</v>
      </c>
      <c r="G201" t="s">
        <v>434</v>
      </c>
      <c r="H201" s="27">
        <v>7.4999999999999997E-3</v>
      </c>
    </row>
    <row r="203" spans="1:8" x14ac:dyDescent="0.25">
      <c r="A203" t="str">
        <f>'IPCC Categories'!A59</f>
        <v>3C Aggregated and non-CO2 emissions on land</v>
      </c>
      <c r="B203" t="str">
        <f>'IPCC Categories'!B80</f>
        <v>3C6 Indirect N2O from manure management (N2O)</v>
      </c>
      <c r="C203" t="s">
        <v>440</v>
      </c>
      <c r="D203" t="s">
        <v>441</v>
      </c>
      <c r="E203" t="str">
        <f t="shared" si="83"/>
        <v>FracLEACHMM - manure management</v>
      </c>
      <c r="F203" t="s">
        <v>139</v>
      </c>
      <c r="G203" t="s">
        <v>377</v>
      </c>
      <c r="H203" s="27">
        <v>0.1</v>
      </c>
    </row>
    <row r="204" spans="1:8" x14ac:dyDescent="0.25">
      <c r="A204" t="str">
        <f t="shared" ref="A204:B206" si="100">A203</f>
        <v>3C Aggregated and non-CO2 emissions on land</v>
      </c>
      <c r="B204" t="str">
        <f t="shared" si="100"/>
        <v>3C6 Indirect N2O from manure management (N2O)</v>
      </c>
      <c r="C204" t="s">
        <v>442</v>
      </c>
      <c r="D204" t="s">
        <v>430</v>
      </c>
      <c r="E204" t="str">
        <f t="shared" si="83"/>
        <v>Indirect MM - volatilisation EF</v>
      </c>
      <c r="F204" t="str">
        <f>F203</f>
        <v>N2O</v>
      </c>
      <c r="G204" t="s">
        <v>433</v>
      </c>
      <c r="H204" s="27">
        <v>0.01</v>
      </c>
    </row>
    <row r="205" spans="1:8" x14ac:dyDescent="0.25">
      <c r="A205" t="str">
        <f t="shared" si="100"/>
        <v>3C Aggregated and non-CO2 emissions on land</v>
      </c>
      <c r="B205" t="str">
        <f t="shared" si="100"/>
        <v>3C6 Indirect N2O from manure management (N2O)</v>
      </c>
      <c r="C205" t="str">
        <f>C204</f>
        <v>Indirect MM</v>
      </c>
      <c r="D205" t="s">
        <v>431</v>
      </c>
      <c r="E205" t="str">
        <f t="shared" si="83"/>
        <v>Indirect MM - leaching EF</v>
      </c>
      <c r="F205" t="str">
        <f>F204</f>
        <v>N2O</v>
      </c>
      <c r="G205" t="s">
        <v>434</v>
      </c>
      <c r="H205" s="27">
        <v>7.4999999999999997E-3</v>
      </c>
    </row>
    <row r="206" spans="1:8" x14ac:dyDescent="0.25">
      <c r="A206" t="str">
        <f t="shared" si="100"/>
        <v>3C Aggregated and non-CO2 emissions on land</v>
      </c>
      <c r="B206" t="str">
        <f t="shared" si="100"/>
        <v>3C6 Indirect N2O from manure management (N2O)</v>
      </c>
      <c r="C206" t="s">
        <v>443</v>
      </c>
      <c r="D206" t="str">
        <f>'Activity data'!D66</f>
        <v xml:space="preserve"> - TMR</v>
      </c>
      <c r="E206" t="str">
        <f t="shared" si="83"/>
        <v>FracGasMS - TMR</v>
      </c>
      <c r="F206" t="str">
        <f t="shared" ref="F206:F221" si="101">F205</f>
        <v>N2O</v>
      </c>
      <c r="G206" t="s">
        <v>377</v>
      </c>
      <c r="H206" s="27">
        <v>0.33300000000000002</v>
      </c>
    </row>
    <row r="207" spans="1:8" x14ac:dyDescent="0.25">
      <c r="A207" t="str">
        <f t="shared" ref="A207:A221" si="102">A206</f>
        <v>3C Aggregated and non-CO2 emissions on land</v>
      </c>
      <c r="B207" t="str">
        <f t="shared" ref="B207:B221" si="103">B206</f>
        <v>3C6 Indirect N2O from manure management (N2O)</v>
      </c>
      <c r="C207" t="s">
        <v>443</v>
      </c>
      <c r="D207" t="str">
        <f>'Activity data'!D67</f>
        <v xml:space="preserve"> - Pasture</v>
      </c>
      <c r="E207" t="str">
        <f t="shared" ref="E207:E221" si="104">C207&amp;D207</f>
        <v>FracGasMS - Pasture</v>
      </c>
      <c r="F207" t="str">
        <f t="shared" si="101"/>
        <v>N2O</v>
      </c>
      <c r="G207" t="s">
        <v>377</v>
      </c>
      <c r="H207" s="27">
        <v>8.6999999999999994E-2</v>
      </c>
    </row>
    <row r="208" spans="1:8" x14ac:dyDescent="0.25">
      <c r="A208" t="str">
        <f t="shared" si="102"/>
        <v>3C Aggregated and non-CO2 emissions on land</v>
      </c>
      <c r="B208" t="str">
        <f t="shared" si="103"/>
        <v>3C6 Indirect N2O from manure management (N2O)</v>
      </c>
      <c r="C208" t="s">
        <v>443</v>
      </c>
      <c r="D208" t="str">
        <f>'Activity data'!D68</f>
        <v xml:space="preserve"> - Non-lactating</v>
      </c>
      <c r="E208" t="str">
        <f t="shared" si="104"/>
        <v>FracGasMS - Non-lactating</v>
      </c>
      <c r="F208" t="str">
        <f t="shared" si="101"/>
        <v>N2O</v>
      </c>
      <c r="G208" t="s">
        <v>377</v>
      </c>
      <c r="H208" s="27">
        <v>1.4999999999999999E-2</v>
      </c>
    </row>
    <row r="209" spans="1:8" x14ac:dyDescent="0.25">
      <c r="A209" t="str">
        <f t="shared" si="102"/>
        <v>3C Aggregated and non-CO2 emissions on land</v>
      </c>
      <c r="B209" t="str">
        <f t="shared" si="103"/>
        <v>3C6 Indirect N2O from manure management (N2O)</v>
      </c>
      <c r="C209" t="s">
        <v>443</v>
      </c>
      <c r="D209" t="str">
        <f>'Activity data'!D69</f>
        <v xml:space="preserve"> - Commercial cattle</v>
      </c>
      <c r="E209" t="str">
        <f t="shared" si="104"/>
        <v>FracGasMS - Commercial cattle</v>
      </c>
      <c r="F209" t="str">
        <f t="shared" si="101"/>
        <v>N2O</v>
      </c>
      <c r="G209" t="s">
        <v>377</v>
      </c>
      <c r="H209" s="27">
        <v>8.0000000000000002E-3</v>
      </c>
    </row>
    <row r="210" spans="1:8" x14ac:dyDescent="0.25">
      <c r="A210" t="str">
        <f t="shared" si="102"/>
        <v>3C Aggregated and non-CO2 emissions on land</v>
      </c>
      <c r="B210" t="str">
        <f t="shared" si="103"/>
        <v>3C6 Indirect N2O from manure management (N2O)</v>
      </c>
      <c r="C210" t="s">
        <v>443</v>
      </c>
      <c r="D210" t="str">
        <f>'Activity data'!D70</f>
        <v xml:space="preserve"> - Subsistence cattle</v>
      </c>
      <c r="E210" t="str">
        <f t="shared" si="104"/>
        <v>FracGasMS - Subsistence cattle</v>
      </c>
      <c r="F210" t="str">
        <f t="shared" si="101"/>
        <v>N2O</v>
      </c>
      <c r="G210" t="s">
        <v>377</v>
      </c>
      <c r="H210" s="27">
        <v>0.03</v>
      </c>
    </row>
    <row r="211" spans="1:8" x14ac:dyDescent="0.25">
      <c r="A211" t="str">
        <f t="shared" si="102"/>
        <v>3C Aggregated and non-CO2 emissions on land</v>
      </c>
      <c r="B211" t="str">
        <f t="shared" si="103"/>
        <v>3C6 Indirect N2O from manure management (N2O)</v>
      </c>
      <c r="C211" t="s">
        <v>443</v>
      </c>
      <c r="D211" t="str">
        <f>'Activity data'!D71</f>
        <v xml:space="preserve"> - Feedlot</v>
      </c>
      <c r="E211" t="str">
        <f t="shared" si="104"/>
        <v>FracGasMS - Feedlot</v>
      </c>
      <c r="F211" t="str">
        <f t="shared" si="101"/>
        <v>N2O</v>
      </c>
      <c r="G211" t="s">
        <v>377</v>
      </c>
      <c r="H211" s="27">
        <v>0.28299999999999997</v>
      </c>
    </row>
    <row r="212" spans="1:8" x14ac:dyDescent="0.25">
      <c r="A212" t="str">
        <f t="shared" si="102"/>
        <v>3C Aggregated and non-CO2 emissions on land</v>
      </c>
      <c r="B212" t="str">
        <f t="shared" si="103"/>
        <v>3C6 Indirect N2O from manure management (N2O)</v>
      </c>
      <c r="C212" t="s">
        <v>443</v>
      </c>
      <c r="D212" t="str">
        <f>'Activity data'!D72</f>
        <v xml:space="preserve"> - Commercial sheep</v>
      </c>
      <c r="E212" t="str">
        <f t="shared" si="104"/>
        <v>FracGasMS - Commercial sheep</v>
      </c>
      <c r="F212" t="str">
        <f t="shared" si="101"/>
        <v>N2O</v>
      </c>
      <c r="G212" t="s">
        <v>377</v>
      </c>
      <c r="H212" s="27">
        <v>2E-3</v>
      </c>
    </row>
    <row r="213" spans="1:8" x14ac:dyDescent="0.25">
      <c r="A213" t="str">
        <f t="shared" si="102"/>
        <v>3C Aggregated and non-CO2 emissions on land</v>
      </c>
      <c r="B213" t="str">
        <f t="shared" si="103"/>
        <v>3C6 Indirect N2O from manure management (N2O)</v>
      </c>
      <c r="C213" t="s">
        <v>443</v>
      </c>
      <c r="D213" t="str">
        <f>'Activity data'!D73</f>
        <v xml:space="preserve"> - Subsistence sheep</v>
      </c>
      <c r="E213" t="str">
        <f t="shared" si="104"/>
        <v>FracGasMS - Subsistence sheep</v>
      </c>
      <c r="F213" t="str">
        <f t="shared" si="101"/>
        <v>N2O</v>
      </c>
      <c r="G213" t="s">
        <v>377</v>
      </c>
      <c r="H213" s="27">
        <v>1.6500000000000001E-2</v>
      </c>
    </row>
    <row r="214" spans="1:8" x14ac:dyDescent="0.25">
      <c r="A214" t="str">
        <f t="shared" si="102"/>
        <v>3C Aggregated and non-CO2 emissions on land</v>
      </c>
      <c r="B214" t="str">
        <f t="shared" si="103"/>
        <v>3C6 Indirect N2O from manure management (N2O)</v>
      </c>
      <c r="C214" t="s">
        <v>443</v>
      </c>
      <c r="D214" t="str">
        <f>'Activity data'!D74</f>
        <v xml:space="preserve"> - Commercial goats</v>
      </c>
      <c r="E214" t="str">
        <f t="shared" si="104"/>
        <v>FracGasMS - Commercial goats</v>
      </c>
      <c r="F214" t="str">
        <f t="shared" si="101"/>
        <v>N2O</v>
      </c>
      <c r="G214" t="s">
        <v>377</v>
      </c>
      <c r="H214" s="27">
        <v>2E-3</v>
      </c>
    </row>
    <row r="215" spans="1:8" x14ac:dyDescent="0.25">
      <c r="A215" t="str">
        <f t="shared" si="102"/>
        <v>3C Aggregated and non-CO2 emissions on land</v>
      </c>
      <c r="B215" t="str">
        <f t="shared" si="103"/>
        <v>3C6 Indirect N2O from manure management (N2O)</v>
      </c>
      <c r="C215" t="s">
        <v>443</v>
      </c>
      <c r="D215" t="str">
        <f>'Activity data'!D75</f>
        <v xml:space="preserve"> - Subsistence goats</v>
      </c>
      <c r="E215" t="str">
        <f t="shared" si="104"/>
        <v>FracGasMS - Subsistence goats</v>
      </c>
      <c r="F215" t="str">
        <f t="shared" si="101"/>
        <v>N2O</v>
      </c>
      <c r="G215" t="s">
        <v>377</v>
      </c>
      <c r="H215" s="27">
        <v>1.6500000000000001E-2</v>
      </c>
    </row>
    <row r="216" spans="1:8" x14ac:dyDescent="0.25">
      <c r="A216" t="str">
        <f t="shared" si="102"/>
        <v>3C Aggregated and non-CO2 emissions on land</v>
      </c>
      <c r="B216" t="str">
        <f t="shared" si="103"/>
        <v>3C6 Indirect N2O from manure management (N2O)</v>
      </c>
      <c r="C216" t="s">
        <v>443</v>
      </c>
      <c r="D216" t="str">
        <f>'Activity data'!D76</f>
        <v xml:space="preserve"> - Horses</v>
      </c>
      <c r="E216" t="str">
        <f t="shared" si="104"/>
        <v>FracGasMS - Horses</v>
      </c>
      <c r="F216" t="str">
        <f t="shared" si="101"/>
        <v>N2O</v>
      </c>
      <c r="G216" t="s">
        <v>377</v>
      </c>
      <c r="H216" s="27">
        <v>0</v>
      </c>
    </row>
    <row r="217" spans="1:8" x14ac:dyDescent="0.25">
      <c r="A217" t="str">
        <f t="shared" si="102"/>
        <v>3C Aggregated and non-CO2 emissions on land</v>
      </c>
      <c r="B217" t="str">
        <f t="shared" si="103"/>
        <v>3C6 Indirect N2O from manure management (N2O)</v>
      </c>
      <c r="C217" t="s">
        <v>443</v>
      </c>
      <c r="D217" t="str">
        <f>'Activity data'!D77</f>
        <v xml:space="preserve"> - Mules &amp; Asses</v>
      </c>
      <c r="E217" t="str">
        <f t="shared" si="104"/>
        <v>FracGasMS - Mules &amp; Asses</v>
      </c>
      <c r="F217" t="str">
        <f t="shared" si="101"/>
        <v>N2O</v>
      </c>
      <c r="G217" t="s">
        <v>377</v>
      </c>
      <c r="H217" s="27">
        <v>0</v>
      </c>
    </row>
    <row r="218" spans="1:8" x14ac:dyDescent="0.25">
      <c r="A218" t="str">
        <f t="shared" si="102"/>
        <v>3C Aggregated and non-CO2 emissions on land</v>
      </c>
      <c r="B218" t="str">
        <f t="shared" si="103"/>
        <v>3C6 Indirect N2O from manure management (N2O)</v>
      </c>
      <c r="C218" t="s">
        <v>443</v>
      </c>
      <c r="D218" t="str">
        <f>'Activity data'!D78</f>
        <v xml:space="preserve"> - Commercial swine</v>
      </c>
      <c r="E218" t="str">
        <f t="shared" si="104"/>
        <v>FracGasMS - Commercial swine</v>
      </c>
      <c r="F218" t="str">
        <f t="shared" si="101"/>
        <v>N2O</v>
      </c>
      <c r="G218" t="s">
        <v>377</v>
      </c>
      <c r="H218" s="27">
        <v>0.3649</v>
      </c>
    </row>
    <row r="219" spans="1:8" x14ac:dyDescent="0.25">
      <c r="A219" t="str">
        <f t="shared" si="102"/>
        <v>3C Aggregated and non-CO2 emissions on land</v>
      </c>
      <c r="B219" t="str">
        <f t="shared" si="103"/>
        <v>3C6 Indirect N2O from manure management (N2O)</v>
      </c>
      <c r="C219" t="s">
        <v>443</v>
      </c>
      <c r="D219" t="str">
        <f>'Activity data'!D79</f>
        <v xml:space="preserve"> - Subsistence swine</v>
      </c>
      <c r="E219" t="str">
        <f t="shared" si="104"/>
        <v>FracGasMS - Subsistence swine</v>
      </c>
      <c r="F219" t="str">
        <f t="shared" si="101"/>
        <v>N2O</v>
      </c>
      <c r="G219" t="s">
        <v>377</v>
      </c>
      <c r="H219" s="27">
        <v>0.23760000000000001</v>
      </c>
    </row>
    <row r="220" spans="1:8" x14ac:dyDescent="0.25">
      <c r="A220" t="str">
        <f t="shared" si="102"/>
        <v>3C Aggregated and non-CO2 emissions on land</v>
      </c>
      <c r="B220" t="str">
        <f t="shared" si="103"/>
        <v>3C6 Indirect N2O from manure management (N2O)</v>
      </c>
      <c r="C220" t="s">
        <v>443</v>
      </c>
      <c r="D220" t="str">
        <f>'Activity data'!D80</f>
        <v xml:space="preserve"> - Commercial layers</v>
      </c>
      <c r="E220" t="str">
        <f t="shared" si="104"/>
        <v>FracGasMS - Commercial layers</v>
      </c>
      <c r="F220" t="str">
        <f t="shared" si="101"/>
        <v>N2O</v>
      </c>
      <c r="G220" t="s">
        <v>377</v>
      </c>
      <c r="H220" s="27">
        <v>0.28899999999999998</v>
      </c>
    </row>
    <row r="221" spans="1:8" x14ac:dyDescent="0.25">
      <c r="A221" t="str">
        <f t="shared" si="102"/>
        <v>3C Aggregated and non-CO2 emissions on land</v>
      </c>
      <c r="B221" t="str">
        <f t="shared" si="103"/>
        <v>3C6 Indirect N2O from manure management (N2O)</v>
      </c>
      <c r="C221" t="s">
        <v>443</v>
      </c>
      <c r="D221" t="str">
        <f>'Activity data'!D81</f>
        <v xml:space="preserve"> - Commercial broilers</v>
      </c>
      <c r="E221" t="str">
        <f t="shared" si="104"/>
        <v>FracGasMS - Commercial broilers</v>
      </c>
      <c r="F221" t="str">
        <f t="shared" si="101"/>
        <v>N2O</v>
      </c>
      <c r="G221" t="s">
        <v>377</v>
      </c>
      <c r="H221" s="27">
        <v>0.3</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rgb="FF92D050"/>
  </sheetPr>
  <dimension ref="A1:T138"/>
  <sheetViews>
    <sheetView workbookViewId="0">
      <pane xSplit="1" topLeftCell="B1" activePane="topRight" state="frozen"/>
      <selection pane="topRight" activeCell="F22" sqref="F22:F34"/>
    </sheetView>
  </sheetViews>
  <sheetFormatPr defaultRowHeight="15" x14ac:dyDescent="0.25"/>
  <cols>
    <col min="1" max="1" width="62.85546875" customWidth="1"/>
    <col min="2" max="2" width="20.42578125" customWidth="1"/>
    <col min="3" max="3" width="8.5703125" customWidth="1"/>
    <col min="5" max="5" width="15.28515625" customWidth="1"/>
    <col min="6" max="6" width="19.140625" customWidth="1"/>
    <col min="8" max="8" width="10.5703125" customWidth="1"/>
    <col min="10" max="10" width="23.28515625" customWidth="1"/>
    <col min="13" max="13" width="15.42578125" customWidth="1"/>
    <col min="14" max="14" width="10.7109375" customWidth="1"/>
    <col min="16" max="16" width="21.7109375" customWidth="1"/>
    <col min="19" max="19" width="13.28515625" customWidth="1"/>
    <col min="20" max="20" width="10.5703125" customWidth="1"/>
  </cols>
  <sheetData>
    <row r="1" spans="1:20" ht="18.75" x14ac:dyDescent="0.3">
      <c r="A1" s="1" t="s">
        <v>277</v>
      </c>
    </row>
    <row r="3" spans="1:20" ht="15.75" x14ac:dyDescent="0.25">
      <c r="A3" s="17" t="s">
        <v>278</v>
      </c>
      <c r="B3" s="17" t="s">
        <v>280</v>
      </c>
      <c r="C3" s="17" t="s">
        <v>5</v>
      </c>
      <c r="D3" s="17" t="s">
        <v>279</v>
      </c>
      <c r="E3" s="17" t="s">
        <v>0</v>
      </c>
      <c r="F3" s="17" t="s">
        <v>281</v>
      </c>
      <c r="G3" s="17" t="s">
        <v>284</v>
      </c>
      <c r="H3" s="17" t="s">
        <v>285</v>
      </c>
      <c r="J3" s="17" t="s">
        <v>280</v>
      </c>
      <c r="K3" s="17" t="s">
        <v>5</v>
      </c>
      <c r="L3" s="17" t="s">
        <v>279</v>
      </c>
      <c r="M3" s="17" t="s">
        <v>0</v>
      </c>
      <c r="N3" s="17" t="s">
        <v>285</v>
      </c>
      <c r="P3" s="17" t="s">
        <v>280</v>
      </c>
      <c r="Q3" s="17" t="s">
        <v>5</v>
      </c>
      <c r="R3" s="17" t="s">
        <v>310</v>
      </c>
      <c r="S3" s="17" t="s">
        <v>0</v>
      </c>
      <c r="T3" s="17" t="s">
        <v>285</v>
      </c>
    </row>
    <row r="4" spans="1:20" x14ac:dyDescent="0.25">
      <c r="A4" s="13" t="s">
        <v>2</v>
      </c>
    </row>
    <row r="5" spans="1:20" x14ac:dyDescent="0.25">
      <c r="A5" s="14" t="s">
        <v>156</v>
      </c>
      <c r="B5" t="s">
        <v>97</v>
      </c>
      <c r="C5" t="s">
        <v>121</v>
      </c>
      <c r="D5" s="21">
        <v>127</v>
      </c>
      <c r="E5" t="s">
        <v>144</v>
      </c>
      <c r="F5" s="21">
        <v>362133.25145839731</v>
      </c>
      <c r="G5" s="22">
        <f>F5/SUM($F$5:$F$7)</f>
        <v>0.71719117961892542</v>
      </c>
      <c r="H5" s="22">
        <f>D5*G5</f>
        <v>91.083279811603532</v>
      </c>
      <c r="J5" t="s">
        <v>98</v>
      </c>
      <c r="K5" t="s">
        <v>121</v>
      </c>
      <c r="L5" s="21">
        <v>4.9800000000000004</v>
      </c>
      <c r="M5" t="s">
        <v>144</v>
      </c>
      <c r="N5" s="22">
        <f>L5*G5</f>
        <v>3.5716120745022488</v>
      </c>
      <c r="P5" t="s">
        <v>98</v>
      </c>
      <c r="Q5" t="s">
        <v>139</v>
      </c>
      <c r="R5" s="21">
        <v>118.26</v>
      </c>
      <c r="S5" t="s">
        <v>311</v>
      </c>
      <c r="T5" s="22">
        <f>R5*G5</f>
        <v>84.815028901734124</v>
      </c>
    </row>
    <row r="6" spans="1:20" x14ac:dyDescent="0.25">
      <c r="A6" s="14" t="s">
        <v>157</v>
      </c>
      <c r="B6" t="str">
        <f>$B$5</f>
        <v>Enteric fermentation</v>
      </c>
      <c r="C6" t="str">
        <f>$C$5</f>
        <v>CH4</v>
      </c>
      <c r="D6" s="21">
        <v>83.4</v>
      </c>
      <c r="E6" t="s">
        <v>144</v>
      </c>
      <c r="F6" s="21">
        <v>88281.240405280929</v>
      </c>
      <c r="G6" s="22">
        <f t="shared" ref="G6:G7" si="0">F6/SUM($F$5:$F$7)</f>
        <v>0.17483765075287233</v>
      </c>
      <c r="H6" s="22">
        <f t="shared" ref="H6:H10" si="1">D6*G6</f>
        <v>14.581460072789554</v>
      </c>
      <c r="J6" t="str">
        <f>$J$5</f>
        <v>Manure management</v>
      </c>
      <c r="K6" t="str">
        <f>$K$5</f>
        <v>CH4</v>
      </c>
      <c r="L6" s="21">
        <v>1.1100000000000001</v>
      </c>
      <c r="M6" t="s">
        <v>144</v>
      </c>
      <c r="N6" s="22">
        <f t="shared" ref="N6:N69" si="2">L6*G6</f>
        <v>0.1940697923356883</v>
      </c>
      <c r="P6" t="str">
        <f>$P$5</f>
        <v>Manure management</v>
      </c>
      <c r="Q6" t="str">
        <f>$Q$5</f>
        <v>N2O</v>
      </c>
      <c r="R6" s="21">
        <v>124.173</v>
      </c>
      <c r="S6" t="s">
        <v>311</v>
      </c>
      <c r="T6" s="22">
        <f t="shared" ref="T6:T69" si="3">R6*G6</f>
        <v>21.710115606936416</v>
      </c>
    </row>
    <row r="7" spans="1:20" x14ac:dyDescent="0.25">
      <c r="A7" s="14" t="s">
        <v>158</v>
      </c>
      <c r="B7" t="str">
        <f t="shared" ref="B7:B10" si="4">$B$5</f>
        <v>Enteric fermentation</v>
      </c>
      <c r="C7" t="str">
        <f t="shared" ref="C7:C10" si="5">$C$5</f>
        <v>CH4</v>
      </c>
      <c r="D7" s="21">
        <v>116</v>
      </c>
      <c r="E7" t="s">
        <v>144</v>
      </c>
      <c r="F7" s="21">
        <v>54518.170095179601</v>
      </c>
      <c r="G7" s="22">
        <f t="shared" si="0"/>
        <v>0.10797116962820237</v>
      </c>
      <c r="H7" s="22">
        <f t="shared" si="1"/>
        <v>12.524655676871475</v>
      </c>
      <c r="J7" t="str">
        <f t="shared" ref="J7:J10" si="6">$J$5</f>
        <v>Manure management</v>
      </c>
      <c r="K7" t="str">
        <f t="shared" ref="K7:K10" si="7">$K$5</f>
        <v>CH4</v>
      </c>
      <c r="L7" s="21">
        <v>4.8</v>
      </c>
      <c r="M7" t="s">
        <v>144</v>
      </c>
      <c r="N7" s="22">
        <f t="shared" si="2"/>
        <v>0.51826161421537131</v>
      </c>
      <c r="P7" t="str">
        <f t="shared" ref="P7:P10" si="8">$P$5</f>
        <v>Manure management</v>
      </c>
      <c r="Q7" t="str">
        <f t="shared" ref="Q7:Q10" si="9">$Q$5</f>
        <v>N2O</v>
      </c>
      <c r="R7" s="21">
        <v>95.921999999999997</v>
      </c>
      <c r="S7" t="s">
        <v>311</v>
      </c>
      <c r="T7" s="22">
        <f t="shared" si="3"/>
        <v>10.356810533076427</v>
      </c>
    </row>
    <row r="8" spans="1:20" x14ac:dyDescent="0.25">
      <c r="A8" s="14" t="s">
        <v>159</v>
      </c>
      <c r="B8" t="str">
        <f t="shared" si="4"/>
        <v>Enteric fermentation</v>
      </c>
      <c r="C8" t="str">
        <f t="shared" si="5"/>
        <v>CH4</v>
      </c>
      <c r="D8" s="21">
        <v>132</v>
      </c>
      <c r="E8" t="s">
        <v>144</v>
      </c>
      <c r="F8" s="21">
        <v>441866.74854160275</v>
      </c>
      <c r="G8" s="22">
        <f>F8/SUM($F$8:$F$10)</f>
        <v>0.71719117961892531</v>
      </c>
      <c r="H8" s="22">
        <f t="shared" si="1"/>
        <v>94.669235709698143</v>
      </c>
      <c r="J8" t="str">
        <f t="shared" si="6"/>
        <v>Manure management</v>
      </c>
      <c r="K8" t="str">
        <f t="shared" si="7"/>
        <v>CH4</v>
      </c>
      <c r="L8" s="21">
        <v>14.8</v>
      </c>
      <c r="M8" t="s">
        <v>144</v>
      </c>
      <c r="N8" s="22">
        <f t="shared" si="2"/>
        <v>10.614429458360096</v>
      </c>
      <c r="P8" t="str">
        <f t="shared" si="8"/>
        <v>Manure management</v>
      </c>
      <c r="Q8" t="str">
        <f t="shared" si="9"/>
        <v>N2O</v>
      </c>
      <c r="R8" s="21">
        <v>129.20999999999998</v>
      </c>
      <c r="S8" t="s">
        <v>311</v>
      </c>
      <c r="T8" s="22">
        <f t="shared" si="3"/>
        <v>92.668272318561321</v>
      </c>
    </row>
    <row r="9" spans="1:20" x14ac:dyDescent="0.25">
      <c r="A9" s="14" t="s">
        <v>160</v>
      </c>
      <c r="B9" t="str">
        <f t="shared" si="4"/>
        <v>Enteric fermentation</v>
      </c>
      <c r="C9" t="str">
        <f t="shared" si="5"/>
        <v>CH4</v>
      </c>
      <c r="D9" s="21">
        <v>80.400000000000006</v>
      </c>
      <c r="E9" t="s">
        <v>144</v>
      </c>
      <c r="F9" s="21">
        <v>107718.75959471907</v>
      </c>
      <c r="G9" s="22">
        <f t="shared" ref="G9:G10" si="10">F9/SUM($F$8:$F$10)</f>
        <v>0.17483765075287233</v>
      </c>
      <c r="H9" s="22">
        <f t="shared" si="1"/>
        <v>14.056947120530936</v>
      </c>
      <c r="J9" t="str">
        <f t="shared" si="6"/>
        <v>Manure management</v>
      </c>
      <c r="K9" t="str">
        <f t="shared" si="7"/>
        <v>CH4</v>
      </c>
      <c r="L9" s="21">
        <v>1.47</v>
      </c>
      <c r="M9" t="s">
        <v>144</v>
      </c>
      <c r="N9" s="22">
        <f t="shared" si="2"/>
        <v>0.25701134660672231</v>
      </c>
      <c r="P9" t="str">
        <f t="shared" si="8"/>
        <v>Manure management</v>
      </c>
      <c r="Q9" t="str">
        <f t="shared" si="9"/>
        <v>N2O</v>
      </c>
      <c r="R9" s="21">
        <v>135.6705</v>
      </c>
      <c r="S9" t="s">
        <v>311</v>
      </c>
      <c r="T9" s="22">
        <f t="shared" si="3"/>
        <v>23.720311496467566</v>
      </c>
    </row>
    <row r="10" spans="1:20" x14ac:dyDescent="0.25">
      <c r="A10" s="14" t="s">
        <v>161</v>
      </c>
      <c r="B10" t="str">
        <f t="shared" si="4"/>
        <v>Enteric fermentation</v>
      </c>
      <c r="C10" t="str">
        <f t="shared" si="5"/>
        <v>CH4</v>
      </c>
      <c r="D10" s="21">
        <v>127</v>
      </c>
      <c r="E10" t="s">
        <v>144</v>
      </c>
      <c r="F10" s="21">
        <v>66521.829904820392</v>
      </c>
      <c r="G10" s="22">
        <f t="shared" si="10"/>
        <v>0.10797116962820238</v>
      </c>
      <c r="H10" s="22">
        <f t="shared" si="1"/>
        <v>13.712338542781703</v>
      </c>
      <c r="J10" t="str">
        <f t="shared" si="6"/>
        <v>Manure management</v>
      </c>
      <c r="K10" t="str">
        <f t="shared" si="7"/>
        <v>CH4</v>
      </c>
      <c r="L10" s="21">
        <v>14.7</v>
      </c>
      <c r="M10" t="s">
        <v>144</v>
      </c>
      <c r="N10" s="22">
        <f t="shared" si="2"/>
        <v>1.587176193534575</v>
      </c>
      <c r="P10" t="str">
        <f t="shared" si="8"/>
        <v>Manure management</v>
      </c>
      <c r="Q10" t="str">
        <f t="shared" si="9"/>
        <v>N2O</v>
      </c>
      <c r="R10" s="21">
        <v>110.15700000000001</v>
      </c>
      <c r="S10" t="s">
        <v>311</v>
      </c>
      <c r="T10" s="22">
        <f t="shared" si="3"/>
        <v>11.893780132733891</v>
      </c>
    </row>
    <row r="11" spans="1:20" x14ac:dyDescent="0.25">
      <c r="A11" s="13" t="s">
        <v>151</v>
      </c>
      <c r="M11" s="13"/>
    </row>
    <row r="12" spans="1:20" x14ac:dyDescent="0.25">
      <c r="A12" s="14" t="s">
        <v>162</v>
      </c>
      <c r="B12" t="str">
        <f t="shared" ref="B12:B34" si="11">$B$5</f>
        <v>Enteric fermentation</v>
      </c>
      <c r="C12" t="str">
        <f t="shared" ref="C12:C34" si="12">$C$5</f>
        <v>CH4</v>
      </c>
      <c r="D12" s="21">
        <v>20</v>
      </c>
      <c r="E12" t="s">
        <v>144</v>
      </c>
      <c r="F12" s="21">
        <v>58517.112103162421</v>
      </c>
      <c r="G12" s="22">
        <f>F12/SUM($F$12:$F$21)</f>
        <v>8.6862621266192389E-2</v>
      </c>
      <c r="H12" s="22">
        <f>D12*G12</f>
        <v>1.7372524253238477</v>
      </c>
      <c r="J12" t="str">
        <f t="shared" ref="J12:J34" si="13">$J$5</f>
        <v>Manure management</v>
      </c>
      <c r="K12" t="str">
        <f t="shared" ref="K12:K34" si="14">$K$5</f>
        <v>CH4</v>
      </c>
      <c r="L12" s="21">
        <v>0.32</v>
      </c>
      <c r="M12" t="s">
        <v>144</v>
      </c>
      <c r="N12" s="22">
        <f t="shared" si="2"/>
        <v>2.7796038805181566E-2</v>
      </c>
      <c r="P12" t="str">
        <f t="shared" ref="P12:P34" si="15">$P$5</f>
        <v>Manure management</v>
      </c>
      <c r="Q12" t="str">
        <f t="shared" ref="Q12:Q34" si="16">$Q$5</f>
        <v>N2O</v>
      </c>
      <c r="R12" s="21">
        <v>8.2782</v>
      </c>
      <c r="S12" t="s">
        <v>311</v>
      </c>
      <c r="T12" s="22">
        <f t="shared" si="3"/>
        <v>0.71906615136579388</v>
      </c>
    </row>
    <row r="13" spans="1:20" x14ac:dyDescent="0.25">
      <c r="A13" s="14" t="s">
        <v>163</v>
      </c>
      <c r="B13" t="str">
        <f t="shared" si="11"/>
        <v>Enteric fermentation</v>
      </c>
      <c r="C13" t="str">
        <f t="shared" si="12"/>
        <v>CH4</v>
      </c>
      <c r="D13" s="21">
        <v>24.5</v>
      </c>
      <c r="E13" t="s">
        <v>144</v>
      </c>
      <c r="F13" s="21">
        <v>58517.112103162421</v>
      </c>
      <c r="G13" s="22">
        <f t="shared" ref="G13:G21" si="17">F13/SUM($F$12:$F$21)</f>
        <v>8.6862621266192389E-2</v>
      </c>
      <c r="H13" s="22">
        <f t="shared" ref="H13:H76" si="18">D13*G13</f>
        <v>2.1281342210217136</v>
      </c>
      <c r="J13" t="str">
        <f t="shared" si="13"/>
        <v>Manure management</v>
      </c>
      <c r="K13" t="str">
        <f t="shared" si="14"/>
        <v>CH4</v>
      </c>
      <c r="L13" s="21">
        <v>0.4</v>
      </c>
      <c r="M13" t="s">
        <v>144</v>
      </c>
      <c r="N13" s="22">
        <f t="shared" si="2"/>
        <v>3.4745048506476958E-2</v>
      </c>
      <c r="P13" t="str">
        <f t="shared" si="15"/>
        <v>Manure management</v>
      </c>
      <c r="Q13" t="str">
        <f t="shared" si="16"/>
        <v>N2O</v>
      </c>
      <c r="R13" s="21">
        <v>12.417300000000001</v>
      </c>
      <c r="S13" t="s">
        <v>311</v>
      </c>
      <c r="T13" s="22">
        <f t="shared" si="3"/>
        <v>1.0785992270486908</v>
      </c>
    </row>
    <row r="14" spans="1:20" x14ac:dyDescent="0.25">
      <c r="A14" s="14" t="s">
        <v>164</v>
      </c>
      <c r="B14" t="str">
        <f t="shared" si="11"/>
        <v>Enteric fermentation</v>
      </c>
      <c r="C14" t="str">
        <f t="shared" si="12"/>
        <v>CH4</v>
      </c>
      <c r="D14" s="21">
        <v>37.1</v>
      </c>
      <c r="E14" t="s">
        <v>144</v>
      </c>
      <c r="F14" s="21">
        <v>87775.668154743631</v>
      </c>
      <c r="G14" s="22">
        <f t="shared" si="17"/>
        <v>0.13029393189928859</v>
      </c>
      <c r="H14" s="22">
        <f t="shared" si="18"/>
        <v>4.8339048734636068</v>
      </c>
      <c r="J14" t="str">
        <f t="shared" si="13"/>
        <v>Manure management</v>
      </c>
      <c r="K14" t="str">
        <f t="shared" si="14"/>
        <v>CH4</v>
      </c>
      <c r="L14" s="21">
        <v>0.57999999999999996</v>
      </c>
      <c r="M14" t="s">
        <v>144</v>
      </c>
      <c r="N14" s="22">
        <f t="shared" si="2"/>
        <v>7.5570480501587378E-2</v>
      </c>
      <c r="P14" t="str">
        <f t="shared" si="15"/>
        <v>Manure management</v>
      </c>
      <c r="Q14" t="str">
        <f t="shared" si="16"/>
        <v>N2O</v>
      </c>
      <c r="R14" s="21">
        <v>32.652900000000002</v>
      </c>
      <c r="S14" t="s">
        <v>311</v>
      </c>
      <c r="T14" s="22">
        <f t="shared" si="3"/>
        <v>4.254474728914281</v>
      </c>
    </row>
    <row r="15" spans="1:20" x14ac:dyDescent="0.25">
      <c r="A15" s="14" t="s">
        <v>165</v>
      </c>
      <c r="B15" t="str">
        <f t="shared" si="11"/>
        <v>Enteric fermentation</v>
      </c>
      <c r="C15" t="str">
        <f t="shared" si="12"/>
        <v>CH4</v>
      </c>
      <c r="D15" s="21">
        <v>52.6</v>
      </c>
      <c r="E15" t="s">
        <v>144</v>
      </c>
      <c r="F15" s="21">
        <v>25115.112066318696</v>
      </c>
      <c r="G15" s="22">
        <f t="shared" si="17"/>
        <v>3.7280795122436018E-2</v>
      </c>
      <c r="H15" s="22">
        <f t="shared" si="18"/>
        <v>1.9609698234401347</v>
      </c>
      <c r="J15" t="str">
        <f t="shared" si="13"/>
        <v>Manure management</v>
      </c>
      <c r="K15" t="str">
        <f t="shared" si="14"/>
        <v>CH4</v>
      </c>
      <c r="L15" s="21">
        <v>0.78</v>
      </c>
      <c r="M15" t="s">
        <v>144</v>
      </c>
      <c r="N15" s="22">
        <f t="shared" si="2"/>
        <v>2.9079020195500096E-2</v>
      </c>
      <c r="P15" t="str">
        <f t="shared" si="15"/>
        <v>Manure management</v>
      </c>
      <c r="Q15" t="str">
        <f t="shared" si="16"/>
        <v>N2O</v>
      </c>
      <c r="R15" s="21">
        <v>58.407299999999999</v>
      </c>
      <c r="S15" t="s">
        <v>311</v>
      </c>
      <c r="T15" s="22">
        <f t="shared" si="3"/>
        <v>2.1774705849546572</v>
      </c>
    </row>
    <row r="16" spans="1:20" x14ac:dyDescent="0.25">
      <c r="A16" s="14" t="s">
        <v>166</v>
      </c>
      <c r="B16" t="str">
        <f t="shared" si="11"/>
        <v>Enteric fermentation</v>
      </c>
      <c r="C16" t="str">
        <f t="shared" si="12"/>
        <v>CH4</v>
      </c>
      <c r="D16" s="21">
        <v>61.8</v>
      </c>
      <c r="E16" t="s">
        <v>144</v>
      </c>
      <c r="F16" s="21">
        <v>73507.645072152271</v>
      </c>
      <c r="G16" s="22">
        <f t="shared" si="17"/>
        <v>0.10911452230956882</v>
      </c>
      <c r="H16" s="22">
        <f t="shared" si="18"/>
        <v>6.7432774787313532</v>
      </c>
      <c r="J16" t="str">
        <f t="shared" si="13"/>
        <v>Manure management</v>
      </c>
      <c r="K16" t="str">
        <f t="shared" si="14"/>
        <v>CH4</v>
      </c>
      <c r="L16" s="21">
        <v>0.88</v>
      </c>
      <c r="M16" t="s">
        <v>144</v>
      </c>
      <c r="N16" s="22">
        <f t="shared" si="2"/>
        <v>9.6020779632420561E-2</v>
      </c>
      <c r="P16" t="str">
        <f t="shared" si="15"/>
        <v>Manure management</v>
      </c>
      <c r="Q16" t="str">
        <f t="shared" si="16"/>
        <v>N2O</v>
      </c>
      <c r="R16" s="21">
        <v>76.573350000000005</v>
      </c>
      <c r="S16" t="s">
        <v>311</v>
      </c>
      <c r="T16" s="22">
        <f t="shared" si="3"/>
        <v>8.3552645068934215</v>
      </c>
    </row>
    <row r="17" spans="1:20" x14ac:dyDescent="0.25">
      <c r="A17" s="14" t="s">
        <v>167</v>
      </c>
      <c r="B17" t="str">
        <f t="shared" si="11"/>
        <v>Enteric fermentation</v>
      </c>
      <c r="C17" t="str">
        <f t="shared" si="12"/>
        <v>CH4</v>
      </c>
      <c r="D17" s="21">
        <v>21.5</v>
      </c>
      <c r="E17" t="s">
        <v>144</v>
      </c>
      <c r="F17" s="21">
        <v>71401.24789683758</v>
      </c>
      <c r="G17" s="22">
        <f t="shared" si="17"/>
        <v>0.10598779281968941</v>
      </c>
      <c r="H17" s="22">
        <f t="shared" si="18"/>
        <v>2.2787375456233225</v>
      </c>
      <c r="J17" t="str">
        <f t="shared" si="13"/>
        <v>Manure management</v>
      </c>
      <c r="K17" t="str">
        <f t="shared" si="14"/>
        <v>CH4</v>
      </c>
      <c r="L17" s="21">
        <v>0.21</v>
      </c>
      <c r="M17" t="s">
        <v>144</v>
      </c>
      <c r="N17" s="22">
        <f t="shared" si="2"/>
        <v>2.2257436492134776E-2</v>
      </c>
      <c r="P17" t="str">
        <f t="shared" si="15"/>
        <v>Manure management</v>
      </c>
      <c r="Q17" t="str">
        <f t="shared" si="16"/>
        <v>N2O</v>
      </c>
      <c r="R17" s="21">
        <v>8.0482500000000012</v>
      </c>
      <c r="S17" t="s">
        <v>311</v>
      </c>
      <c r="T17" s="22">
        <f t="shared" si="3"/>
        <v>0.85301625356106547</v>
      </c>
    </row>
    <row r="18" spans="1:20" x14ac:dyDescent="0.25">
      <c r="A18" s="14" t="s">
        <v>168</v>
      </c>
      <c r="B18" t="str">
        <f t="shared" si="11"/>
        <v>Enteric fermentation</v>
      </c>
      <c r="C18" t="str">
        <f t="shared" si="12"/>
        <v>CH4</v>
      </c>
      <c r="D18" s="21">
        <v>62.6</v>
      </c>
      <c r="E18" t="s">
        <v>144</v>
      </c>
      <c r="F18" s="21">
        <v>71401.24789683758</v>
      </c>
      <c r="G18" s="22">
        <f t="shared" si="17"/>
        <v>0.10598779281968941</v>
      </c>
      <c r="H18" s="22">
        <f t="shared" si="18"/>
        <v>6.6348358305125572</v>
      </c>
      <c r="J18" t="str">
        <f t="shared" si="13"/>
        <v>Manure management</v>
      </c>
      <c r="K18" t="str">
        <f t="shared" si="14"/>
        <v>CH4</v>
      </c>
      <c r="L18" s="21">
        <v>1.19</v>
      </c>
      <c r="M18" t="s">
        <v>144</v>
      </c>
      <c r="N18" s="22">
        <f t="shared" si="2"/>
        <v>0.1261254734554304</v>
      </c>
      <c r="P18" t="str">
        <f t="shared" si="15"/>
        <v>Manure management</v>
      </c>
      <c r="Q18" t="str">
        <f t="shared" si="16"/>
        <v>N2O</v>
      </c>
      <c r="R18" s="21">
        <v>12.64725</v>
      </c>
      <c r="S18" t="s">
        <v>311</v>
      </c>
      <c r="T18" s="22">
        <f t="shared" si="3"/>
        <v>1.3404541127388168</v>
      </c>
    </row>
    <row r="19" spans="1:20" x14ac:dyDescent="0.25">
      <c r="A19" s="14" t="s">
        <v>169</v>
      </c>
      <c r="B19" t="str">
        <f t="shared" si="11"/>
        <v>Enteric fermentation</v>
      </c>
      <c r="C19" t="str">
        <f t="shared" si="12"/>
        <v>CH4</v>
      </c>
      <c r="D19" s="21">
        <v>42.1</v>
      </c>
      <c r="E19" t="s">
        <v>144</v>
      </c>
      <c r="F19" s="21">
        <v>107101.87184525639</v>
      </c>
      <c r="G19" s="22">
        <f t="shared" si="17"/>
        <v>0.15898168922953415</v>
      </c>
      <c r="H19" s="22">
        <f t="shared" si="18"/>
        <v>6.6931291165633882</v>
      </c>
      <c r="J19" t="str">
        <f t="shared" si="13"/>
        <v>Manure management</v>
      </c>
      <c r="K19" t="str">
        <f t="shared" si="14"/>
        <v>CH4</v>
      </c>
      <c r="L19" s="21">
        <v>0.75</v>
      </c>
      <c r="M19" t="s">
        <v>144</v>
      </c>
      <c r="N19" s="22">
        <f t="shared" si="2"/>
        <v>0.11923626692215061</v>
      </c>
      <c r="P19" t="str">
        <f t="shared" si="15"/>
        <v>Manure management</v>
      </c>
      <c r="Q19" t="str">
        <f t="shared" si="16"/>
        <v>N2O</v>
      </c>
      <c r="R19" s="21">
        <v>39.551400000000001</v>
      </c>
      <c r="S19" t="s">
        <v>311</v>
      </c>
      <c r="T19" s="22">
        <f t="shared" si="3"/>
        <v>6.2879483833929974</v>
      </c>
    </row>
    <row r="20" spans="1:20" x14ac:dyDescent="0.25">
      <c r="A20" s="14" t="s">
        <v>170</v>
      </c>
      <c r="B20" t="str">
        <f t="shared" si="11"/>
        <v>Enteric fermentation</v>
      </c>
      <c r="C20" t="str">
        <f t="shared" si="12"/>
        <v>CH4</v>
      </c>
      <c r="D20" s="21">
        <v>22.5</v>
      </c>
      <c r="E20" t="s">
        <v>144</v>
      </c>
      <c r="F20" s="21">
        <v>30644.887933681304</v>
      </c>
      <c r="G20" s="22">
        <f t="shared" si="17"/>
        <v>4.5489177415923988E-2</v>
      </c>
      <c r="H20" s="22">
        <f t="shared" si="18"/>
        <v>1.0235064918582897</v>
      </c>
      <c r="J20" t="str">
        <f t="shared" si="13"/>
        <v>Manure management</v>
      </c>
      <c r="K20" t="str">
        <f t="shared" si="14"/>
        <v>CH4</v>
      </c>
      <c r="L20" s="21">
        <v>0.37</v>
      </c>
      <c r="M20" t="s">
        <v>144</v>
      </c>
      <c r="N20" s="22">
        <f t="shared" si="2"/>
        <v>1.6830995643891875E-2</v>
      </c>
      <c r="P20" t="str">
        <f t="shared" si="15"/>
        <v>Manure management</v>
      </c>
      <c r="Q20" t="str">
        <f t="shared" si="16"/>
        <v>N2O</v>
      </c>
      <c r="R20" s="21">
        <v>74.043900000000008</v>
      </c>
      <c r="S20" t="s">
        <v>311</v>
      </c>
      <c r="T20" s="22">
        <f t="shared" si="3"/>
        <v>3.3681961036669343</v>
      </c>
    </row>
    <row r="21" spans="1:20" x14ac:dyDescent="0.25">
      <c r="A21" s="14" t="s">
        <v>171</v>
      </c>
      <c r="B21" t="str">
        <f t="shared" si="11"/>
        <v>Enteric fermentation</v>
      </c>
      <c r="C21" t="str">
        <f t="shared" si="12"/>
        <v>CH4</v>
      </c>
      <c r="D21" s="21">
        <v>67.7</v>
      </c>
      <c r="E21" t="s">
        <v>144</v>
      </c>
      <c r="F21" s="21">
        <v>89692.354927847715</v>
      </c>
      <c r="G21" s="22">
        <f t="shared" si="17"/>
        <v>0.13313905585148483</v>
      </c>
      <c r="H21" s="22">
        <f t="shared" si="18"/>
        <v>9.013514081145523</v>
      </c>
      <c r="J21" t="str">
        <f t="shared" si="13"/>
        <v>Manure management</v>
      </c>
      <c r="K21" t="str">
        <f t="shared" si="14"/>
        <v>CH4</v>
      </c>
      <c r="L21" s="21">
        <v>1.24</v>
      </c>
      <c r="M21" t="s">
        <v>144</v>
      </c>
      <c r="N21" s="22">
        <f t="shared" si="2"/>
        <v>0.16509242925584119</v>
      </c>
      <c r="P21" t="str">
        <f t="shared" si="15"/>
        <v>Manure management</v>
      </c>
      <c r="Q21" t="str">
        <f t="shared" si="16"/>
        <v>N2O</v>
      </c>
      <c r="R21" s="21">
        <v>90.600300000000004</v>
      </c>
      <c r="S21" t="s">
        <v>311</v>
      </c>
      <c r="T21" s="22">
        <f t="shared" si="3"/>
        <v>12.062438401861282</v>
      </c>
    </row>
    <row r="22" spans="1:20" x14ac:dyDescent="0.25">
      <c r="A22" s="14" t="s">
        <v>172</v>
      </c>
      <c r="B22" t="str">
        <f t="shared" si="11"/>
        <v>Enteric fermentation</v>
      </c>
      <c r="C22" t="str">
        <f t="shared" si="12"/>
        <v>CH4</v>
      </c>
      <c r="D22" s="21">
        <v>113</v>
      </c>
      <c r="E22" t="s">
        <v>144</v>
      </c>
      <c r="F22" s="21">
        <v>160017.76666666666</v>
      </c>
      <c r="G22" s="22">
        <f>F22/SUM($F$22:$F$24,$F$26:$F$28)</f>
        <v>2.6554920846633981E-2</v>
      </c>
      <c r="H22" s="22">
        <f>D22*G22</f>
        <v>3.0007060556696397</v>
      </c>
      <c r="J22" t="str">
        <f t="shared" si="13"/>
        <v>Manure management</v>
      </c>
      <c r="K22" t="str">
        <f t="shared" si="14"/>
        <v>CH4</v>
      </c>
      <c r="L22" s="21">
        <v>2.1999999999999999E-2</v>
      </c>
      <c r="M22" t="s">
        <v>144</v>
      </c>
      <c r="N22" s="22">
        <f t="shared" si="2"/>
        <v>5.842082586259475E-4</v>
      </c>
      <c r="P22" t="str">
        <f t="shared" si="15"/>
        <v>Manure management</v>
      </c>
      <c r="Q22" t="str">
        <f t="shared" si="16"/>
        <v>N2O</v>
      </c>
      <c r="R22" s="21">
        <v>168.55334999999999</v>
      </c>
      <c r="S22" t="s">
        <v>311</v>
      </c>
      <c r="T22" s="22">
        <f t="shared" si="3"/>
        <v>4.4759208676849935</v>
      </c>
    </row>
    <row r="23" spans="1:20" x14ac:dyDescent="0.25">
      <c r="A23" s="14" t="s">
        <v>173</v>
      </c>
      <c r="B23" t="str">
        <f t="shared" si="11"/>
        <v>Enteric fermentation</v>
      </c>
      <c r="C23" t="str">
        <f t="shared" si="12"/>
        <v>CH4</v>
      </c>
      <c r="D23" s="21">
        <v>51.6</v>
      </c>
      <c r="E23" t="s">
        <v>144</v>
      </c>
      <c r="F23" s="21">
        <v>1455775.5333333332</v>
      </c>
      <c r="G23" s="22">
        <f t="shared" ref="G23:G28" si="19">F23/SUM($F$22:$F$24,$F$26:$F$28)</f>
        <v>0.24158569928464005</v>
      </c>
      <c r="H23" s="22">
        <f t="shared" si="18"/>
        <v>12.465822083087426</v>
      </c>
      <c r="J23" t="str">
        <f t="shared" si="13"/>
        <v>Manure management</v>
      </c>
      <c r="K23" t="str">
        <f t="shared" si="14"/>
        <v>CH4</v>
      </c>
      <c r="L23" s="21">
        <v>1.2E-2</v>
      </c>
      <c r="M23" t="s">
        <v>144</v>
      </c>
      <c r="N23" s="22">
        <f t="shared" si="2"/>
        <v>2.8990283914156808E-3</v>
      </c>
      <c r="P23" t="str">
        <f t="shared" si="15"/>
        <v>Manure management</v>
      </c>
      <c r="Q23" t="str">
        <f t="shared" si="16"/>
        <v>N2O</v>
      </c>
      <c r="R23" s="21">
        <v>43.6905</v>
      </c>
      <c r="S23" t="s">
        <v>311</v>
      </c>
      <c r="T23" s="22">
        <f t="shared" si="3"/>
        <v>10.554999994595565</v>
      </c>
    </row>
    <row r="24" spans="1:20" x14ac:dyDescent="0.25">
      <c r="A24" s="14" t="s">
        <v>174</v>
      </c>
      <c r="B24" t="str">
        <f t="shared" si="11"/>
        <v>Enteric fermentation</v>
      </c>
      <c r="C24" t="str">
        <f t="shared" si="12"/>
        <v>CH4</v>
      </c>
      <c r="D24" s="21">
        <v>92.6</v>
      </c>
      <c r="E24" t="s">
        <v>144</v>
      </c>
      <c r="F24" s="21">
        <v>2980000</v>
      </c>
      <c r="G24" s="22">
        <f t="shared" si="19"/>
        <v>0.49453048727903293</v>
      </c>
      <c r="H24" s="22">
        <f t="shared" si="18"/>
        <v>45.793523122038444</v>
      </c>
      <c r="J24" t="str">
        <f t="shared" si="13"/>
        <v>Manure management</v>
      </c>
      <c r="K24" t="str">
        <f t="shared" si="14"/>
        <v>CH4</v>
      </c>
      <c r="L24" s="21">
        <v>1.7999999999999999E-2</v>
      </c>
      <c r="M24" t="s">
        <v>144</v>
      </c>
      <c r="N24" s="22">
        <f t="shared" si="2"/>
        <v>8.9015487710225917E-3</v>
      </c>
      <c r="P24" t="str">
        <f t="shared" si="15"/>
        <v>Manure management</v>
      </c>
      <c r="Q24" t="str">
        <f t="shared" si="16"/>
        <v>N2O</v>
      </c>
      <c r="R24" s="21">
        <v>109.22624999999998</v>
      </c>
      <c r="S24" t="s">
        <v>311</v>
      </c>
      <c r="T24" s="22">
        <f t="shared" si="3"/>
        <v>54.015710636161458</v>
      </c>
    </row>
    <row r="25" spans="1:20" x14ac:dyDescent="0.25">
      <c r="A25" s="14" t="s">
        <v>175</v>
      </c>
      <c r="B25" t="str">
        <f t="shared" si="11"/>
        <v>Enteric fermentation</v>
      </c>
      <c r="C25" t="str">
        <f t="shared" si="12"/>
        <v>CH4</v>
      </c>
      <c r="D25" s="21">
        <v>58.9</v>
      </c>
      <c r="E25" t="s">
        <v>144</v>
      </c>
      <c r="F25" s="21">
        <v>399822.33333333331</v>
      </c>
      <c r="G25" s="22">
        <v>1</v>
      </c>
      <c r="H25" s="22">
        <f>D25*G25</f>
        <v>58.9</v>
      </c>
      <c r="J25" t="str">
        <f t="shared" si="13"/>
        <v>Manure management</v>
      </c>
      <c r="K25" t="str">
        <f t="shared" si="14"/>
        <v>CH4</v>
      </c>
      <c r="L25" s="21">
        <v>0.87</v>
      </c>
      <c r="M25" t="s">
        <v>144</v>
      </c>
      <c r="N25" s="22">
        <f t="shared" si="2"/>
        <v>0.87</v>
      </c>
      <c r="P25" t="str">
        <f t="shared" si="15"/>
        <v>Manure management</v>
      </c>
      <c r="Q25" t="str">
        <f t="shared" si="16"/>
        <v>N2O</v>
      </c>
      <c r="R25" s="21">
        <v>65.765699999999995</v>
      </c>
      <c r="S25" t="s">
        <v>311</v>
      </c>
      <c r="T25" s="22">
        <f t="shared" si="3"/>
        <v>65.765699999999995</v>
      </c>
    </row>
    <row r="26" spans="1:20" x14ac:dyDescent="0.25">
      <c r="A26" s="14" t="s">
        <v>176</v>
      </c>
      <c r="B26" t="str">
        <f t="shared" si="11"/>
        <v>Enteric fermentation</v>
      </c>
      <c r="C26" t="str">
        <f t="shared" si="12"/>
        <v>CH4</v>
      </c>
      <c r="D26" s="21">
        <v>75.900000000000006</v>
      </c>
      <c r="E26" t="s">
        <v>144</v>
      </c>
      <c r="F26" s="21">
        <v>798049.7466666667</v>
      </c>
      <c r="G26" s="22">
        <f t="shared" si="19"/>
        <v>0.13243621815166962</v>
      </c>
      <c r="H26" s="22">
        <f t="shared" si="18"/>
        <v>10.051908957711724</v>
      </c>
      <c r="J26" t="str">
        <f t="shared" si="13"/>
        <v>Manure management</v>
      </c>
      <c r="K26" t="str">
        <f t="shared" si="14"/>
        <v>CH4</v>
      </c>
      <c r="L26" s="21">
        <v>1.6E-2</v>
      </c>
      <c r="M26" t="s">
        <v>144</v>
      </c>
      <c r="N26" s="22">
        <f t="shared" si="2"/>
        <v>2.118979490426714E-3</v>
      </c>
      <c r="P26" t="str">
        <f t="shared" si="15"/>
        <v>Manure management</v>
      </c>
      <c r="Q26" t="str">
        <f t="shared" si="16"/>
        <v>N2O</v>
      </c>
      <c r="R26" s="21">
        <v>83.931749999999994</v>
      </c>
      <c r="S26" t="s">
        <v>311</v>
      </c>
      <c r="T26" s="22">
        <f t="shared" si="3"/>
        <v>11.115603552851395</v>
      </c>
    </row>
    <row r="27" spans="1:20" x14ac:dyDescent="0.25">
      <c r="A27" s="14" t="s">
        <v>177</v>
      </c>
      <c r="B27" t="str">
        <f t="shared" si="11"/>
        <v>Enteric fermentation</v>
      </c>
      <c r="C27" t="str">
        <f t="shared" si="12"/>
        <v>CH4</v>
      </c>
      <c r="D27" s="21">
        <v>89.4</v>
      </c>
      <c r="E27" t="s">
        <v>144</v>
      </c>
      <c r="F27" s="21">
        <v>170000</v>
      </c>
      <c r="G27" s="22">
        <f t="shared" si="19"/>
        <v>2.8211470750817317E-2</v>
      </c>
      <c r="H27" s="22">
        <f t="shared" si="18"/>
        <v>2.5221054851230682</v>
      </c>
      <c r="J27" t="str">
        <f t="shared" si="13"/>
        <v>Manure management</v>
      </c>
      <c r="K27" t="str">
        <f t="shared" si="14"/>
        <v>CH4</v>
      </c>
      <c r="L27" s="21">
        <v>1.7999999999999999E-2</v>
      </c>
      <c r="M27" t="s">
        <v>144</v>
      </c>
      <c r="N27" s="22">
        <f t="shared" si="2"/>
        <v>5.0780647351471168E-4</v>
      </c>
      <c r="P27" t="str">
        <f t="shared" si="15"/>
        <v>Manure management</v>
      </c>
      <c r="Q27" t="str">
        <f t="shared" si="16"/>
        <v>N2O</v>
      </c>
      <c r="R27" s="21">
        <v>98.878499999999988</v>
      </c>
      <c r="S27" t="s">
        <v>311</v>
      </c>
      <c r="T27" s="22">
        <f t="shared" si="3"/>
        <v>2.7895079106346898</v>
      </c>
    </row>
    <row r="28" spans="1:20" x14ac:dyDescent="0.25">
      <c r="A28" s="14" t="s">
        <v>178</v>
      </c>
      <c r="B28" t="str">
        <f t="shared" si="11"/>
        <v>Enteric fermentation</v>
      </c>
      <c r="C28" t="str">
        <f t="shared" si="12"/>
        <v>CH4</v>
      </c>
      <c r="D28" s="21">
        <v>51.6</v>
      </c>
      <c r="E28" t="s">
        <v>144</v>
      </c>
      <c r="F28" s="21">
        <v>462074.62</v>
      </c>
      <c r="G28" s="22">
        <f t="shared" si="19"/>
        <v>7.6681203687206032E-2</v>
      </c>
      <c r="H28" s="22">
        <f>D28*G28</f>
        <v>3.9567501102598315</v>
      </c>
      <c r="J28" t="str">
        <f t="shared" si="13"/>
        <v>Manure management</v>
      </c>
      <c r="K28" t="str">
        <f t="shared" si="14"/>
        <v>CH4</v>
      </c>
      <c r="L28" s="21">
        <v>1.2E-2</v>
      </c>
      <c r="M28" t="s">
        <v>144</v>
      </c>
      <c r="N28" s="22">
        <f t="shared" si="2"/>
        <v>9.2017444424647235E-4</v>
      </c>
      <c r="P28" t="str">
        <f t="shared" si="15"/>
        <v>Manure management</v>
      </c>
      <c r="Q28" t="str">
        <f t="shared" si="16"/>
        <v>N2O</v>
      </c>
      <c r="R28" s="21">
        <v>44.38035</v>
      </c>
      <c r="S28" t="s">
        <v>311</v>
      </c>
      <c r="T28" s="22">
        <f t="shared" si="3"/>
        <v>3.4031386580594942</v>
      </c>
    </row>
    <row r="29" spans="1:20" x14ac:dyDescent="0.25">
      <c r="A29" s="14" t="s">
        <v>179</v>
      </c>
      <c r="B29" t="str">
        <f t="shared" si="11"/>
        <v>Enteric fermentation</v>
      </c>
      <c r="C29" t="str">
        <f t="shared" si="12"/>
        <v>CH4</v>
      </c>
      <c r="D29" s="21">
        <v>83.8</v>
      </c>
      <c r="E29" t="s">
        <v>144</v>
      </c>
      <c r="F29" s="21">
        <v>145520.9662395542</v>
      </c>
      <c r="G29" s="22">
        <f>F29/SUM($F$29:$F$34)</f>
        <v>2.6554920846633981E-2</v>
      </c>
      <c r="H29" s="22">
        <f t="shared" si="18"/>
        <v>2.2253023669479277</v>
      </c>
      <c r="J29" t="str">
        <f t="shared" si="13"/>
        <v>Manure management</v>
      </c>
      <c r="K29" t="str">
        <f t="shared" si="14"/>
        <v>CH4</v>
      </c>
      <c r="L29" s="21">
        <v>1.7000000000000001E-2</v>
      </c>
      <c r="M29" t="s">
        <v>144</v>
      </c>
      <c r="N29" s="22">
        <f t="shared" si="2"/>
        <v>4.514336543927777E-4</v>
      </c>
      <c r="P29" t="str">
        <f t="shared" si="15"/>
        <v>Manure management</v>
      </c>
      <c r="Q29" t="str">
        <f t="shared" si="16"/>
        <v>N2O</v>
      </c>
      <c r="R29" s="21">
        <v>134.52074999999999</v>
      </c>
      <c r="S29" t="s">
        <v>311</v>
      </c>
      <c r="T29" s="22">
        <f t="shared" si="3"/>
        <v>3.5721878684798378</v>
      </c>
    </row>
    <row r="30" spans="1:20" x14ac:dyDescent="0.25">
      <c r="A30" s="14" t="s">
        <v>180</v>
      </c>
      <c r="B30" t="str">
        <f t="shared" si="11"/>
        <v>Enteric fermentation</v>
      </c>
      <c r="C30" t="str">
        <f t="shared" si="12"/>
        <v>CH4</v>
      </c>
      <c r="D30" s="21">
        <v>40.9</v>
      </c>
      <c r="E30" t="s">
        <v>144</v>
      </c>
      <c r="F30" s="21">
        <v>1323889.6320798274</v>
      </c>
      <c r="G30" s="22">
        <f t="shared" ref="G30:G34" si="20">F30/SUM($F$29:$F$34)</f>
        <v>0.24158569928464008</v>
      </c>
      <c r="H30" s="22">
        <f t="shared" si="18"/>
        <v>9.880855100741778</v>
      </c>
      <c r="J30" t="str">
        <f t="shared" si="13"/>
        <v>Manure management</v>
      </c>
      <c r="K30" t="str">
        <f t="shared" si="14"/>
        <v>CH4</v>
      </c>
      <c r="L30" s="21">
        <v>0.01</v>
      </c>
      <c r="M30" t="s">
        <v>144</v>
      </c>
      <c r="N30" s="22">
        <f t="shared" si="2"/>
        <v>2.4158569928464007E-3</v>
      </c>
      <c r="P30" t="str">
        <f t="shared" si="15"/>
        <v>Manure management</v>
      </c>
      <c r="Q30" t="str">
        <f t="shared" si="16"/>
        <v>N2O</v>
      </c>
      <c r="R30" s="21">
        <v>19.545750000000002</v>
      </c>
      <c r="S30" t="s">
        <v>311</v>
      </c>
      <c r="T30" s="22">
        <f t="shared" si="3"/>
        <v>4.721973681792754</v>
      </c>
    </row>
    <row r="31" spans="1:20" x14ac:dyDescent="0.25">
      <c r="A31" s="14" t="s">
        <v>181</v>
      </c>
      <c r="B31" t="str">
        <f t="shared" si="11"/>
        <v>Enteric fermentation</v>
      </c>
      <c r="C31" t="str">
        <f t="shared" si="12"/>
        <v>CH4</v>
      </c>
      <c r="D31" s="21">
        <v>73.099999999999994</v>
      </c>
      <c r="E31" t="s">
        <v>144</v>
      </c>
      <c r="F31" s="21">
        <v>2710027.0702891005</v>
      </c>
      <c r="G31" s="22">
        <f t="shared" si="20"/>
        <v>0.49453048727903304</v>
      </c>
      <c r="H31" s="22">
        <f t="shared" si="18"/>
        <v>36.150178620097314</v>
      </c>
      <c r="J31" t="str">
        <f t="shared" si="13"/>
        <v>Manure management</v>
      </c>
      <c r="K31" t="str">
        <f t="shared" si="14"/>
        <v>CH4</v>
      </c>
      <c r="L31" s="21">
        <v>1.4999999999999999E-2</v>
      </c>
      <c r="M31" t="s">
        <v>144</v>
      </c>
      <c r="N31" s="22">
        <f t="shared" si="2"/>
        <v>7.4179573091854951E-3</v>
      </c>
      <c r="P31" t="str">
        <f t="shared" si="15"/>
        <v>Manure management</v>
      </c>
      <c r="Q31" t="str">
        <f t="shared" si="16"/>
        <v>N2O</v>
      </c>
      <c r="R31" s="21">
        <v>84.851550000000003</v>
      </c>
      <c r="S31" t="s">
        <v>311</v>
      </c>
      <c r="T31" s="22">
        <f t="shared" si="3"/>
        <v>41.961678367881234</v>
      </c>
    </row>
    <row r="32" spans="1:20" x14ac:dyDescent="0.25">
      <c r="A32" s="14" t="s">
        <v>182</v>
      </c>
      <c r="B32" t="str">
        <f t="shared" si="11"/>
        <v>Enteric fermentation</v>
      </c>
      <c r="C32" t="str">
        <f t="shared" si="12"/>
        <v>CH4</v>
      </c>
      <c r="D32" s="21">
        <v>62.5</v>
      </c>
      <c r="E32" t="s">
        <v>144</v>
      </c>
      <c r="F32" s="21">
        <v>725750.47547114955</v>
      </c>
      <c r="G32" s="22">
        <f t="shared" si="20"/>
        <v>0.13243621815166964</v>
      </c>
      <c r="H32" s="22">
        <f t="shared" si="18"/>
        <v>8.2772636344793522</v>
      </c>
      <c r="J32" t="str">
        <f t="shared" si="13"/>
        <v>Manure management</v>
      </c>
      <c r="K32" t="str">
        <f t="shared" si="14"/>
        <v>CH4</v>
      </c>
      <c r="L32" s="21">
        <v>1.2999999999999999E-2</v>
      </c>
      <c r="M32" t="s">
        <v>144</v>
      </c>
      <c r="N32" s="22">
        <f t="shared" si="2"/>
        <v>1.7216708359717053E-3</v>
      </c>
      <c r="P32" t="str">
        <f t="shared" si="15"/>
        <v>Manure management</v>
      </c>
      <c r="Q32" t="str">
        <f t="shared" si="16"/>
        <v>N2O</v>
      </c>
      <c r="R32" s="21">
        <v>48.979350000000004</v>
      </c>
      <c r="S32" t="s">
        <v>311</v>
      </c>
      <c r="T32" s="22">
        <f t="shared" si="3"/>
        <v>6.4866398815269815</v>
      </c>
    </row>
    <row r="33" spans="1:20" x14ac:dyDescent="0.25">
      <c r="A33" s="14" t="s">
        <v>183</v>
      </c>
      <c r="B33" t="str">
        <f t="shared" si="11"/>
        <v>Enteric fermentation</v>
      </c>
      <c r="C33" t="str">
        <f t="shared" si="12"/>
        <v>CH4</v>
      </c>
      <c r="D33" s="21">
        <v>72.599999999999994</v>
      </c>
      <c r="E33" t="s">
        <v>144</v>
      </c>
      <c r="F33" s="21">
        <v>154598.85971447889</v>
      </c>
      <c r="G33" s="22">
        <f t="shared" si="20"/>
        <v>2.821147075081732E-2</v>
      </c>
      <c r="H33" s="22">
        <f t="shared" si="18"/>
        <v>2.0481527765093372</v>
      </c>
      <c r="J33" t="str">
        <f t="shared" si="13"/>
        <v>Manure management</v>
      </c>
      <c r="K33" t="str">
        <f t="shared" si="14"/>
        <v>CH4</v>
      </c>
      <c r="L33" s="21">
        <v>1.4999999999999999E-2</v>
      </c>
      <c r="M33" t="s">
        <v>144</v>
      </c>
      <c r="N33" s="22">
        <f t="shared" si="2"/>
        <v>4.2317206126225978E-4</v>
      </c>
      <c r="P33" t="str">
        <f t="shared" si="15"/>
        <v>Manure management</v>
      </c>
      <c r="Q33" t="str">
        <f t="shared" si="16"/>
        <v>N2O</v>
      </c>
      <c r="R33" s="21">
        <v>92.209950000000006</v>
      </c>
      <c r="S33" t="s">
        <v>311</v>
      </c>
      <c r="T33" s="22">
        <f t="shared" si="3"/>
        <v>2.6013783073593277</v>
      </c>
    </row>
    <row r="34" spans="1:20" x14ac:dyDescent="0.25">
      <c r="A34" s="14" t="s">
        <v>184</v>
      </c>
      <c r="B34" t="str">
        <f t="shared" si="11"/>
        <v>Enteric fermentation</v>
      </c>
      <c r="C34" t="str">
        <f t="shared" si="12"/>
        <v>CH4</v>
      </c>
      <c r="D34" s="21">
        <v>41.6</v>
      </c>
      <c r="E34" t="s">
        <v>144</v>
      </c>
      <c r="F34" s="21">
        <v>420212.99620588904</v>
      </c>
      <c r="G34" s="22">
        <f t="shared" si="20"/>
        <v>7.6681203687206045E-2</v>
      </c>
      <c r="H34" s="22">
        <f t="shared" si="18"/>
        <v>3.1899380733877716</v>
      </c>
      <c r="J34" t="str">
        <f t="shared" si="13"/>
        <v>Manure management</v>
      </c>
      <c r="K34" t="str">
        <f t="shared" si="14"/>
        <v>CH4</v>
      </c>
      <c r="L34" s="21">
        <v>0.01</v>
      </c>
      <c r="M34" t="s">
        <v>144</v>
      </c>
      <c r="N34" s="22">
        <f t="shared" si="2"/>
        <v>7.6681203687206049E-4</v>
      </c>
      <c r="P34" t="str">
        <f t="shared" si="15"/>
        <v>Manure management</v>
      </c>
      <c r="Q34" t="str">
        <f t="shared" si="16"/>
        <v>N2O</v>
      </c>
      <c r="R34" s="21">
        <v>68.984999999999999</v>
      </c>
      <c r="S34" t="s">
        <v>311</v>
      </c>
      <c r="T34" s="22">
        <f t="shared" si="3"/>
        <v>5.2898528363619093</v>
      </c>
    </row>
    <row r="35" spans="1:20" x14ac:dyDescent="0.25">
      <c r="A35" s="13" t="s">
        <v>152</v>
      </c>
      <c r="M35" s="13"/>
    </row>
    <row r="36" spans="1:20" x14ac:dyDescent="0.25">
      <c r="A36" s="14" t="s">
        <v>185</v>
      </c>
      <c r="B36" t="str">
        <f t="shared" ref="B36:B83" si="21">$B$5</f>
        <v>Enteric fermentation</v>
      </c>
      <c r="C36" t="str">
        <f t="shared" ref="C36:C83" si="22">$C$5</f>
        <v>CH4</v>
      </c>
      <c r="D36" s="21">
        <v>7.28</v>
      </c>
      <c r="E36" t="s">
        <v>144</v>
      </c>
      <c r="F36" s="21">
        <v>11250</v>
      </c>
      <c r="G36" s="22">
        <f>F36/SUM($F$36:$F$59)</f>
        <v>5.2342623179639882E-4</v>
      </c>
      <c r="H36" s="22">
        <f t="shared" si="18"/>
        <v>3.8105429674777837E-3</v>
      </c>
      <c r="J36" t="str">
        <f t="shared" ref="J36:J83" si="23">$J$5</f>
        <v>Manure management</v>
      </c>
      <c r="K36" t="str">
        <f t="shared" ref="K36:K83" si="24">$K$5</f>
        <v>CH4</v>
      </c>
      <c r="L36" s="21">
        <v>2E-3</v>
      </c>
      <c r="M36" t="s">
        <v>144</v>
      </c>
      <c r="N36" s="22">
        <f t="shared" si="2"/>
        <v>1.0468524635927976E-6</v>
      </c>
      <c r="P36" t="str">
        <f t="shared" ref="P36:P83" si="25">$P$5</f>
        <v>Manure management</v>
      </c>
      <c r="Q36" t="str">
        <f t="shared" ref="Q36:Q83" si="26">$Q$5</f>
        <v>N2O</v>
      </c>
      <c r="R36" s="21">
        <v>20.498399999999997</v>
      </c>
      <c r="S36" t="s">
        <v>311</v>
      </c>
      <c r="T36" s="22">
        <f t="shared" si="3"/>
        <v>1.07294002698553E-2</v>
      </c>
    </row>
    <row r="37" spans="1:20" x14ac:dyDescent="0.25">
      <c r="A37" s="14" t="s">
        <v>186</v>
      </c>
      <c r="B37" t="str">
        <f t="shared" si="21"/>
        <v>Enteric fermentation</v>
      </c>
      <c r="C37" t="str">
        <f t="shared" si="22"/>
        <v>CH4</v>
      </c>
      <c r="D37" s="21">
        <v>10.5</v>
      </c>
      <c r="E37" t="s">
        <v>144</v>
      </c>
      <c r="F37" s="21">
        <v>250</v>
      </c>
      <c r="G37" s="22">
        <f t="shared" ref="G37:G59" si="27">F37/SUM($F$36:$F$59)</f>
        <v>1.1631694039919974E-5</v>
      </c>
      <c r="H37" s="22">
        <f t="shared" si="18"/>
        <v>1.2213278741915972E-4</v>
      </c>
      <c r="J37" t="str">
        <f t="shared" si="23"/>
        <v>Manure management</v>
      </c>
      <c r="K37" t="str">
        <f t="shared" si="24"/>
        <v>CH4</v>
      </c>
      <c r="L37" s="21">
        <v>3.0000000000000001E-3</v>
      </c>
      <c r="M37" t="s">
        <v>144</v>
      </c>
      <c r="N37" s="22">
        <f t="shared" si="2"/>
        <v>3.4895082119759926E-8</v>
      </c>
      <c r="P37" t="str">
        <f t="shared" si="25"/>
        <v>Manure management</v>
      </c>
      <c r="Q37" t="str">
        <f t="shared" si="26"/>
        <v>N2O</v>
      </c>
      <c r="R37" s="21">
        <v>30.961124999999996</v>
      </c>
      <c r="S37" t="s">
        <v>311</v>
      </c>
      <c r="T37" s="22">
        <f t="shared" si="3"/>
        <v>3.6013033313171726E-4</v>
      </c>
    </row>
    <row r="38" spans="1:20" x14ac:dyDescent="0.25">
      <c r="A38" s="14" t="s">
        <v>187</v>
      </c>
      <c r="B38" t="str">
        <f t="shared" si="21"/>
        <v>Enteric fermentation</v>
      </c>
      <c r="C38" t="str">
        <f t="shared" si="22"/>
        <v>CH4</v>
      </c>
      <c r="D38" s="21">
        <v>3.62</v>
      </c>
      <c r="E38" t="s">
        <v>144</v>
      </c>
      <c r="F38" s="21">
        <v>6000</v>
      </c>
      <c r="G38" s="22">
        <f t="shared" si="27"/>
        <v>2.7916065695807939E-4</v>
      </c>
      <c r="H38" s="22">
        <f t="shared" si="18"/>
        <v>1.0105615781882474E-3</v>
      </c>
      <c r="J38" t="str">
        <f t="shared" si="23"/>
        <v>Manure management</v>
      </c>
      <c r="K38" t="str">
        <f t="shared" si="24"/>
        <v>CH4</v>
      </c>
      <c r="L38" s="21">
        <v>1E-3</v>
      </c>
      <c r="M38" t="s">
        <v>144</v>
      </c>
      <c r="N38" s="22">
        <f t="shared" si="2"/>
        <v>2.7916065695807941E-7</v>
      </c>
      <c r="P38" t="str">
        <f t="shared" si="25"/>
        <v>Manure management</v>
      </c>
      <c r="Q38" t="str">
        <f t="shared" si="26"/>
        <v>N2O</v>
      </c>
      <c r="R38" s="21">
        <v>9.608625</v>
      </c>
      <c r="S38" t="s">
        <v>311</v>
      </c>
      <c r="T38" s="22">
        <f t="shared" si="3"/>
        <v>2.6823500674638253E-3</v>
      </c>
    </row>
    <row r="39" spans="1:20" x14ac:dyDescent="0.25">
      <c r="A39" s="14" t="s">
        <v>188</v>
      </c>
      <c r="B39" t="str">
        <f t="shared" si="21"/>
        <v>Enteric fermentation</v>
      </c>
      <c r="C39" t="str">
        <f t="shared" si="22"/>
        <v>CH4</v>
      </c>
      <c r="D39" s="21">
        <v>5.0199999999999996</v>
      </c>
      <c r="E39" t="s">
        <v>144</v>
      </c>
      <c r="F39" s="21">
        <v>4000</v>
      </c>
      <c r="G39" s="22">
        <f t="shared" si="27"/>
        <v>1.8610710463871959E-4</v>
      </c>
      <c r="H39" s="22">
        <f t="shared" si="18"/>
        <v>9.3425766528637229E-4</v>
      </c>
      <c r="J39" t="str">
        <f t="shared" si="23"/>
        <v>Manure management</v>
      </c>
      <c r="K39" t="str">
        <f t="shared" si="24"/>
        <v>CH4</v>
      </c>
      <c r="L39" s="21">
        <v>1.2999999999999999E-3</v>
      </c>
      <c r="M39" t="s">
        <v>144</v>
      </c>
      <c r="N39" s="22">
        <f t="shared" si="2"/>
        <v>2.4193923603033547E-7</v>
      </c>
      <c r="P39" t="str">
        <f t="shared" si="25"/>
        <v>Manure management</v>
      </c>
      <c r="Q39" t="str">
        <f t="shared" si="26"/>
        <v>N2O</v>
      </c>
      <c r="R39" s="21">
        <v>14.306175</v>
      </c>
      <c r="S39" t="s">
        <v>311</v>
      </c>
      <c r="T39" s="22">
        <f t="shared" si="3"/>
        <v>2.6624808077048341E-3</v>
      </c>
    </row>
    <row r="40" spans="1:20" x14ac:dyDescent="0.25">
      <c r="A40" s="14" t="s">
        <v>189</v>
      </c>
      <c r="B40" t="str">
        <f t="shared" si="21"/>
        <v>Enteric fermentation</v>
      </c>
      <c r="C40" t="str">
        <f t="shared" si="22"/>
        <v>CH4</v>
      </c>
      <c r="D40" s="21">
        <v>5.94</v>
      </c>
      <c r="E40" t="s">
        <v>144</v>
      </c>
      <c r="F40" s="21">
        <v>3000</v>
      </c>
      <c r="G40" s="22">
        <f t="shared" si="27"/>
        <v>1.3958032847903969E-4</v>
      </c>
      <c r="H40" s="22">
        <f t="shared" si="18"/>
        <v>8.2910715116549585E-4</v>
      </c>
      <c r="J40" t="str">
        <f t="shared" si="23"/>
        <v>Manure management</v>
      </c>
      <c r="K40" t="str">
        <f t="shared" si="24"/>
        <v>CH4</v>
      </c>
      <c r="L40" s="21">
        <v>1.6000000000000001E-3</v>
      </c>
      <c r="M40" t="s">
        <v>144</v>
      </c>
      <c r="N40" s="22">
        <f t="shared" si="2"/>
        <v>2.2332852556646353E-7</v>
      </c>
      <c r="P40" t="str">
        <f t="shared" si="25"/>
        <v>Manure management</v>
      </c>
      <c r="Q40" t="str">
        <f t="shared" si="26"/>
        <v>N2O</v>
      </c>
      <c r="R40" s="21">
        <v>17.295524999999998</v>
      </c>
      <c r="S40" t="s">
        <v>311</v>
      </c>
      <c r="T40" s="22">
        <f t="shared" si="3"/>
        <v>2.4141150607174425E-3</v>
      </c>
    </row>
    <row r="41" spans="1:20" x14ac:dyDescent="0.25">
      <c r="A41" s="14" t="s">
        <v>190</v>
      </c>
      <c r="B41" t="str">
        <f t="shared" si="21"/>
        <v>Enteric fermentation</v>
      </c>
      <c r="C41" t="str">
        <f t="shared" si="22"/>
        <v>CH4</v>
      </c>
      <c r="D41" s="21">
        <v>7.64</v>
      </c>
      <c r="E41" t="s">
        <v>144</v>
      </c>
      <c r="F41" s="21">
        <v>500</v>
      </c>
      <c r="G41" s="22">
        <f t="shared" si="27"/>
        <v>2.3263388079839949E-5</v>
      </c>
      <c r="H41" s="22">
        <f t="shared" si="18"/>
        <v>1.7773228492997721E-4</v>
      </c>
      <c r="J41" t="str">
        <f t="shared" si="23"/>
        <v>Manure management</v>
      </c>
      <c r="K41" t="str">
        <f t="shared" si="24"/>
        <v>CH4</v>
      </c>
      <c r="L41" s="21">
        <v>2E-3</v>
      </c>
      <c r="M41" t="s">
        <v>144</v>
      </c>
      <c r="N41" s="22">
        <f t="shared" si="2"/>
        <v>4.6526776159679897E-8</v>
      </c>
      <c r="P41" t="str">
        <f t="shared" si="25"/>
        <v>Manure management</v>
      </c>
      <c r="Q41" t="str">
        <f t="shared" si="26"/>
        <v>N2O</v>
      </c>
      <c r="R41" s="21">
        <v>22.633649999999999</v>
      </c>
      <c r="S41" t="s">
        <v>311</v>
      </c>
      <c r="T41" s="22">
        <f t="shared" si="3"/>
        <v>5.2653538361326947E-4</v>
      </c>
    </row>
    <row r="42" spans="1:20" x14ac:dyDescent="0.25">
      <c r="A42" s="14" t="s">
        <v>191</v>
      </c>
      <c r="B42" t="str">
        <f t="shared" si="21"/>
        <v>Enteric fermentation</v>
      </c>
      <c r="C42" t="str">
        <f t="shared" si="22"/>
        <v>CH4</v>
      </c>
      <c r="D42" s="21">
        <v>8.07</v>
      </c>
      <c r="E42" t="s">
        <v>144</v>
      </c>
      <c r="F42" s="21">
        <v>5062950</v>
      </c>
      <c r="G42" s="22">
        <f t="shared" si="27"/>
        <v>0.23556274135765132</v>
      </c>
      <c r="H42" s="22">
        <f t="shared" si="18"/>
        <v>1.9009913227562463</v>
      </c>
      <c r="J42" t="str">
        <f t="shared" si="23"/>
        <v>Manure management</v>
      </c>
      <c r="K42" t="str">
        <f t="shared" si="24"/>
        <v>CH4</v>
      </c>
      <c r="L42" s="21">
        <v>2.2000000000000001E-3</v>
      </c>
      <c r="M42" t="s">
        <v>144</v>
      </c>
      <c r="N42" s="22">
        <f t="shared" si="2"/>
        <v>5.1823803098683297E-4</v>
      </c>
      <c r="P42" t="str">
        <f t="shared" si="25"/>
        <v>Manure management</v>
      </c>
      <c r="Q42" t="str">
        <f t="shared" si="26"/>
        <v>N2O</v>
      </c>
      <c r="R42" s="21">
        <v>22.633649999999999</v>
      </c>
      <c r="S42" t="s">
        <v>311</v>
      </c>
      <c r="T42" s="22">
        <f t="shared" si="3"/>
        <v>5.3316446409296043</v>
      </c>
    </row>
    <row r="43" spans="1:20" x14ac:dyDescent="0.25">
      <c r="A43" s="14" t="s">
        <v>192</v>
      </c>
      <c r="B43" t="str">
        <f t="shared" si="21"/>
        <v>Enteric fermentation</v>
      </c>
      <c r="C43" t="str">
        <f t="shared" si="22"/>
        <v>CH4</v>
      </c>
      <c r="D43" s="21">
        <v>14.7</v>
      </c>
      <c r="E43" t="s">
        <v>144</v>
      </c>
      <c r="F43" s="21">
        <v>112510</v>
      </c>
      <c r="G43" s="22">
        <f t="shared" si="27"/>
        <v>5.234727585725585E-3</v>
      </c>
      <c r="H43" s="22">
        <f t="shared" si="18"/>
        <v>7.6950495510166098E-2</v>
      </c>
      <c r="J43" t="str">
        <f t="shared" si="23"/>
        <v>Manure management</v>
      </c>
      <c r="K43" t="str">
        <f t="shared" si="24"/>
        <v>CH4</v>
      </c>
      <c r="L43" s="21">
        <v>4.1999999999999997E-3</v>
      </c>
      <c r="M43" t="s">
        <v>144</v>
      </c>
      <c r="N43" s="22">
        <f t="shared" si="2"/>
        <v>2.1985855860047455E-5</v>
      </c>
      <c r="P43" t="str">
        <f t="shared" si="25"/>
        <v>Manure management</v>
      </c>
      <c r="Q43" t="str">
        <f t="shared" si="26"/>
        <v>N2O</v>
      </c>
      <c r="R43" s="21">
        <v>41.637374999999999</v>
      </c>
      <c r="S43" t="s">
        <v>311</v>
      </c>
      <c r="T43" s="22">
        <f t="shared" si="3"/>
        <v>0.21796031550970082</v>
      </c>
    </row>
    <row r="44" spans="1:20" x14ac:dyDescent="0.25">
      <c r="A44" s="14" t="s">
        <v>193</v>
      </c>
      <c r="B44" t="str">
        <f t="shared" si="21"/>
        <v>Enteric fermentation</v>
      </c>
      <c r="C44" t="str">
        <f t="shared" si="22"/>
        <v>CH4</v>
      </c>
      <c r="D44" s="21">
        <v>3.62</v>
      </c>
      <c r="E44" t="s">
        <v>144</v>
      </c>
      <c r="F44" s="21">
        <v>2700240</v>
      </c>
      <c r="G44" s="22">
        <f t="shared" si="27"/>
        <v>0.12563346205741405</v>
      </c>
      <c r="H44" s="22">
        <f t="shared" si="18"/>
        <v>0.45479313264783888</v>
      </c>
      <c r="J44" t="str">
        <f t="shared" si="23"/>
        <v>Manure management</v>
      </c>
      <c r="K44" t="str">
        <f t="shared" si="24"/>
        <v>CH4</v>
      </c>
      <c r="L44" s="21">
        <v>1E-3</v>
      </c>
      <c r="M44" t="s">
        <v>144</v>
      </c>
      <c r="N44" s="22">
        <f t="shared" si="2"/>
        <v>1.2563346205741405E-4</v>
      </c>
      <c r="P44" t="str">
        <f t="shared" si="25"/>
        <v>Manure management</v>
      </c>
      <c r="Q44" t="str">
        <f t="shared" si="26"/>
        <v>N2O</v>
      </c>
      <c r="R44" s="21">
        <v>9.608625</v>
      </c>
      <c r="S44" t="s">
        <v>311</v>
      </c>
      <c r="T44" s="22">
        <f t="shared" si="3"/>
        <v>1.2071648243614201</v>
      </c>
    </row>
    <row r="45" spans="1:20" x14ac:dyDescent="0.25">
      <c r="A45" s="14" t="s">
        <v>194</v>
      </c>
      <c r="B45" t="str">
        <f t="shared" si="21"/>
        <v>Enteric fermentation</v>
      </c>
      <c r="C45" t="str">
        <f t="shared" si="22"/>
        <v>CH4</v>
      </c>
      <c r="D45" s="21">
        <v>5.54</v>
      </c>
      <c r="E45" t="s">
        <v>144</v>
      </c>
      <c r="F45" s="21">
        <v>1800160</v>
      </c>
      <c r="G45" s="22">
        <f t="shared" si="27"/>
        <v>8.375564137160936E-2</v>
      </c>
      <c r="H45" s="22">
        <f t="shared" si="18"/>
        <v>0.46400625319871586</v>
      </c>
      <c r="J45" t="str">
        <f t="shared" si="23"/>
        <v>Manure management</v>
      </c>
      <c r="K45" t="str">
        <f t="shared" si="24"/>
        <v>CH4</v>
      </c>
      <c r="L45" s="21">
        <v>1.4E-3</v>
      </c>
      <c r="M45" t="s">
        <v>144</v>
      </c>
      <c r="N45" s="22">
        <f t="shared" si="2"/>
        <v>1.172578979202531E-4</v>
      </c>
      <c r="P45" t="str">
        <f t="shared" si="25"/>
        <v>Manure management</v>
      </c>
      <c r="Q45" t="str">
        <f t="shared" si="26"/>
        <v>N2O</v>
      </c>
      <c r="R45" s="21">
        <v>16.014374999999998</v>
      </c>
      <c r="S45" t="s">
        <v>311</v>
      </c>
      <c r="T45" s="22">
        <f t="shared" si="3"/>
        <v>1.3412942492904665</v>
      </c>
    </row>
    <row r="46" spans="1:20" x14ac:dyDescent="0.25">
      <c r="A46" s="14" t="s">
        <v>195</v>
      </c>
      <c r="B46" t="str">
        <f t="shared" si="21"/>
        <v>Enteric fermentation</v>
      </c>
      <c r="C46" t="str">
        <f t="shared" si="22"/>
        <v>CH4</v>
      </c>
      <c r="D46" s="21">
        <v>6.21</v>
      </c>
      <c r="E46" t="s">
        <v>144</v>
      </c>
      <c r="F46" s="21">
        <v>1350120</v>
      </c>
      <c r="G46" s="22">
        <f t="shared" si="27"/>
        <v>6.2816731028707024E-2</v>
      </c>
      <c r="H46" s="22">
        <f t="shared" si="18"/>
        <v>0.39009189968827063</v>
      </c>
      <c r="J46" t="str">
        <f t="shared" si="23"/>
        <v>Manure management</v>
      </c>
      <c r="K46" t="str">
        <f t="shared" si="24"/>
        <v>CH4</v>
      </c>
      <c r="L46" s="21">
        <v>1.6000000000000001E-3</v>
      </c>
      <c r="M46" t="s">
        <v>144</v>
      </c>
      <c r="N46" s="22">
        <f t="shared" si="2"/>
        <v>1.0050676964593125E-4</v>
      </c>
      <c r="P46" t="str">
        <f t="shared" si="25"/>
        <v>Manure management</v>
      </c>
      <c r="Q46" t="str">
        <f t="shared" si="26"/>
        <v>N2O</v>
      </c>
      <c r="R46" s="21">
        <v>18.149625</v>
      </c>
      <c r="S46" t="s">
        <v>311</v>
      </c>
      <c r="T46" s="22">
        <f t="shared" si="3"/>
        <v>1.1401001118968968</v>
      </c>
    </row>
    <row r="47" spans="1:20" x14ac:dyDescent="0.25">
      <c r="A47" s="14" t="s">
        <v>196</v>
      </c>
      <c r="B47" t="str">
        <f t="shared" si="21"/>
        <v>Enteric fermentation</v>
      </c>
      <c r="C47" t="str">
        <f t="shared" si="22"/>
        <v>CH4</v>
      </c>
      <c r="D47" s="21">
        <v>11.5</v>
      </c>
      <c r="E47" t="s">
        <v>144</v>
      </c>
      <c r="F47" s="21">
        <v>225020</v>
      </c>
      <c r="G47" s="22">
        <f t="shared" si="27"/>
        <v>1.046945517145117E-2</v>
      </c>
      <c r="H47" s="22">
        <f t="shared" si="18"/>
        <v>0.12039873447168846</v>
      </c>
      <c r="J47" t="str">
        <f t="shared" si="23"/>
        <v>Manure management</v>
      </c>
      <c r="K47" t="str">
        <f t="shared" si="24"/>
        <v>CH4</v>
      </c>
      <c r="L47" s="21">
        <v>3.2000000000000002E-3</v>
      </c>
      <c r="M47" t="s">
        <v>144</v>
      </c>
      <c r="N47" s="22">
        <f t="shared" si="2"/>
        <v>3.3502256548643744E-5</v>
      </c>
      <c r="P47" t="str">
        <f t="shared" si="25"/>
        <v>Manure management</v>
      </c>
      <c r="Q47" t="str">
        <f t="shared" si="26"/>
        <v>N2O</v>
      </c>
      <c r="R47" s="21">
        <v>33.438014999999993</v>
      </c>
      <c r="S47" t="s">
        <v>311</v>
      </c>
      <c r="T47" s="22">
        <f t="shared" si="3"/>
        <v>0.35007779906481173</v>
      </c>
    </row>
    <row r="48" spans="1:20" x14ac:dyDescent="0.25">
      <c r="A48" s="14" t="s">
        <v>197</v>
      </c>
      <c r="B48" t="str">
        <f t="shared" si="21"/>
        <v>Enteric fermentation</v>
      </c>
      <c r="C48" t="str">
        <f t="shared" si="22"/>
        <v>CH4</v>
      </c>
      <c r="D48" s="21">
        <v>9.66</v>
      </c>
      <c r="E48" t="s">
        <v>144</v>
      </c>
      <c r="F48" s="21">
        <v>2725650</v>
      </c>
      <c r="G48" s="22">
        <f t="shared" si="27"/>
        <v>0.1268157074396315</v>
      </c>
      <c r="H48" s="22">
        <f t="shared" si="18"/>
        <v>1.2250397338668402</v>
      </c>
      <c r="J48" t="str">
        <f t="shared" si="23"/>
        <v>Manure management</v>
      </c>
      <c r="K48" t="str">
        <f t="shared" si="24"/>
        <v>CH4</v>
      </c>
      <c r="L48" s="21">
        <v>2.7000000000000001E-3</v>
      </c>
      <c r="M48" t="s">
        <v>144</v>
      </c>
      <c r="N48" s="22">
        <f t="shared" si="2"/>
        <v>3.4240241008700505E-4</v>
      </c>
      <c r="P48" t="str">
        <f t="shared" si="25"/>
        <v>Manure management</v>
      </c>
      <c r="Q48" t="str">
        <f t="shared" si="26"/>
        <v>N2O</v>
      </c>
      <c r="R48" s="21">
        <v>27.117674999999998</v>
      </c>
      <c r="S48" t="s">
        <v>311</v>
      </c>
      <c r="T48" s="22">
        <f t="shared" si="3"/>
        <v>3.4389471392430089</v>
      </c>
    </row>
    <row r="49" spans="1:20" x14ac:dyDescent="0.25">
      <c r="A49" s="14" t="s">
        <v>198</v>
      </c>
      <c r="B49" t="str">
        <f t="shared" si="21"/>
        <v>Enteric fermentation</v>
      </c>
      <c r="C49" t="str">
        <f t="shared" si="22"/>
        <v>CH4</v>
      </c>
      <c r="D49" s="21">
        <v>14.7</v>
      </c>
      <c r="E49" t="s">
        <v>144</v>
      </c>
      <c r="F49" s="21">
        <v>60570</v>
      </c>
      <c r="G49" s="22">
        <f t="shared" si="27"/>
        <v>2.8181268319918112E-3</v>
      </c>
      <c r="H49" s="22">
        <f t="shared" si="18"/>
        <v>4.1426464430279621E-2</v>
      </c>
      <c r="J49" t="str">
        <f t="shared" si="23"/>
        <v>Manure management</v>
      </c>
      <c r="K49" t="str">
        <f t="shared" si="24"/>
        <v>CH4</v>
      </c>
      <c r="L49" s="21">
        <v>4.1000000000000003E-3</v>
      </c>
      <c r="M49" t="s">
        <v>144</v>
      </c>
      <c r="N49" s="22">
        <f t="shared" si="2"/>
        <v>1.1554320011166427E-5</v>
      </c>
      <c r="P49" t="str">
        <f t="shared" si="25"/>
        <v>Manure management</v>
      </c>
      <c r="Q49" t="str">
        <f t="shared" si="26"/>
        <v>N2O</v>
      </c>
      <c r="R49" s="21">
        <v>41.637374999999999</v>
      </c>
      <c r="S49" t="s">
        <v>311</v>
      </c>
      <c r="T49" s="22">
        <f t="shared" si="3"/>
        <v>0.11733940370120503</v>
      </c>
    </row>
    <row r="50" spans="1:20" x14ac:dyDescent="0.25">
      <c r="A50" s="14" t="s">
        <v>199</v>
      </c>
      <c r="B50" t="str">
        <f t="shared" si="21"/>
        <v>Enteric fermentation</v>
      </c>
      <c r="C50" t="str">
        <f t="shared" si="22"/>
        <v>CH4</v>
      </c>
      <c r="D50" s="21">
        <v>3.62</v>
      </c>
      <c r="E50" t="s">
        <v>144</v>
      </c>
      <c r="F50" s="21">
        <v>1453680</v>
      </c>
      <c r="G50" s="22">
        <f t="shared" si="27"/>
        <v>6.7635043967803468E-2</v>
      </c>
      <c r="H50" s="22">
        <f t="shared" si="18"/>
        <v>0.24483885916344855</v>
      </c>
      <c r="J50" t="str">
        <f t="shared" si="23"/>
        <v>Manure management</v>
      </c>
      <c r="K50" t="str">
        <f t="shared" si="24"/>
        <v>CH4</v>
      </c>
      <c r="L50" s="21">
        <v>1E-3</v>
      </c>
      <c r="M50" t="s">
        <v>144</v>
      </c>
      <c r="N50" s="22">
        <f t="shared" si="2"/>
        <v>6.7635043967803464E-5</v>
      </c>
      <c r="P50" t="str">
        <f t="shared" si="25"/>
        <v>Manure management</v>
      </c>
      <c r="Q50" t="str">
        <f t="shared" si="26"/>
        <v>N2O</v>
      </c>
      <c r="R50" s="21">
        <v>9.608625</v>
      </c>
      <c r="S50" t="s">
        <v>311</v>
      </c>
      <c r="T50" s="22">
        <f t="shared" si="3"/>
        <v>0.64987977434513555</v>
      </c>
    </row>
    <row r="51" spans="1:20" x14ac:dyDescent="0.25">
      <c r="A51" s="14" t="s">
        <v>200</v>
      </c>
      <c r="B51" t="str">
        <f t="shared" si="21"/>
        <v>Enteric fermentation</v>
      </c>
      <c r="C51" t="str">
        <f t="shared" si="22"/>
        <v>CH4</v>
      </c>
      <c r="D51" s="21">
        <v>5.54</v>
      </c>
      <c r="E51" t="s">
        <v>144</v>
      </c>
      <c r="F51" s="21">
        <v>969120</v>
      </c>
      <c r="G51" s="22">
        <f t="shared" si="27"/>
        <v>4.5090029311868979E-2</v>
      </c>
      <c r="H51" s="22">
        <f t="shared" si="18"/>
        <v>0.24979876238775414</v>
      </c>
      <c r="J51" t="str">
        <f t="shared" si="23"/>
        <v>Manure management</v>
      </c>
      <c r="K51" t="str">
        <f t="shared" si="24"/>
        <v>CH4</v>
      </c>
      <c r="L51" s="21">
        <v>1.4E-3</v>
      </c>
      <c r="M51" t="s">
        <v>144</v>
      </c>
      <c r="N51" s="22">
        <f t="shared" si="2"/>
        <v>6.3126041036616574E-5</v>
      </c>
      <c r="P51" t="str">
        <f t="shared" si="25"/>
        <v>Manure management</v>
      </c>
      <c r="Q51" t="str">
        <f t="shared" si="26"/>
        <v>N2O</v>
      </c>
      <c r="R51" s="21">
        <v>16.014374999999998</v>
      </c>
      <c r="S51" t="s">
        <v>311</v>
      </c>
      <c r="T51" s="22">
        <f t="shared" si="3"/>
        <v>0.72208863816126168</v>
      </c>
    </row>
    <row r="52" spans="1:20" x14ac:dyDescent="0.25">
      <c r="A52" s="14" t="s">
        <v>201</v>
      </c>
      <c r="B52" t="str">
        <f t="shared" si="21"/>
        <v>Enteric fermentation</v>
      </c>
      <c r="C52" t="str">
        <f t="shared" si="22"/>
        <v>CH4</v>
      </c>
      <c r="D52" s="21">
        <v>6.88</v>
      </c>
      <c r="E52" t="s">
        <v>144</v>
      </c>
      <c r="F52" s="21">
        <v>726840</v>
      </c>
      <c r="G52" s="22">
        <f t="shared" si="27"/>
        <v>3.3817521983901734E-2</v>
      </c>
      <c r="H52" s="22">
        <f t="shared" si="18"/>
        <v>0.23266455124924393</v>
      </c>
      <c r="J52" t="str">
        <f t="shared" si="23"/>
        <v>Manure management</v>
      </c>
      <c r="K52" t="str">
        <f t="shared" si="24"/>
        <v>CH4</v>
      </c>
      <c r="L52" s="21">
        <v>1.8E-3</v>
      </c>
      <c r="M52" t="s">
        <v>144</v>
      </c>
      <c r="N52" s="22">
        <f t="shared" si="2"/>
        <v>6.0871539571023123E-5</v>
      </c>
      <c r="P52" t="str">
        <f t="shared" si="25"/>
        <v>Manure management</v>
      </c>
      <c r="Q52" t="str">
        <f t="shared" si="26"/>
        <v>N2O</v>
      </c>
      <c r="R52" s="21">
        <v>20.284875</v>
      </c>
      <c r="S52" t="s">
        <v>311</v>
      </c>
      <c r="T52" s="22">
        <f t="shared" si="3"/>
        <v>0.68598420625319867</v>
      </c>
    </row>
    <row r="53" spans="1:20" x14ac:dyDescent="0.25">
      <c r="A53" s="14" t="s">
        <v>202</v>
      </c>
      <c r="B53" t="str">
        <f t="shared" si="21"/>
        <v>Enteric fermentation</v>
      </c>
      <c r="C53" t="str">
        <f t="shared" si="22"/>
        <v>CH4</v>
      </c>
      <c r="D53" s="21">
        <v>9.8800000000000008</v>
      </c>
      <c r="E53" t="s">
        <v>144</v>
      </c>
      <c r="F53" s="21">
        <v>121140</v>
      </c>
      <c r="G53" s="22">
        <f t="shared" si="27"/>
        <v>5.6362536639836223E-3</v>
      </c>
      <c r="H53" s="22">
        <f t="shared" si="18"/>
        <v>5.5686186200158194E-2</v>
      </c>
      <c r="J53" t="str">
        <f t="shared" si="23"/>
        <v>Manure management</v>
      </c>
      <c r="K53" t="str">
        <f t="shared" si="24"/>
        <v>CH4</v>
      </c>
      <c r="L53" s="21">
        <v>2.7000000000000001E-3</v>
      </c>
      <c r="M53" t="s">
        <v>144</v>
      </c>
      <c r="N53" s="22">
        <f t="shared" si="2"/>
        <v>1.5217884892755781E-5</v>
      </c>
      <c r="P53" t="str">
        <f t="shared" si="25"/>
        <v>Manure management</v>
      </c>
      <c r="Q53" t="str">
        <f t="shared" si="26"/>
        <v>N2O</v>
      </c>
      <c r="R53" s="21">
        <v>29.167514999999998</v>
      </c>
      <c r="S53" t="s">
        <v>311</v>
      </c>
      <c r="T53" s="22">
        <f t="shared" si="3"/>
        <v>0.16439551328804725</v>
      </c>
    </row>
    <row r="54" spans="1:20" x14ac:dyDescent="0.25">
      <c r="A54" s="14" t="s">
        <v>203</v>
      </c>
      <c r="B54" t="str">
        <f t="shared" si="21"/>
        <v>Enteric fermentation</v>
      </c>
      <c r="C54" t="str">
        <f t="shared" si="22"/>
        <v>CH4</v>
      </c>
      <c r="D54" s="21">
        <v>10.4</v>
      </c>
      <c r="E54" t="s">
        <v>144</v>
      </c>
      <c r="F54" s="21">
        <v>1872000</v>
      </c>
      <c r="G54" s="22">
        <f t="shared" si="27"/>
        <v>8.7098124970920759E-2</v>
      </c>
      <c r="H54" s="22">
        <f t="shared" si="18"/>
        <v>0.90582049969757594</v>
      </c>
      <c r="J54" t="str">
        <f t="shared" si="23"/>
        <v>Manure management</v>
      </c>
      <c r="K54" t="str">
        <f t="shared" si="24"/>
        <v>CH4</v>
      </c>
      <c r="L54" s="21">
        <v>2.8999999999999998E-3</v>
      </c>
      <c r="M54" t="s">
        <v>144</v>
      </c>
      <c r="N54" s="22">
        <f t="shared" si="2"/>
        <v>2.5258456241567017E-4</v>
      </c>
      <c r="P54" t="str">
        <f t="shared" si="25"/>
        <v>Manure management</v>
      </c>
      <c r="Q54" t="str">
        <f t="shared" si="26"/>
        <v>N2O</v>
      </c>
      <c r="R54" s="21">
        <v>29.039400000000001</v>
      </c>
      <c r="S54" t="s">
        <v>311</v>
      </c>
      <c r="T54" s="22">
        <f t="shared" si="3"/>
        <v>2.5292772902805565</v>
      </c>
    </row>
    <row r="55" spans="1:20" x14ac:dyDescent="0.25">
      <c r="A55" s="14" t="s">
        <v>204</v>
      </c>
      <c r="B55" t="str">
        <f t="shared" si="21"/>
        <v>Enteric fermentation</v>
      </c>
      <c r="C55" t="str">
        <f t="shared" si="22"/>
        <v>CH4</v>
      </c>
      <c r="D55" s="21">
        <v>22.2</v>
      </c>
      <c r="E55" t="s">
        <v>144</v>
      </c>
      <c r="F55" s="21">
        <v>41600</v>
      </c>
      <c r="G55" s="22">
        <f t="shared" si="27"/>
        <v>1.9355138882426836E-3</v>
      </c>
      <c r="H55" s="22">
        <f t="shared" si="18"/>
        <v>4.2968408318987579E-2</v>
      </c>
      <c r="J55" t="str">
        <f t="shared" si="23"/>
        <v>Manure management</v>
      </c>
      <c r="K55" t="str">
        <f t="shared" si="24"/>
        <v>CH4</v>
      </c>
      <c r="L55" s="21">
        <v>6.4000000000000003E-3</v>
      </c>
      <c r="M55" t="s">
        <v>144</v>
      </c>
      <c r="N55" s="22">
        <f t="shared" si="2"/>
        <v>1.2387288884753176E-5</v>
      </c>
      <c r="P55" t="str">
        <f t="shared" si="25"/>
        <v>Manure management</v>
      </c>
      <c r="Q55" t="str">
        <f t="shared" si="26"/>
        <v>N2O</v>
      </c>
      <c r="R55" s="21">
        <v>58.932899999999997</v>
      </c>
      <c r="S55" t="s">
        <v>311</v>
      </c>
      <c r="T55" s="22">
        <f t="shared" si="3"/>
        <v>0.11406544642441724</v>
      </c>
    </row>
    <row r="56" spans="1:20" x14ac:dyDescent="0.25">
      <c r="A56" s="14" t="s">
        <v>205</v>
      </c>
      <c r="B56" t="str">
        <f t="shared" si="21"/>
        <v>Enteric fermentation</v>
      </c>
      <c r="C56" t="str">
        <f t="shared" si="22"/>
        <v>CH4</v>
      </c>
      <c r="D56" s="21">
        <v>3.62</v>
      </c>
      <c r="E56" t="s">
        <v>144</v>
      </c>
      <c r="F56" s="21">
        <v>998400</v>
      </c>
      <c r="G56" s="22">
        <f t="shared" si="27"/>
        <v>4.6452333317824411E-2</v>
      </c>
      <c r="H56" s="22">
        <f t="shared" si="18"/>
        <v>0.16815744661052437</v>
      </c>
      <c r="J56" t="str">
        <f t="shared" si="23"/>
        <v>Manure management</v>
      </c>
      <c r="K56" t="str">
        <f t="shared" si="24"/>
        <v>CH4</v>
      </c>
      <c r="L56" s="21">
        <v>1E-3</v>
      </c>
      <c r="M56" t="s">
        <v>144</v>
      </c>
      <c r="N56" s="22">
        <f t="shared" si="2"/>
        <v>4.6452333317824413E-5</v>
      </c>
      <c r="P56" t="str">
        <f t="shared" si="25"/>
        <v>Manure management</v>
      </c>
      <c r="Q56" t="str">
        <f t="shared" si="26"/>
        <v>N2O</v>
      </c>
      <c r="R56" s="21">
        <v>9.608625</v>
      </c>
      <c r="S56" t="s">
        <v>311</v>
      </c>
      <c r="T56" s="22">
        <f t="shared" si="3"/>
        <v>0.44634305122598056</v>
      </c>
    </row>
    <row r="57" spans="1:20" x14ac:dyDescent="0.25">
      <c r="A57" s="14" t="s">
        <v>206</v>
      </c>
      <c r="B57" t="str">
        <f t="shared" si="21"/>
        <v>Enteric fermentation</v>
      </c>
      <c r="C57" t="str">
        <f t="shared" si="22"/>
        <v>CH4</v>
      </c>
      <c r="D57" s="21">
        <v>4.7699999999999996</v>
      </c>
      <c r="E57" t="s">
        <v>144</v>
      </c>
      <c r="F57" s="21">
        <v>665600</v>
      </c>
      <c r="G57" s="22">
        <f t="shared" si="27"/>
        <v>3.0968222211882938E-2</v>
      </c>
      <c r="H57" s="22">
        <f t="shared" si="18"/>
        <v>0.14771841995068161</v>
      </c>
      <c r="J57" t="str">
        <f t="shared" si="23"/>
        <v>Manure management</v>
      </c>
      <c r="K57" t="str">
        <f t="shared" si="24"/>
        <v>CH4</v>
      </c>
      <c r="L57" s="21">
        <v>1.1999999999999999E-3</v>
      </c>
      <c r="M57" t="s">
        <v>144</v>
      </c>
      <c r="N57" s="22">
        <f t="shared" si="2"/>
        <v>3.7161866654259525E-5</v>
      </c>
      <c r="P57" t="str">
        <f t="shared" si="25"/>
        <v>Manure management</v>
      </c>
      <c r="Q57" t="str">
        <f t="shared" si="26"/>
        <v>N2O</v>
      </c>
      <c r="R57" s="21">
        <v>13.452074999999999</v>
      </c>
      <c r="S57" t="s">
        <v>311</v>
      </c>
      <c r="T57" s="22">
        <f t="shared" si="3"/>
        <v>0.41658684781091515</v>
      </c>
    </row>
    <row r="58" spans="1:20" x14ac:dyDescent="0.25">
      <c r="A58" s="14" t="s">
        <v>207</v>
      </c>
      <c r="B58" t="str">
        <f t="shared" si="21"/>
        <v>Enteric fermentation</v>
      </c>
      <c r="C58" t="str">
        <f t="shared" si="22"/>
        <v>CH4</v>
      </c>
      <c r="D58" s="21">
        <v>8.01</v>
      </c>
      <c r="E58" t="s">
        <v>144</v>
      </c>
      <c r="F58" s="21">
        <v>499200</v>
      </c>
      <c r="G58" s="22">
        <f t="shared" si="27"/>
        <v>2.3226166658912206E-2</v>
      </c>
      <c r="H58" s="22">
        <f t="shared" si="18"/>
        <v>0.18604159493788677</v>
      </c>
      <c r="J58" t="str">
        <f t="shared" si="23"/>
        <v>Manure management</v>
      </c>
      <c r="K58" t="str">
        <f t="shared" si="24"/>
        <v>CH4</v>
      </c>
      <c r="L58" s="21">
        <v>2.2000000000000001E-3</v>
      </c>
      <c r="M58" t="s">
        <v>144</v>
      </c>
      <c r="N58" s="22">
        <f t="shared" si="2"/>
        <v>5.1097566649606857E-5</v>
      </c>
      <c r="P58" t="str">
        <f t="shared" si="25"/>
        <v>Manure management</v>
      </c>
      <c r="Q58" t="str">
        <f t="shared" si="26"/>
        <v>N2O</v>
      </c>
      <c r="R58" s="21">
        <v>23.701274999999999</v>
      </c>
      <c r="S58" t="s">
        <v>311</v>
      </c>
      <c r="T58" s="22">
        <f t="shared" si="3"/>
        <v>0.55048976317870935</v>
      </c>
    </row>
    <row r="59" spans="1:20" x14ac:dyDescent="0.25">
      <c r="A59" s="14" t="s">
        <v>208</v>
      </c>
      <c r="B59" t="str">
        <f t="shared" si="21"/>
        <v>Enteric fermentation</v>
      </c>
      <c r="C59" t="str">
        <f t="shared" si="22"/>
        <v>CH4</v>
      </c>
      <c r="D59" s="21">
        <v>14.8</v>
      </c>
      <c r="E59" t="s">
        <v>144</v>
      </c>
      <c r="F59" s="21">
        <v>83200</v>
      </c>
      <c r="G59" s="22">
        <f t="shared" si="27"/>
        <v>3.8710277764853673E-3</v>
      </c>
      <c r="H59" s="22">
        <f t="shared" si="18"/>
        <v>5.7291211091983436E-2</v>
      </c>
      <c r="J59" t="str">
        <f t="shared" si="23"/>
        <v>Manure management</v>
      </c>
      <c r="K59" t="str">
        <f t="shared" si="24"/>
        <v>CH4</v>
      </c>
      <c r="L59" s="21">
        <v>4.1999999999999997E-3</v>
      </c>
      <c r="M59" t="s">
        <v>144</v>
      </c>
      <c r="N59" s="22">
        <f t="shared" si="2"/>
        <v>1.6258316661238541E-5</v>
      </c>
      <c r="P59" t="str">
        <f t="shared" si="25"/>
        <v>Manure management</v>
      </c>
      <c r="Q59" t="str">
        <f t="shared" si="26"/>
        <v>N2O</v>
      </c>
      <c r="R59" s="21">
        <v>41.979014999999997</v>
      </c>
      <c r="S59" t="s">
        <v>311</v>
      </c>
      <c r="T59" s="22">
        <f t="shared" si="3"/>
        <v>0.16250193309449587</v>
      </c>
    </row>
    <row r="60" spans="1:20" x14ac:dyDescent="0.25">
      <c r="A60" s="14" t="s">
        <v>209</v>
      </c>
      <c r="B60" t="str">
        <f t="shared" si="21"/>
        <v>Enteric fermentation</v>
      </c>
      <c r="C60" t="str">
        <f t="shared" si="22"/>
        <v>CH4</v>
      </c>
      <c r="D60" s="21">
        <v>5.27</v>
      </c>
      <c r="E60" t="s">
        <v>144</v>
      </c>
      <c r="F60" s="21">
        <v>1570.0475704490825</v>
      </c>
      <c r="G60" s="22">
        <f>F60/SUM($F$60:$F$83)</f>
        <v>5.2342623179639871E-4</v>
      </c>
      <c r="H60" s="22">
        <f t="shared" si="18"/>
        <v>2.758456241567021E-3</v>
      </c>
      <c r="J60" t="str">
        <f t="shared" si="23"/>
        <v>Manure management</v>
      </c>
      <c r="K60" t="str">
        <f t="shared" si="24"/>
        <v>CH4</v>
      </c>
      <c r="L60" s="21">
        <v>1.5E-3</v>
      </c>
      <c r="M60" t="s">
        <v>144</v>
      </c>
      <c r="N60" s="22">
        <f t="shared" si="2"/>
        <v>7.8513934769459805E-7</v>
      </c>
      <c r="P60" t="str">
        <f t="shared" si="25"/>
        <v>Manure management</v>
      </c>
      <c r="Q60" t="str">
        <f t="shared" si="26"/>
        <v>N2O</v>
      </c>
      <c r="R60" s="21">
        <v>16.398719999999997</v>
      </c>
      <c r="S60" t="s">
        <v>311</v>
      </c>
      <c r="T60" s="22">
        <f t="shared" si="3"/>
        <v>8.5835202158842383E-3</v>
      </c>
    </row>
    <row r="61" spans="1:20" x14ac:dyDescent="0.25">
      <c r="A61" s="14" t="s">
        <v>210</v>
      </c>
      <c r="B61" t="str">
        <f t="shared" si="21"/>
        <v>Enteric fermentation</v>
      </c>
      <c r="C61" t="str">
        <f t="shared" si="22"/>
        <v>CH4</v>
      </c>
      <c r="D61" s="21">
        <v>7.62</v>
      </c>
      <c r="E61" t="s">
        <v>144</v>
      </c>
      <c r="F61" s="21">
        <v>34.88994600997961</v>
      </c>
      <c r="G61" s="22">
        <f t="shared" ref="G61:G83" si="28">F61/SUM($F$60:$F$83)</f>
        <v>1.1631694039919973E-5</v>
      </c>
      <c r="H61" s="22">
        <f t="shared" si="18"/>
        <v>8.8633508584190187E-5</v>
      </c>
      <c r="J61" t="str">
        <f t="shared" si="23"/>
        <v>Manure management</v>
      </c>
      <c r="K61" t="str">
        <f t="shared" si="24"/>
        <v>CH4</v>
      </c>
      <c r="L61" s="21">
        <v>2.2000000000000001E-3</v>
      </c>
      <c r="M61" t="s">
        <v>144</v>
      </c>
      <c r="N61" s="22">
        <f t="shared" si="2"/>
        <v>2.5589726887823941E-8</v>
      </c>
      <c r="P61" t="str">
        <f t="shared" si="25"/>
        <v>Manure management</v>
      </c>
      <c r="Q61" t="str">
        <f t="shared" si="26"/>
        <v>N2O</v>
      </c>
      <c r="R61" s="21">
        <v>24.768900000000002</v>
      </c>
      <c r="S61" t="s">
        <v>311</v>
      </c>
      <c r="T61" s="22">
        <f t="shared" si="3"/>
        <v>2.8810426650537383E-4</v>
      </c>
    </row>
    <row r="62" spans="1:20" x14ac:dyDescent="0.25">
      <c r="A62" s="14" t="s">
        <v>211</v>
      </c>
      <c r="B62" t="str">
        <f t="shared" si="21"/>
        <v>Enteric fermentation</v>
      </c>
      <c r="C62" t="str">
        <f t="shared" si="22"/>
        <v>CH4</v>
      </c>
      <c r="D62" s="21">
        <v>2.76</v>
      </c>
      <c r="E62" t="s">
        <v>144</v>
      </c>
      <c r="F62" s="21">
        <v>837.35870423951064</v>
      </c>
      <c r="G62" s="22">
        <f t="shared" si="28"/>
        <v>2.7916065695807933E-4</v>
      </c>
      <c r="H62" s="22">
        <f t="shared" si="18"/>
        <v>7.7048341320429888E-4</v>
      </c>
      <c r="J62" t="str">
        <f t="shared" si="23"/>
        <v>Manure management</v>
      </c>
      <c r="K62" t="str">
        <f t="shared" si="24"/>
        <v>CH4</v>
      </c>
      <c r="L62" s="21">
        <v>6.9999999999999999E-4</v>
      </c>
      <c r="M62" t="s">
        <v>144</v>
      </c>
      <c r="N62" s="22">
        <f t="shared" si="2"/>
        <v>1.9541245987065553E-7</v>
      </c>
      <c r="P62" t="str">
        <f t="shared" si="25"/>
        <v>Manure management</v>
      </c>
      <c r="Q62" t="str">
        <f t="shared" si="26"/>
        <v>N2O</v>
      </c>
      <c r="R62" s="21">
        <v>7.6868999999999996</v>
      </c>
      <c r="S62" t="s">
        <v>311</v>
      </c>
      <c r="T62" s="22">
        <f t="shared" si="3"/>
        <v>2.14588005397106E-3</v>
      </c>
    </row>
    <row r="63" spans="1:20" x14ac:dyDescent="0.25">
      <c r="A63" s="14" t="s">
        <v>212</v>
      </c>
      <c r="B63" t="str">
        <f t="shared" si="21"/>
        <v>Enteric fermentation</v>
      </c>
      <c r="C63" t="str">
        <f t="shared" si="22"/>
        <v>CH4</v>
      </c>
      <c r="D63" s="21">
        <v>3.76</v>
      </c>
      <c r="E63" t="s">
        <v>144</v>
      </c>
      <c r="F63" s="21">
        <v>558.23913615967376</v>
      </c>
      <c r="G63" s="22">
        <f t="shared" si="28"/>
        <v>1.8610710463871956E-4</v>
      </c>
      <c r="H63" s="22">
        <f t="shared" si="18"/>
        <v>6.9976271344158547E-4</v>
      </c>
      <c r="J63" t="str">
        <f t="shared" si="23"/>
        <v>Manure management</v>
      </c>
      <c r="K63" t="str">
        <f t="shared" si="24"/>
        <v>CH4</v>
      </c>
      <c r="L63" s="21">
        <v>1E-3</v>
      </c>
      <c r="M63" t="s">
        <v>144</v>
      </c>
      <c r="N63" s="22">
        <f t="shared" si="2"/>
        <v>1.8610710463871956E-7</v>
      </c>
      <c r="P63" t="str">
        <f t="shared" si="25"/>
        <v>Manure management</v>
      </c>
      <c r="Q63" t="str">
        <f t="shared" si="26"/>
        <v>N2O</v>
      </c>
      <c r="R63" s="21">
        <v>11.444940000000001</v>
      </c>
      <c r="S63" t="s">
        <v>311</v>
      </c>
      <c r="T63" s="22">
        <f t="shared" si="3"/>
        <v>2.1299846461638673E-3</v>
      </c>
    </row>
    <row r="64" spans="1:20" x14ac:dyDescent="0.25">
      <c r="A64" s="14" t="s">
        <v>213</v>
      </c>
      <c r="B64" t="str">
        <f t="shared" si="21"/>
        <v>Enteric fermentation</v>
      </c>
      <c r="C64" t="str">
        <f t="shared" si="22"/>
        <v>CH4</v>
      </c>
      <c r="D64" s="21">
        <v>4.4000000000000004</v>
      </c>
      <c r="E64" t="s">
        <v>144</v>
      </c>
      <c r="F64" s="21">
        <v>418.67935211975532</v>
      </c>
      <c r="G64" s="22">
        <f t="shared" si="28"/>
        <v>1.3958032847903967E-4</v>
      </c>
      <c r="H64" s="22">
        <f t="shared" si="18"/>
        <v>6.1415344530777458E-4</v>
      </c>
      <c r="J64" t="str">
        <f t="shared" si="23"/>
        <v>Manure management</v>
      </c>
      <c r="K64" t="str">
        <f t="shared" si="24"/>
        <v>CH4</v>
      </c>
      <c r="L64" s="21">
        <v>1.1999999999999999E-3</v>
      </c>
      <c r="M64" t="s">
        <v>144</v>
      </c>
      <c r="N64" s="22">
        <f t="shared" si="2"/>
        <v>1.6749639417484759E-7</v>
      </c>
      <c r="P64" t="str">
        <f t="shared" si="25"/>
        <v>Manure management</v>
      </c>
      <c r="Q64" t="str">
        <f t="shared" si="26"/>
        <v>N2O</v>
      </c>
      <c r="R64" s="21">
        <v>13.836419999999999</v>
      </c>
      <c r="S64" t="s">
        <v>311</v>
      </c>
      <c r="T64" s="22">
        <f t="shared" si="3"/>
        <v>1.9312920485739537E-3</v>
      </c>
    </row>
    <row r="65" spans="1:20" x14ac:dyDescent="0.25">
      <c r="A65" s="14" t="s">
        <v>214</v>
      </c>
      <c r="B65" t="str">
        <f t="shared" si="21"/>
        <v>Enteric fermentation</v>
      </c>
      <c r="C65" t="str">
        <f t="shared" si="22"/>
        <v>CH4</v>
      </c>
      <c r="D65" s="21">
        <v>5.6</v>
      </c>
      <c r="E65" t="s">
        <v>144</v>
      </c>
      <c r="F65" s="21">
        <v>69.77989201995922</v>
      </c>
      <c r="G65" s="22">
        <f t="shared" si="28"/>
        <v>2.3263388079839945E-5</v>
      </c>
      <c r="H65" s="22">
        <f t="shared" si="18"/>
        <v>1.302749732471037E-4</v>
      </c>
      <c r="J65" t="str">
        <f t="shared" si="23"/>
        <v>Manure management</v>
      </c>
      <c r="K65" t="str">
        <f t="shared" si="24"/>
        <v>CH4</v>
      </c>
      <c r="L65" s="21">
        <v>1.6000000000000001E-3</v>
      </c>
      <c r="M65" t="s">
        <v>144</v>
      </c>
      <c r="N65" s="22">
        <f t="shared" si="2"/>
        <v>3.7221420927743912E-8</v>
      </c>
      <c r="P65" t="str">
        <f t="shared" si="25"/>
        <v>Manure management</v>
      </c>
      <c r="Q65" t="str">
        <f t="shared" si="26"/>
        <v>N2O</v>
      </c>
      <c r="R65" s="21">
        <v>18.106919999999999</v>
      </c>
      <c r="S65" t="s">
        <v>311</v>
      </c>
      <c r="T65" s="22">
        <f t="shared" si="3"/>
        <v>4.2122830689061546E-4</v>
      </c>
    </row>
    <row r="66" spans="1:20" x14ac:dyDescent="0.25">
      <c r="A66" s="14" t="s">
        <v>215</v>
      </c>
      <c r="B66" t="str">
        <f t="shared" si="21"/>
        <v>Enteric fermentation</v>
      </c>
      <c r="C66" t="str">
        <f t="shared" si="22"/>
        <v>CH4</v>
      </c>
      <c r="D66" s="21">
        <v>5.79</v>
      </c>
      <c r="E66" t="s">
        <v>144</v>
      </c>
      <c r="F66" s="21">
        <v>706584.20860490517</v>
      </c>
      <c r="G66" s="22">
        <f t="shared" si="28"/>
        <v>0.23556274135765132</v>
      </c>
      <c r="H66" s="22">
        <f t="shared" si="18"/>
        <v>1.3639082724608012</v>
      </c>
      <c r="J66" t="str">
        <f t="shared" si="23"/>
        <v>Manure management</v>
      </c>
      <c r="K66" t="str">
        <f t="shared" si="24"/>
        <v>CH4</v>
      </c>
      <c r="L66" s="21">
        <v>1.6999999999999999E-3</v>
      </c>
      <c r="M66" t="s">
        <v>144</v>
      </c>
      <c r="N66" s="22">
        <f t="shared" si="2"/>
        <v>4.0045666030800721E-4</v>
      </c>
      <c r="P66" t="str">
        <f t="shared" si="25"/>
        <v>Manure management</v>
      </c>
      <c r="Q66" t="str">
        <f t="shared" si="26"/>
        <v>N2O</v>
      </c>
      <c r="R66" s="21">
        <v>17.978804999999998</v>
      </c>
      <c r="S66" t="s">
        <v>311</v>
      </c>
      <c r="T66" s="22">
        <f t="shared" si="3"/>
        <v>4.2351365921346478</v>
      </c>
    </row>
    <row r="67" spans="1:20" x14ac:dyDescent="0.25">
      <c r="A67" s="14" t="s">
        <v>216</v>
      </c>
      <c r="B67" t="str">
        <f t="shared" si="21"/>
        <v>Enteric fermentation</v>
      </c>
      <c r="C67" t="str">
        <f t="shared" si="22"/>
        <v>CH4</v>
      </c>
      <c r="D67" s="21">
        <v>10.5</v>
      </c>
      <c r="E67" t="s">
        <v>144</v>
      </c>
      <c r="F67" s="21">
        <v>15701.871302331225</v>
      </c>
      <c r="G67" s="22">
        <f t="shared" si="28"/>
        <v>5.234727585725585E-3</v>
      </c>
      <c r="H67" s="22">
        <f t="shared" si="18"/>
        <v>5.4964639650118642E-2</v>
      </c>
      <c r="J67" t="str">
        <f t="shared" si="23"/>
        <v>Manure management</v>
      </c>
      <c r="K67" t="str">
        <f t="shared" si="24"/>
        <v>CH4</v>
      </c>
      <c r="L67" s="21">
        <v>3.2000000000000002E-3</v>
      </c>
      <c r="M67" t="s">
        <v>144</v>
      </c>
      <c r="N67" s="22">
        <f t="shared" si="2"/>
        <v>1.6751128274321872E-5</v>
      </c>
      <c r="P67" t="str">
        <f t="shared" si="25"/>
        <v>Manure management</v>
      </c>
      <c r="Q67" t="str">
        <f t="shared" si="26"/>
        <v>N2O</v>
      </c>
      <c r="R67" s="21">
        <v>33.309899999999999</v>
      </c>
      <c r="S67" t="s">
        <v>311</v>
      </c>
      <c r="T67" s="22">
        <f t="shared" si="3"/>
        <v>0.17436825240776066</v>
      </c>
    </row>
    <row r="68" spans="1:20" x14ac:dyDescent="0.25">
      <c r="A68" s="14" t="s">
        <v>217</v>
      </c>
      <c r="B68" t="str">
        <f t="shared" si="21"/>
        <v>Enteric fermentation</v>
      </c>
      <c r="C68" t="str">
        <f t="shared" si="22"/>
        <v>CH4</v>
      </c>
      <c r="D68" s="21">
        <v>2.76</v>
      </c>
      <c r="E68" t="s">
        <v>144</v>
      </c>
      <c r="F68" s="21">
        <v>376844.91125594941</v>
      </c>
      <c r="G68" s="22">
        <f t="shared" si="28"/>
        <v>0.12563346205741405</v>
      </c>
      <c r="H68" s="22">
        <f t="shared" si="18"/>
        <v>0.34674835527846276</v>
      </c>
      <c r="J68" t="str">
        <f t="shared" si="23"/>
        <v>Manure management</v>
      </c>
      <c r="K68" t="str">
        <f t="shared" si="24"/>
        <v>CH4</v>
      </c>
      <c r="L68" s="21">
        <v>6.9999999999999999E-4</v>
      </c>
      <c r="M68" t="s">
        <v>144</v>
      </c>
      <c r="N68" s="22">
        <f t="shared" si="2"/>
        <v>8.7943423440189835E-5</v>
      </c>
      <c r="P68" t="str">
        <f t="shared" si="25"/>
        <v>Manure management</v>
      </c>
      <c r="Q68" t="str">
        <f t="shared" si="26"/>
        <v>N2O</v>
      </c>
      <c r="R68" s="21">
        <v>7.6868999999999996</v>
      </c>
      <c r="S68" t="s">
        <v>311</v>
      </c>
      <c r="T68" s="22">
        <f t="shared" si="3"/>
        <v>0.96573185948913598</v>
      </c>
    </row>
    <row r="69" spans="1:20" x14ac:dyDescent="0.25">
      <c r="A69" s="14" t="s">
        <v>218</v>
      </c>
      <c r="B69" t="str">
        <f t="shared" si="21"/>
        <v>Enteric fermentation</v>
      </c>
      <c r="C69" t="str">
        <f t="shared" si="22"/>
        <v>CH4</v>
      </c>
      <c r="D69" s="21">
        <v>4.12</v>
      </c>
      <c r="E69" t="s">
        <v>144</v>
      </c>
      <c r="F69" s="21">
        <v>251229.9408372996</v>
      </c>
      <c r="G69" s="22">
        <f t="shared" si="28"/>
        <v>8.375564137160936E-2</v>
      </c>
      <c r="H69" s="22">
        <f t="shared" si="18"/>
        <v>0.34507324245103055</v>
      </c>
      <c r="J69" t="str">
        <f t="shared" si="23"/>
        <v>Manure management</v>
      </c>
      <c r="K69" t="str">
        <f t="shared" si="24"/>
        <v>CH4</v>
      </c>
      <c r="L69" s="21">
        <v>1.1000000000000001E-3</v>
      </c>
      <c r="M69" t="s">
        <v>144</v>
      </c>
      <c r="N69" s="22">
        <f t="shared" si="2"/>
        <v>9.2131205508770296E-5</v>
      </c>
      <c r="P69" t="str">
        <f t="shared" si="25"/>
        <v>Manure management</v>
      </c>
      <c r="Q69" t="str">
        <f t="shared" si="26"/>
        <v>N2O</v>
      </c>
      <c r="R69" s="21">
        <v>12.811500000000001</v>
      </c>
      <c r="S69" t="s">
        <v>311</v>
      </c>
      <c r="T69" s="22">
        <f t="shared" si="3"/>
        <v>1.0730353994323734</v>
      </c>
    </row>
    <row r="70" spans="1:20" x14ac:dyDescent="0.25">
      <c r="A70" s="14" t="s">
        <v>219</v>
      </c>
      <c r="B70" t="str">
        <f t="shared" si="21"/>
        <v>Enteric fermentation</v>
      </c>
      <c r="C70" t="str">
        <f t="shared" si="22"/>
        <v>CH4</v>
      </c>
      <c r="D70" s="21">
        <v>4.59</v>
      </c>
      <c r="E70" t="s">
        <v>144</v>
      </c>
      <c r="F70" s="21">
        <v>188422.4556279747</v>
      </c>
      <c r="G70" s="22">
        <f t="shared" si="28"/>
        <v>6.2816731028707024E-2</v>
      </c>
      <c r="H70" s="22">
        <f t="shared" si="18"/>
        <v>0.2883287954217652</v>
      </c>
      <c r="J70" t="str">
        <f t="shared" si="23"/>
        <v>Manure management</v>
      </c>
      <c r="K70" t="str">
        <f t="shared" si="24"/>
        <v>CH4</v>
      </c>
      <c r="L70" s="21">
        <v>1.2999999999999999E-3</v>
      </c>
      <c r="M70" t="s">
        <v>144</v>
      </c>
      <c r="N70" s="22">
        <f t="shared" ref="N70:N108" si="29">L70*G70</f>
        <v>8.1661750337319122E-5</v>
      </c>
      <c r="P70" t="str">
        <f t="shared" si="25"/>
        <v>Manure management</v>
      </c>
      <c r="Q70" t="str">
        <f t="shared" si="26"/>
        <v>N2O</v>
      </c>
      <c r="R70" s="21">
        <v>14.5197</v>
      </c>
      <c r="S70" t="s">
        <v>311</v>
      </c>
      <c r="T70" s="22">
        <f t="shared" ref="T70:T83" si="30">R70*G70</f>
        <v>0.9120800895175174</v>
      </c>
    </row>
    <row r="71" spans="1:20" x14ac:dyDescent="0.25">
      <c r="A71" s="14" t="s">
        <v>220</v>
      </c>
      <c r="B71" t="str">
        <f t="shared" si="21"/>
        <v>Enteric fermentation</v>
      </c>
      <c r="C71" t="str">
        <f t="shared" si="22"/>
        <v>CH4</v>
      </c>
      <c r="D71" s="21">
        <v>8.25</v>
      </c>
      <c r="E71" t="s">
        <v>144</v>
      </c>
      <c r="F71" s="21">
        <v>31403.74260466245</v>
      </c>
      <c r="G71" s="22">
        <f t="shared" si="28"/>
        <v>1.046945517145117E-2</v>
      </c>
      <c r="H71" s="22">
        <f t="shared" si="18"/>
        <v>8.6373005164472147E-2</v>
      </c>
      <c r="J71" t="str">
        <f t="shared" si="23"/>
        <v>Manure management</v>
      </c>
      <c r="K71" t="str">
        <f t="shared" si="24"/>
        <v>CH4</v>
      </c>
      <c r="L71" s="21">
        <v>2.5000000000000001E-3</v>
      </c>
      <c r="M71" t="s">
        <v>144</v>
      </c>
      <c r="N71" s="22">
        <f t="shared" si="29"/>
        <v>2.6173637928627927E-5</v>
      </c>
      <c r="P71" t="str">
        <f t="shared" si="25"/>
        <v>Manure management</v>
      </c>
      <c r="Q71" t="str">
        <f t="shared" si="26"/>
        <v>N2O</v>
      </c>
      <c r="R71" s="21">
        <v>26.733330000000002</v>
      </c>
      <c r="S71" t="s">
        <v>311</v>
      </c>
      <c r="T71" s="22">
        <f t="shared" si="30"/>
        <v>0.27988340001861073</v>
      </c>
    </row>
    <row r="72" spans="1:20" x14ac:dyDescent="0.25">
      <c r="A72" s="14" t="s">
        <v>221</v>
      </c>
      <c r="B72" t="str">
        <f t="shared" si="21"/>
        <v>Enteric fermentation</v>
      </c>
      <c r="C72" t="str">
        <f t="shared" si="22"/>
        <v>CH4</v>
      </c>
      <c r="D72" s="21">
        <v>6.83</v>
      </c>
      <c r="E72" t="s">
        <v>144</v>
      </c>
      <c r="F72" s="21">
        <v>380391.12536840374</v>
      </c>
      <c r="G72" s="22">
        <f t="shared" si="28"/>
        <v>0.1268157074396315</v>
      </c>
      <c r="H72" s="22">
        <f t="shared" si="18"/>
        <v>0.86615128181268308</v>
      </c>
      <c r="J72" t="str">
        <f t="shared" si="23"/>
        <v>Manure management</v>
      </c>
      <c r="K72" t="str">
        <f t="shared" si="24"/>
        <v>CH4</v>
      </c>
      <c r="L72" s="21">
        <v>2E-3</v>
      </c>
      <c r="M72" t="s">
        <v>144</v>
      </c>
      <c r="N72" s="22">
        <f t="shared" si="29"/>
        <v>2.5363141487926298E-4</v>
      </c>
      <c r="P72" t="str">
        <f t="shared" si="25"/>
        <v>Manure management</v>
      </c>
      <c r="Q72" t="str">
        <f t="shared" si="26"/>
        <v>N2O</v>
      </c>
      <c r="R72" s="21">
        <v>21.480614999999997</v>
      </c>
      <c r="S72" t="s">
        <v>311</v>
      </c>
      <c r="T72" s="22">
        <f t="shared" si="30"/>
        <v>2.7240793874633593</v>
      </c>
    </row>
    <row r="73" spans="1:20" x14ac:dyDescent="0.25">
      <c r="A73" s="14" t="s">
        <v>222</v>
      </c>
      <c r="B73" t="str">
        <f t="shared" si="21"/>
        <v>Enteric fermentation</v>
      </c>
      <c r="C73" t="str">
        <f t="shared" si="22"/>
        <v>CH4</v>
      </c>
      <c r="D73" s="21">
        <v>10.5</v>
      </c>
      <c r="E73" t="s">
        <v>144</v>
      </c>
      <c r="F73" s="21">
        <v>8453.1361192978602</v>
      </c>
      <c r="G73" s="22">
        <f t="shared" si="28"/>
        <v>2.8181268319918107E-3</v>
      </c>
      <c r="H73" s="22">
        <f t="shared" si="18"/>
        <v>2.9590331735914011E-2</v>
      </c>
      <c r="J73" t="str">
        <f t="shared" si="23"/>
        <v>Manure management</v>
      </c>
      <c r="K73" t="str">
        <f t="shared" si="24"/>
        <v>CH4</v>
      </c>
      <c r="L73" s="21">
        <v>3.2000000000000002E-3</v>
      </c>
      <c r="M73" t="s">
        <v>144</v>
      </c>
      <c r="N73" s="22">
        <f t="shared" si="29"/>
        <v>9.0180058623737941E-6</v>
      </c>
      <c r="P73" t="str">
        <f t="shared" si="25"/>
        <v>Manure management</v>
      </c>
      <c r="Q73" t="str">
        <f t="shared" si="26"/>
        <v>N2O</v>
      </c>
      <c r="R73" s="21">
        <v>33.352604999999997</v>
      </c>
      <c r="S73" t="s">
        <v>311</v>
      </c>
      <c r="T73" s="22">
        <f t="shared" si="30"/>
        <v>9.399187106732422E-2</v>
      </c>
    </row>
    <row r="74" spans="1:20" x14ac:dyDescent="0.25">
      <c r="A74" s="14" t="s">
        <v>223</v>
      </c>
      <c r="B74" t="str">
        <f t="shared" si="21"/>
        <v>Enteric fermentation</v>
      </c>
      <c r="C74" t="str">
        <f t="shared" si="22"/>
        <v>CH4</v>
      </c>
      <c r="D74" s="21">
        <v>2.76</v>
      </c>
      <c r="E74" t="s">
        <v>144</v>
      </c>
      <c r="F74" s="21">
        <v>202875.26686314863</v>
      </c>
      <c r="G74" s="22">
        <f t="shared" si="28"/>
        <v>6.7635043967803454E-2</v>
      </c>
      <c r="H74" s="22">
        <f t="shared" si="18"/>
        <v>0.18667272135113752</v>
      </c>
      <c r="J74" t="str">
        <f t="shared" si="23"/>
        <v>Manure management</v>
      </c>
      <c r="K74" t="str">
        <f t="shared" si="24"/>
        <v>CH4</v>
      </c>
      <c r="L74" s="21">
        <v>6.9999999999999999E-4</v>
      </c>
      <c r="M74" t="s">
        <v>144</v>
      </c>
      <c r="N74" s="22">
        <f t="shared" si="29"/>
        <v>4.734453077746242E-5</v>
      </c>
      <c r="P74" t="str">
        <f t="shared" si="25"/>
        <v>Manure management</v>
      </c>
      <c r="Q74" t="str">
        <f t="shared" si="26"/>
        <v>N2O</v>
      </c>
      <c r="R74" s="21">
        <v>7.6868999999999996</v>
      </c>
      <c r="S74" t="s">
        <v>311</v>
      </c>
      <c r="T74" s="22">
        <f t="shared" si="30"/>
        <v>0.51990381947610831</v>
      </c>
    </row>
    <row r="75" spans="1:20" x14ac:dyDescent="0.25">
      <c r="A75" s="14" t="s">
        <v>224</v>
      </c>
      <c r="B75" t="str">
        <f t="shared" si="21"/>
        <v>Enteric fermentation</v>
      </c>
      <c r="C75" t="str">
        <f t="shared" si="22"/>
        <v>CH4</v>
      </c>
      <c r="D75" s="21">
        <v>4.12</v>
      </c>
      <c r="E75" t="s">
        <v>144</v>
      </c>
      <c r="F75" s="21">
        <v>135250.17790876576</v>
      </c>
      <c r="G75" s="22">
        <f t="shared" si="28"/>
        <v>4.5090029311868972E-2</v>
      </c>
      <c r="H75" s="22">
        <f t="shared" si="18"/>
        <v>0.18577092076490018</v>
      </c>
      <c r="J75" t="str">
        <f t="shared" si="23"/>
        <v>Manure management</v>
      </c>
      <c r="K75" t="str">
        <f t="shared" si="24"/>
        <v>CH4</v>
      </c>
      <c r="L75" s="21">
        <v>1.1000000000000001E-3</v>
      </c>
      <c r="M75" t="s">
        <v>144</v>
      </c>
      <c r="N75" s="22">
        <f t="shared" si="29"/>
        <v>4.9599032243055872E-5</v>
      </c>
      <c r="P75" t="str">
        <f t="shared" si="25"/>
        <v>Manure management</v>
      </c>
      <c r="Q75" t="str">
        <f t="shared" si="26"/>
        <v>N2O</v>
      </c>
      <c r="R75" s="21">
        <v>12.811500000000001</v>
      </c>
      <c r="S75" t="s">
        <v>311</v>
      </c>
      <c r="T75" s="22">
        <f t="shared" si="30"/>
        <v>0.57767091052900932</v>
      </c>
    </row>
    <row r="76" spans="1:20" x14ac:dyDescent="0.25">
      <c r="A76" s="14" t="s">
        <v>225</v>
      </c>
      <c r="B76" t="str">
        <f t="shared" si="21"/>
        <v>Enteric fermentation</v>
      </c>
      <c r="C76" t="str">
        <f t="shared" si="22"/>
        <v>CH4</v>
      </c>
      <c r="D76" s="21">
        <v>5.07</v>
      </c>
      <c r="E76" t="s">
        <v>144</v>
      </c>
      <c r="F76" s="21">
        <v>101437.63343157432</v>
      </c>
      <c r="G76" s="22">
        <f t="shared" si="28"/>
        <v>3.3817521983901727E-2</v>
      </c>
      <c r="H76" s="22">
        <f t="shared" si="18"/>
        <v>0.17145483645838178</v>
      </c>
      <c r="J76" t="str">
        <f t="shared" si="23"/>
        <v>Manure management</v>
      </c>
      <c r="K76" t="str">
        <f t="shared" si="24"/>
        <v>CH4</v>
      </c>
      <c r="L76" s="21">
        <v>1.4E-3</v>
      </c>
      <c r="M76" t="s">
        <v>144</v>
      </c>
      <c r="N76" s="22">
        <f t="shared" si="29"/>
        <v>4.734453077746242E-5</v>
      </c>
      <c r="P76" t="str">
        <f t="shared" si="25"/>
        <v>Manure management</v>
      </c>
      <c r="Q76" t="str">
        <f t="shared" si="26"/>
        <v>N2O</v>
      </c>
      <c r="R76" s="21">
        <v>16.227899999999998</v>
      </c>
      <c r="S76" t="s">
        <v>311</v>
      </c>
      <c r="T76" s="22">
        <f t="shared" si="30"/>
        <v>0.54878736500255876</v>
      </c>
    </row>
    <row r="77" spans="1:20" x14ac:dyDescent="0.25">
      <c r="A77" s="14" t="s">
        <v>226</v>
      </c>
      <c r="B77" t="str">
        <f t="shared" si="21"/>
        <v>Enteric fermentation</v>
      </c>
      <c r="C77" t="str">
        <f t="shared" si="22"/>
        <v>CH4</v>
      </c>
      <c r="D77" s="21">
        <v>6.94</v>
      </c>
      <c r="E77" t="s">
        <v>144</v>
      </c>
      <c r="F77" s="21">
        <v>16906.27223859572</v>
      </c>
      <c r="G77" s="22">
        <f t="shared" si="28"/>
        <v>5.6362536639836215E-3</v>
      </c>
      <c r="H77" s="22">
        <f t="shared" ref="H77:H108" si="31">D77*G77</f>
        <v>3.9115600428046335E-2</v>
      </c>
      <c r="J77" t="str">
        <f t="shared" si="23"/>
        <v>Manure management</v>
      </c>
      <c r="K77" t="str">
        <f t="shared" si="24"/>
        <v>CH4</v>
      </c>
      <c r="L77" s="21">
        <v>2.0999999999999999E-3</v>
      </c>
      <c r="M77" t="s">
        <v>144</v>
      </c>
      <c r="N77" s="22">
        <f t="shared" si="29"/>
        <v>1.1836132694365605E-5</v>
      </c>
      <c r="P77" t="str">
        <f t="shared" si="25"/>
        <v>Manure management</v>
      </c>
      <c r="Q77" t="str">
        <f t="shared" si="26"/>
        <v>N2O</v>
      </c>
      <c r="R77" s="21">
        <v>23.188814999999998</v>
      </c>
      <c r="S77" t="s">
        <v>311</v>
      </c>
      <c r="T77" s="22">
        <f t="shared" si="30"/>
        <v>0.13069804350718836</v>
      </c>
    </row>
    <row r="78" spans="1:20" x14ac:dyDescent="0.25">
      <c r="A78" s="14" t="s">
        <v>227</v>
      </c>
      <c r="B78" t="str">
        <f t="shared" si="21"/>
        <v>Enteric fermentation</v>
      </c>
      <c r="C78" t="str">
        <f t="shared" si="22"/>
        <v>CH4</v>
      </c>
      <c r="D78" s="21">
        <v>7.4</v>
      </c>
      <c r="E78" t="s">
        <v>144</v>
      </c>
      <c r="F78" s="21">
        <v>261255.91572272734</v>
      </c>
      <c r="G78" s="22">
        <f t="shared" si="28"/>
        <v>8.7098124970920759E-2</v>
      </c>
      <c r="H78" s="22">
        <f t="shared" si="31"/>
        <v>0.64452612478481364</v>
      </c>
      <c r="J78" t="str">
        <f t="shared" si="23"/>
        <v>Manure management</v>
      </c>
      <c r="K78" t="str">
        <f t="shared" si="24"/>
        <v>CH4</v>
      </c>
      <c r="L78" s="21">
        <v>2.2000000000000001E-3</v>
      </c>
      <c r="M78" t="s">
        <v>144</v>
      </c>
      <c r="N78" s="22">
        <f t="shared" si="29"/>
        <v>1.9161587493602569E-4</v>
      </c>
      <c r="P78" t="str">
        <f t="shared" si="25"/>
        <v>Manure management</v>
      </c>
      <c r="Q78" t="str">
        <f t="shared" si="26"/>
        <v>N2O</v>
      </c>
      <c r="R78" s="21">
        <v>23.274225000000001</v>
      </c>
      <c r="S78" t="s">
        <v>311</v>
      </c>
      <c r="T78" s="22">
        <f t="shared" si="30"/>
        <v>2.0271413576513284</v>
      </c>
    </row>
    <row r="79" spans="1:20" x14ac:dyDescent="0.25">
      <c r="A79" s="14" t="s">
        <v>228</v>
      </c>
      <c r="B79" t="str">
        <f t="shared" si="21"/>
        <v>Enteric fermentation</v>
      </c>
      <c r="C79" t="str">
        <f t="shared" si="22"/>
        <v>CH4</v>
      </c>
      <c r="D79" s="21">
        <v>15</v>
      </c>
      <c r="E79" t="s">
        <v>144</v>
      </c>
      <c r="F79" s="21">
        <v>5805.6870160606077</v>
      </c>
      <c r="G79" s="22">
        <f t="shared" si="28"/>
        <v>1.9355138882426836E-3</v>
      </c>
      <c r="H79" s="22">
        <f t="shared" si="31"/>
        <v>2.9032708323640254E-2</v>
      </c>
      <c r="J79" t="str">
        <f t="shared" si="23"/>
        <v>Manure management</v>
      </c>
      <c r="K79" t="str">
        <f t="shared" si="24"/>
        <v>CH4</v>
      </c>
      <c r="L79" s="21">
        <v>5.0000000000000001E-3</v>
      </c>
      <c r="M79" t="s">
        <v>144</v>
      </c>
      <c r="N79" s="22">
        <f t="shared" si="29"/>
        <v>9.6775694412134183E-6</v>
      </c>
      <c r="P79" t="str">
        <f t="shared" si="25"/>
        <v>Manure management</v>
      </c>
      <c r="Q79" t="str">
        <f t="shared" si="26"/>
        <v>N2O</v>
      </c>
      <c r="R79" s="21">
        <v>46.97549999999999</v>
      </c>
      <c r="S79" t="s">
        <v>311</v>
      </c>
      <c r="T79" s="22">
        <f t="shared" si="30"/>
        <v>9.0921732657144164E-2</v>
      </c>
    </row>
    <row r="80" spans="1:20" x14ac:dyDescent="0.25">
      <c r="A80" s="14" t="s">
        <v>229</v>
      </c>
      <c r="B80" t="str">
        <f t="shared" si="21"/>
        <v>Enteric fermentation</v>
      </c>
      <c r="C80" t="str">
        <f t="shared" si="22"/>
        <v>CH4</v>
      </c>
      <c r="D80" s="21">
        <v>2.76</v>
      </c>
      <c r="E80" t="s">
        <v>144</v>
      </c>
      <c r="F80" s="21">
        <v>139336.48838545458</v>
      </c>
      <c r="G80" s="22">
        <f t="shared" si="28"/>
        <v>4.6452333317824404E-2</v>
      </c>
      <c r="H80" s="22">
        <f t="shared" si="31"/>
        <v>0.12820843995719536</v>
      </c>
      <c r="J80" t="str">
        <f t="shared" si="23"/>
        <v>Manure management</v>
      </c>
      <c r="K80" t="str">
        <f t="shared" si="24"/>
        <v>CH4</v>
      </c>
      <c r="L80" s="21">
        <v>6.9999999999999999E-4</v>
      </c>
      <c r="M80" t="s">
        <v>144</v>
      </c>
      <c r="N80" s="22">
        <f t="shared" si="29"/>
        <v>3.2516633322477081E-5</v>
      </c>
      <c r="P80" t="str">
        <f t="shared" si="25"/>
        <v>Manure management</v>
      </c>
      <c r="Q80" t="str">
        <f t="shared" si="26"/>
        <v>N2O</v>
      </c>
      <c r="R80" s="21">
        <v>7.6868999999999996</v>
      </c>
      <c r="S80" t="s">
        <v>311</v>
      </c>
      <c r="T80" s="22">
        <f t="shared" si="30"/>
        <v>0.35707444098078439</v>
      </c>
    </row>
    <row r="81" spans="1:20" x14ac:dyDescent="0.25">
      <c r="A81" s="14" t="s">
        <v>230</v>
      </c>
      <c r="B81" t="str">
        <f t="shared" si="21"/>
        <v>Enteric fermentation</v>
      </c>
      <c r="C81" t="str">
        <f t="shared" si="22"/>
        <v>CH4</v>
      </c>
      <c r="D81" s="21">
        <v>3.55</v>
      </c>
      <c r="E81" t="s">
        <v>144</v>
      </c>
      <c r="F81" s="21">
        <v>92890.992256969723</v>
      </c>
      <c r="G81" s="22">
        <f t="shared" si="28"/>
        <v>3.0968222211882938E-2</v>
      </c>
      <c r="H81" s="22">
        <f t="shared" si="31"/>
        <v>0.10993718885218443</v>
      </c>
      <c r="J81" t="str">
        <f t="shared" si="23"/>
        <v>Manure management</v>
      </c>
      <c r="K81" t="str">
        <f t="shared" si="24"/>
        <v>CH4</v>
      </c>
      <c r="L81" s="21">
        <v>1E-3</v>
      </c>
      <c r="M81" t="s">
        <v>144</v>
      </c>
      <c r="N81" s="22">
        <f t="shared" si="29"/>
        <v>3.096822221188294E-5</v>
      </c>
      <c r="P81" t="str">
        <f t="shared" si="25"/>
        <v>Manure management</v>
      </c>
      <c r="Q81" t="str">
        <f t="shared" si="26"/>
        <v>N2O</v>
      </c>
      <c r="R81" s="21">
        <v>10.67625</v>
      </c>
      <c r="S81" t="s">
        <v>311</v>
      </c>
      <c r="T81" s="22">
        <f t="shared" si="30"/>
        <v>0.33062448238961523</v>
      </c>
    </row>
    <row r="82" spans="1:20" x14ac:dyDescent="0.25">
      <c r="A82" s="14" t="s">
        <v>231</v>
      </c>
      <c r="B82" t="str">
        <f t="shared" si="21"/>
        <v>Enteric fermentation</v>
      </c>
      <c r="C82" t="str">
        <f t="shared" si="22"/>
        <v>CH4</v>
      </c>
      <c r="D82" s="21">
        <v>5.8</v>
      </c>
      <c r="E82" t="s">
        <v>144</v>
      </c>
      <c r="F82" s="21">
        <v>69668.244192727288</v>
      </c>
      <c r="G82" s="22">
        <f t="shared" si="28"/>
        <v>2.3226166658912202E-2</v>
      </c>
      <c r="H82" s="22">
        <f t="shared" si="31"/>
        <v>0.13471176662169076</v>
      </c>
      <c r="J82" t="str">
        <f t="shared" si="23"/>
        <v>Manure management</v>
      </c>
      <c r="K82" t="str">
        <f t="shared" si="24"/>
        <v>CH4</v>
      </c>
      <c r="L82" s="21">
        <v>2E-3</v>
      </c>
      <c r="M82" t="s">
        <v>144</v>
      </c>
      <c r="N82" s="22">
        <f t="shared" si="29"/>
        <v>4.6452333317824407E-5</v>
      </c>
      <c r="P82" t="str">
        <f t="shared" si="25"/>
        <v>Manure management</v>
      </c>
      <c r="Q82" t="str">
        <f t="shared" si="26"/>
        <v>N2O</v>
      </c>
      <c r="R82" s="21">
        <v>18.790199999999995</v>
      </c>
      <c r="S82" t="s">
        <v>311</v>
      </c>
      <c r="T82" s="22">
        <f t="shared" si="30"/>
        <v>0.43642431675429194</v>
      </c>
    </row>
    <row r="83" spans="1:20" x14ac:dyDescent="0.25">
      <c r="A83" s="14" t="s">
        <v>232</v>
      </c>
      <c r="B83" t="str">
        <f t="shared" si="21"/>
        <v>Enteric fermentation</v>
      </c>
      <c r="C83" t="str">
        <f t="shared" si="22"/>
        <v>CH4</v>
      </c>
      <c r="D83" s="21">
        <v>10.5</v>
      </c>
      <c r="E83" t="s">
        <v>144</v>
      </c>
      <c r="F83" s="21">
        <v>11611.374032121215</v>
      </c>
      <c r="G83" s="22">
        <f t="shared" si="28"/>
        <v>3.8710277764853673E-3</v>
      </c>
      <c r="H83" s="22">
        <f t="shared" si="31"/>
        <v>4.0645791653096355E-2</v>
      </c>
      <c r="J83" t="str">
        <f t="shared" si="23"/>
        <v>Manure management</v>
      </c>
      <c r="K83" t="str">
        <f t="shared" si="24"/>
        <v>CH4</v>
      </c>
      <c r="L83" s="21">
        <v>3.2000000000000002E-3</v>
      </c>
      <c r="M83" t="s">
        <v>144</v>
      </c>
      <c r="N83" s="22">
        <f t="shared" si="29"/>
        <v>1.2387288884753176E-5</v>
      </c>
      <c r="P83" t="str">
        <f t="shared" si="25"/>
        <v>Manure management</v>
      </c>
      <c r="Q83" t="str">
        <f t="shared" si="26"/>
        <v>N2O</v>
      </c>
      <c r="R83" s="21">
        <v>25.409474999999997</v>
      </c>
      <c r="S83" t="s">
        <v>311</v>
      </c>
      <c r="T83" s="22">
        <f t="shared" si="30"/>
        <v>9.8360783510910516E-2</v>
      </c>
    </row>
    <row r="84" spans="1:20" x14ac:dyDescent="0.25">
      <c r="A84" s="13" t="s">
        <v>153</v>
      </c>
      <c r="M84" s="13"/>
    </row>
    <row r="85" spans="1:20" x14ac:dyDescent="0.25">
      <c r="A85" s="14" t="s">
        <v>233</v>
      </c>
      <c r="B85" t="str">
        <f t="shared" ref="B85:B108" si="32">$B$5</f>
        <v>Enteric fermentation</v>
      </c>
      <c r="C85" t="str">
        <f t="shared" ref="C85:C108" si="33">$C$5</f>
        <v>CH4</v>
      </c>
      <c r="D85" s="21">
        <v>6.01</v>
      </c>
      <c r="E85" t="s">
        <v>144</v>
      </c>
      <c r="F85" s="21">
        <v>7463.5068944892591</v>
      </c>
      <c r="G85" s="22">
        <f>F85/SUM($F$85:$F$102)</f>
        <v>3.6371865957549993E-3</v>
      </c>
      <c r="H85" s="22">
        <f t="shared" si="31"/>
        <v>2.1859491440487544E-2</v>
      </c>
      <c r="J85" t="str">
        <f t="shared" ref="J85:J108" si="34">$J$5</f>
        <v>Manure management</v>
      </c>
      <c r="K85" t="str">
        <f t="shared" ref="K85:K108" si="35">$K$5</f>
        <v>CH4</v>
      </c>
      <c r="L85" s="21">
        <v>6.1999999999999998E-3</v>
      </c>
      <c r="M85" t="s">
        <v>144</v>
      </c>
      <c r="N85" s="22">
        <f t="shared" si="29"/>
        <v>2.2550556893680993E-5</v>
      </c>
      <c r="P85" t="str">
        <f t="shared" ref="P85:P108" si="36">$P$5</f>
        <v>Manure management</v>
      </c>
      <c r="Q85" t="str">
        <f t="shared" ref="Q85:Q108" si="37">$Q$5</f>
        <v>N2O</v>
      </c>
      <c r="R85" s="21">
        <v>20.752075000000005</v>
      </c>
      <c r="S85" t="s">
        <v>311</v>
      </c>
      <c r="T85" s="22">
        <f t="shared" ref="T85:T108" si="38">R85*G85</f>
        <v>7.5479169024102441E-2</v>
      </c>
    </row>
    <row r="86" spans="1:20" x14ac:dyDescent="0.25">
      <c r="A86" s="14" t="s">
        <v>234</v>
      </c>
      <c r="B86" t="str">
        <f t="shared" si="32"/>
        <v>Enteric fermentation</v>
      </c>
      <c r="C86" t="str">
        <f t="shared" si="33"/>
        <v>CH4</v>
      </c>
      <c r="D86" s="21">
        <v>4.76</v>
      </c>
      <c r="E86" t="s">
        <v>144</v>
      </c>
      <c r="F86" s="21">
        <v>339589.56369926129</v>
      </c>
      <c r="G86" s="22">
        <f t="shared" ref="G86:G102" si="39">F86/SUM($F$85:$F$102)</f>
        <v>0.16549199010685245</v>
      </c>
      <c r="H86" s="22">
        <f t="shared" si="31"/>
        <v>0.78774187290861764</v>
      </c>
      <c r="J86" t="str">
        <f t="shared" si="34"/>
        <v>Manure management</v>
      </c>
      <c r="K86" t="str">
        <f t="shared" si="35"/>
        <v>CH4</v>
      </c>
      <c r="L86" s="21">
        <v>5.0000000000000001E-3</v>
      </c>
      <c r="M86" t="s">
        <v>144</v>
      </c>
      <c r="N86" s="22">
        <f t="shared" si="29"/>
        <v>8.2745995053426231E-4</v>
      </c>
      <c r="P86" t="str">
        <f t="shared" si="36"/>
        <v>Manure management</v>
      </c>
      <c r="Q86" t="str">
        <f t="shared" si="37"/>
        <v>N2O</v>
      </c>
      <c r="R86" s="21">
        <v>15.001500000000002</v>
      </c>
      <c r="S86" t="s">
        <v>311</v>
      </c>
      <c r="T86" s="22">
        <f t="shared" si="38"/>
        <v>2.4826280895879473</v>
      </c>
    </row>
    <row r="87" spans="1:20" x14ac:dyDescent="0.25">
      <c r="A87" s="14" t="s">
        <v>235</v>
      </c>
      <c r="B87" t="str">
        <f t="shared" si="32"/>
        <v>Enteric fermentation</v>
      </c>
      <c r="C87" t="str">
        <f t="shared" si="33"/>
        <v>CH4</v>
      </c>
      <c r="D87" s="21">
        <v>2.63</v>
      </c>
      <c r="E87" t="s">
        <v>144</v>
      </c>
      <c r="F87" s="21">
        <v>173153.35995215081</v>
      </c>
      <c r="G87" s="22">
        <f t="shared" si="39"/>
        <v>8.4382729021515987E-2</v>
      </c>
      <c r="H87" s="22">
        <f t="shared" si="31"/>
        <v>0.22192657732658705</v>
      </c>
      <c r="J87" t="str">
        <f t="shared" si="34"/>
        <v>Manure management</v>
      </c>
      <c r="K87" t="str">
        <f t="shared" si="35"/>
        <v>CH4</v>
      </c>
      <c r="L87" s="21">
        <v>2E-3</v>
      </c>
      <c r="M87" t="s">
        <v>144</v>
      </c>
      <c r="N87" s="22">
        <f t="shared" si="29"/>
        <v>1.6876545804303197E-4</v>
      </c>
      <c r="P87" t="str">
        <f t="shared" si="36"/>
        <v>Manure management</v>
      </c>
      <c r="Q87" t="str">
        <f t="shared" si="37"/>
        <v>N2O</v>
      </c>
      <c r="R87" s="21">
        <v>7.2507250000000019</v>
      </c>
      <c r="S87" t="s">
        <v>311</v>
      </c>
      <c r="T87" s="22">
        <f t="shared" si="38"/>
        <v>0.61183596288453168</v>
      </c>
    </row>
    <row r="88" spans="1:20" x14ac:dyDescent="0.25">
      <c r="A88" s="14" t="s">
        <v>236</v>
      </c>
      <c r="B88" t="str">
        <f t="shared" si="32"/>
        <v>Enteric fermentation</v>
      </c>
      <c r="C88" t="str">
        <f t="shared" si="33"/>
        <v>CH4</v>
      </c>
      <c r="D88" s="21">
        <v>3.39</v>
      </c>
      <c r="E88" t="s">
        <v>144</v>
      </c>
      <c r="F88" s="21">
        <v>120908.811690726</v>
      </c>
      <c r="G88" s="22">
        <f t="shared" si="39"/>
        <v>5.8922422851230984E-2</v>
      </c>
      <c r="H88" s="22">
        <f t="shared" si="31"/>
        <v>0.19974701346567303</v>
      </c>
      <c r="J88" t="str">
        <f t="shared" si="34"/>
        <v>Manure management</v>
      </c>
      <c r="K88" t="str">
        <f t="shared" si="35"/>
        <v>CH4</v>
      </c>
      <c r="L88" s="21">
        <v>3.0000000000000001E-3</v>
      </c>
      <c r="M88" t="s">
        <v>144</v>
      </c>
      <c r="N88" s="22">
        <f t="shared" si="29"/>
        <v>1.7676726855369297E-4</v>
      </c>
      <c r="P88" t="str">
        <f t="shared" si="36"/>
        <v>Manure management</v>
      </c>
      <c r="Q88" t="str">
        <f t="shared" si="37"/>
        <v>N2O</v>
      </c>
      <c r="R88" s="21">
        <v>10.251025</v>
      </c>
      <c r="S88" t="s">
        <v>311</v>
      </c>
      <c r="T88" s="22">
        <f t="shared" si="38"/>
        <v>0.60401522970854016</v>
      </c>
    </row>
    <row r="89" spans="1:20" x14ac:dyDescent="0.25">
      <c r="A89" s="14" t="s">
        <v>237</v>
      </c>
      <c r="B89" t="str">
        <f t="shared" si="32"/>
        <v>Enteric fermentation</v>
      </c>
      <c r="C89" t="str">
        <f t="shared" si="33"/>
        <v>CH4</v>
      </c>
      <c r="D89" s="21">
        <v>4.51</v>
      </c>
      <c r="E89" t="s">
        <v>144</v>
      </c>
      <c r="F89" s="21">
        <v>14927.013788978518</v>
      </c>
      <c r="G89" s="22">
        <f t="shared" si="39"/>
        <v>7.2743731915099986E-3</v>
      </c>
      <c r="H89" s="22">
        <f t="shared" si="31"/>
        <v>3.2807423093710091E-2</v>
      </c>
      <c r="J89" t="str">
        <f t="shared" si="34"/>
        <v>Manure management</v>
      </c>
      <c r="K89" t="str">
        <f t="shared" si="35"/>
        <v>CH4</v>
      </c>
      <c r="L89" s="21">
        <v>4.0000000000000001E-3</v>
      </c>
      <c r="M89" t="s">
        <v>144</v>
      </c>
      <c r="N89" s="22">
        <f t="shared" si="29"/>
        <v>2.9097492766039994E-5</v>
      </c>
      <c r="P89" t="str">
        <f t="shared" si="36"/>
        <v>Manure management</v>
      </c>
      <c r="Q89" t="str">
        <f t="shared" si="37"/>
        <v>N2O</v>
      </c>
      <c r="R89" s="21">
        <v>14.751474999999999</v>
      </c>
      <c r="S89" t="s">
        <v>311</v>
      </c>
      <c r="T89" s="22">
        <f t="shared" si="38"/>
        <v>0.10730773427522995</v>
      </c>
    </row>
    <row r="90" spans="1:20" x14ac:dyDescent="0.25">
      <c r="A90" s="14" t="s">
        <v>238</v>
      </c>
      <c r="B90" t="str">
        <f t="shared" si="32"/>
        <v>Enteric fermentation</v>
      </c>
      <c r="C90" t="str">
        <f t="shared" si="33"/>
        <v>CH4</v>
      </c>
      <c r="D90" s="21">
        <v>3.64</v>
      </c>
      <c r="E90" t="s">
        <v>144</v>
      </c>
      <c r="F90" s="21">
        <v>90308.433423320035</v>
      </c>
      <c r="G90" s="22">
        <f t="shared" si="39"/>
        <v>4.4009957808635487E-2</v>
      </c>
      <c r="H90" s="22">
        <f t="shared" si="31"/>
        <v>0.16019624642343319</v>
      </c>
      <c r="J90" t="str">
        <f t="shared" si="34"/>
        <v>Manure management</v>
      </c>
      <c r="K90" t="str">
        <f t="shared" si="35"/>
        <v>CH4</v>
      </c>
      <c r="L90" s="21">
        <v>3.0000000000000001E-3</v>
      </c>
      <c r="M90" t="s">
        <v>144</v>
      </c>
      <c r="N90" s="22">
        <f t="shared" si="29"/>
        <v>1.3202987342590648E-4</v>
      </c>
      <c r="P90" t="str">
        <f t="shared" si="36"/>
        <v>Manure management</v>
      </c>
      <c r="Q90" t="str">
        <f t="shared" si="37"/>
        <v>N2O</v>
      </c>
      <c r="R90" s="21">
        <v>11.251125</v>
      </c>
      <c r="S90" t="s">
        <v>311</v>
      </c>
      <c r="T90" s="22">
        <f t="shared" si="38"/>
        <v>0.49516153654968392</v>
      </c>
    </row>
    <row r="91" spans="1:20" x14ac:dyDescent="0.25">
      <c r="A91" s="14" t="s">
        <v>239</v>
      </c>
      <c r="B91" t="str">
        <f t="shared" si="32"/>
        <v>Enteric fermentation</v>
      </c>
      <c r="C91" t="str">
        <f t="shared" si="33"/>
        <v>CH4</v>
      </c>
      <c r="D91" s="21">
        <v>18.3</v>
      </c>
      <c r="E91" t="s">
        <v>144</v>
      </c>
      <c r="F91" s="21">
        <v>110948.49938645436</v>
      </c>
      <c r="G91" s="22">
        <f t="shared" si="39"/>
        <v>5.4068469486576197E-2</v>
      </c>
      <c r="H91" s="22">
        <f t="shared" si="31"/>
        <v>0.98945299160434441</v>
      </c>
      <c r="J91" t="str">
        <f t="shared" si="34"/>
        <v>Manure management</v>
      </c>
      <c r="K91" t="str">
        <f t="shared" si="35"/>
        <v>CH4</v>
      </c>
      <c r="L91" s="21">
        <v>0.02</v>
      </c>
      <c r="M91" t="s">
        <v>144</v>
      </c>
      <c r="N91" s="22">
        <f t="shared" si="29"/>
        <v>1.081369389731524E-3</v>
      </c>
      <c r="P91" t="str">
        <f t="shared" si="36"/>
        <v>Manure management</v>
      </c>
      <c r="Q91" t="str">
        <f t="shared" si="37"/>
        <v>N2O</v>
      </c>
      <c r="R91" s="21">
        <v>59.005899999999997</v>
      </c>
      <c r="S91" t="s">
        <v>311</v>
      </c>
      <c r="T91" s="22">
        <f t="shared" si="38"/>
        <v>3.1903587036779664</v>
      </c>
    </row>
    <row r="92" spans="1:20" x14ac:dyDescent="0.25">
      <c r="A92" s="14" t="s">
        <v>240</v>
      </c>
      <c r="B92" t="str">
        <f t="shared" si="32"/>
        <v>Enteric fermentation</v>
      </c>
      <c r="C92" t="str">
        <f t="shared" si="33"/>
        <v>CH4</v>
      </c>
      <c r="D92" s="21">
        <v>12.1</v>
      </c>
      <c r="E92" t="s">
        <v>144</v>
      </c>
      <c r="F92" s="21">
        <v>457985.08467664308</v>
      </c>
      <c r="G92" s="22">
        <f t="shared" si="39"/>
        <v>0.22318961241551805</v>
      </c>
      <c r="H92" s="22">
        <f t="shared" si="31"/>
        <v>2.7005943102277681</v>
      </c>
      <c r="J92" t="str">
        <f t="shared" si="34"/>
        <v>Manure management</v>
      </c>
      <c r="K92" t="str">
        <f t="shared" si="35"/>
        <v>CH4</v>
      </c>
      <c r="L92" s="21">
        <v>1.2999999999999999E-2</v>
      </c>
      <c r="M92" t="s">
        <v>144</v>
      </c>
      <c r="N92" s="22">
        <f t="shared" si="29"/>
        <v>2.9014649614017346E-3</v>
      </c>
      <c r="P92" t="str">
        <f t="shared" si="36"/>
        <v>Manure management</v>
      </c>
      <c r="Q92" t="str">
        <f t="shared" si="37"/>
        <v>N2O</v>
      </c>
      <c r="R92" s="21">
        <v>39.003900000000002</v>
      </c>
      <c r="S92" t="s">
        <v>311</v>
      </c>
      <c r="T92" s="22">
        <f t="shared" si="38"/>
        <v>8.7052653236936255</v>
      </c>
    </row>
    <row r="93" spans="1:20" x14ac:dyDescent="0.25">
      <c r="A93" s="14" t="s">
        <v>241</v>
      </c>
      <c r="B93" t="str">
        <f t="shared" si="32"/>
        <v>Enteric fermentation</v>
      </c>
      <c r="C93" t="str">
        <f t="shared" si="33"/>
        <v>CH4</v>
      </c>
      <c r="D93" s="21">
        <v>3.62</v>
      </c>
      <c r="E93" t="s">
        <v>144</v>
      </c>
      <c r="F93" s="21">
        <v>202545.51632178301</v>
      </c>
      <c r="G93" s="22">
        <f t="shared" si="39"/>
        <v>9.8706391969679813E-2</v>
      </c>
      <c r="H93" s="22">
        <f t="shared" si="31"/>
        <v>0.35731713893024092</v>
      </c>
      <c r="J93" t="str">
        <f t="shared" si="34"/>
        <v>Manure management</v>
      </c>
      <c r="K93" t="str">
        <f t="shared" si="35"/>
        <v>CH4</v>
      </c>
      <c r="L93" s="21">
        <v>3.3999999999999998E-3</v>
      </c>
      <c r="M93" t="s">
        <v>144</v>
      </c>
      <c r="N93" s="22">
        <f t="shared" si="29"/>
        <v>3.3560173269691132E-4</v>
      </c>
      <c r="P93" t="str">
        <f t="shared" si="36"/>
        <v>Manure management</v>
      </c>
      <c r="Q93" t="str">
        <f t="shared" si="37"/>
        <v>N2O</v>
      </c>
      <c r="R93" s="21">
        <v>11.251125</v>
      </c>
      <c r="S93" t="s">
        <v>311</v>
      </c>
      <c r="T93" s="22">
        <f t="shared" si="38"/>
        <v>1.1105579543498638</v>
      </c>
    </row>
    <row r="94" spans="1:20" x14ac:dyDescent="0.25">
      <c r="A94" s="14" t="s">
        <v>242</v>
      </c>
      <c r="B94" t="str">
        <f t="shared" si="32"/>
        <v>Enteric fermentation</v>
      </c>
      <c r="C94" t="str">
        <f t="shared" si="33"/>
        <v>CH4</v>
      </c>
      <c r="D94" s="21">
        <v>5.54</v>
      </c>
      <c r="E94" t="s">
        <v>144</v>
      </c>
      <c r="F94" s="21">
        <v>336715.79464958829</v>
      </c>
      <c r="G94" s="22">
        <f t="shared" si="39"/>
        <v>0.16409151786042311</v>
      </c>
      <c r="H94" s="22">
        <f t="shared" si="31"/>
        <v>0.90906700894674408</v>
      </c>
      <c r="J94" t="str">
        <f t="shared" si="34"/>
        <v>Manure management</v>
      </c>
      <c r="K94" t="str">
        <f t="shared" si="35"/>
        <v>CH4</v>
      </c>
      <c r="L94" s="21">
        <v>6.0000000000000001E-3</v>
      </c>
      <c r="M94" t="s">
        <v>144</v>
      </c>
      <c r="N94" s="22">
        <f t="shared" si="29"/>
        <v>9.8454910716253875E-4</v>
      </c>
      <c r="P94" t="str">
        <f t="shared" si="36"/>
        <v>Manure management</v>
      </c>
      <c r="Q94" t="str">
        <f t="shared" si="37"/>
        <v>N2O</v>
      </c>
      <c r="R94" s="21">
        <v>16.751675000000002</v>
      </c>
      <c r="S94" t="s">
        <v>311</v>
      </c>
      <c r="T94" s="22">
        <f t="shared" si="38"/>
        <v>2.7488077774545037</v>
      </c>
    </row>
    <row r="95" spans="1:20" x14ac:dyDescent="0.25">
      <c r="A95" s="14" t="s">
        <v>243</v>
      </c>
      <c r="B95" t="str">
        <f t="shared" si="32"/>
        <v>Enteric fermentation</v>
      </c>
      <c r="C95" t="str">
        <f t="shared" si="33"/>
        <v>CH4</v>
      </c>
      <c r="D95" s="21">
        <v>13.1</v>
      </c>
      <c r="E95" t="s">
        <v>144</v>
      </c>
      <c r="F95" s="21">
        <v>69665.336824052749</v>
      </c>
      <c r="G95" s="22">
        <f t="shared" si="39"/>
        <v>3.3949969212501332E-2</v>
      </c>
      <c r="H95" s="22">
        <f t="shared" si="31"/>
        <v>0.44474459668376742</v>
      </c>
      <c r="J95" t="str">
        <f t="shared" si="34"/>
        <v>Manure management</v>
      </c>
      <c r="K95" t="str">
        <f t="shared" si="35"/>
        <v>CH4</v>
      </c>
      <c r="L95" s="21">
        <v>1.4E-2</v>
      </c>
      <c r="M95" t="s">
        <v>144</v>
      </c>
      <c r="N95" s="22">
        <f t="shared" si="29"/>
        <v>4.7529956897501867E-4</v>
      </c>
      <c r="P95" t="str">
        <f t="shared" si="36"/>
        <v>Manure management</v>
      </c>
      <c r="Q95" t="str">
        <f t="shared" si="37"/>
        <v>N2O</v>
      </c>
      <c r="R95" s="21">
        <v>26.502650000000003</v>
      </c>
      <c r="S95" t="s">
        <v>311</v>
      </c>
      <c r="T95" s="22">
        <f t="shared" si="38"/>
        <v>0.89976415154969858</v>
      </c>
    </row>
    <row r="96" spans="1:20" x14ac:dyDescent="0.25">
      <c r="A96" s="14" t="s">
        <v>244</v>
      </c>
      <c r="B96" t="str">
        <f t="shared" si="32"/>
        <v>Enteric fermentation</v>
      </c>
      <c r="C96" t="str">
        <f t="shared" si="33"/>
        <v>CH4</v>
      </c>
      <c r="D96" s="21">
        <v>8.01</v>
      </c>
      <c r="E96" t="s">
        <v>144</v>
      </c>
      <c r="F96" s="21">
        <v>112238.59821652943</v>
      </c>
      <c r="G96" s="22">
        <f t="shared" si="39"/>
        <v>5.4697172620141038E-2</v>
      </c>
      <c r="H96" s="22">
        <f t="shared" si="31"/>
        <v>0.43812435268732969</v>
      </c>
      <c r="J96" t="str">
        <f t="shared" si="34"/>
        <v>Manure management</v>
      </c>
      <c r="K96" t="str">
        <f t="shared" si="35"/>
        <v>CH4</v>
      </c>
      <c r="L96" s="21">
        <v>8.3999999999999995E-3</v>
      </c>
      <c r="M96" t="s">
        <v>144</v>
      </c>
      <c r="N96" s="22">
        <f t="shared" si="29"/>
        <v>4.594562500091847E-4</v>
      </c>
      <c r="P96" t="str">
        <f t="shared" si="36"/>
        <v>Manure management</v>
      </c>
      <c r="Q96" t="str">
        <f t="shared" si="37"/>
        <v>N2O</v>
      </c>
      <c r="R96" s="21">
        <v>20.252025000000003</v>
      </c>
      <c r="S96" t="s">
        <v>311</v>
      </c>
      <c r="T96" s="22">
        <f t="shared" si="38"/>
        <v>1.1077285073324119</v>
      </c>
    </row>
    <row r="97" spans="1:20" x14ac:dyDescent="0.25">
      <c r="A97" s="14" t="s">
        <v>245</v>
      </c>
      <c r="B97" t="str">
        <f t="shared" si="32"/>
        <v>Enteric fermentation</v>
      </c>
      <c r="C97" t="str">
        <f t="shared" si="33"/>
        <v>CH4</v>
      </c>
      <c r="D97" s="21">
        <v>10.5</v>
      </c>
      <c r="E97" t="s">
        <v>144</v>
      </c>
      <c r="F97" s="21">
        <v>155.50480476023225</v>
      </c>
      <c r="G97" s="22">
        <f t="shared" si="39"/>
        <v>7.5782068596604404E-5</v>
      </c>
      <c r="H97" s="22">
        <f t="shared" si="31"/>
        <v>7.9571172026434627E-4</v>
      </c>
      <c r="J97" t="str">
        <f t="shared" si="34"/>
        <v>Manure management</v>
      </c>
      <c r="K97" t="str">
        <f t="shared" si="35"/>
        <v>CH4</v>
      </c>
      <c r="L97" s="21">
        <v>8.9999999999999993E-3</v>
      </c>
      <c r="M97" t="s">
        <v>144</v>
      </c>
      <c r="N97" s="22">
        <f t="shared" si="29"/>
        <v>6.8203861736943956E-7</v>
      </c>
      <c r="P97" t="str">
        <f t="shared" si="36"/>
        <v>Manure management</v>
      </c>
      <c r="Q97" t="str">
        <f t="shared" si="37"/>
        <v>N2O</v>
      </c>
      <c r="R97" s="21">
        <v>36.253625</v>
      </c>
      <c r="S97" t="s">
        <v>311</v>
      </c>
      <c r="T97" s="22">
        <f t="shared" si="38"/>
        <v>2.7473746966255722E-3</v>
      </c>
    </row>
    <row r="98" spans="1:20" x14ac:dyDescent="0.25">
      <c r="A98" s="14" t="s">
        <v>246</v>
      </c>
      <c r="B98" t="str">
        <f t="shared" si="32"/>
        <v>Enteric fermentation</v>
      </c>
      <c r="C98" t="str">
        <f t="shared" si="33"/>
        <v>CH4</v>
      </c>
      <c r="D98" s="21">
        <v>8.48</v>
      </c>
      <c r="E98" t="s">
        <v>144</v>
      </c>
      <c r="F98" s="21">
        <v>7075.4686165905678</v>
      </c>
      <c r="G98" s="22">
        <f t="shared" si="39"/>
        <v>3.4480841211455004E-3</v>
      </c>
      <c r="H98" s="22">
        <f t="shared" si="31"/>
        <v>2.9239753347313845E-2</v>
      </c>
      <c r="J98" t="str">
        <f t="shared" si="34"/>
        <v>Manure management</v>
      </c>
      <c r="K98" t="str">
        <f t="shared" si="35"/>
        <v>CH4</v>
      </c>
      <c r="L98" s="21">
        <v>7.0000000000000001E-3</v>
      </c>
      <c r="M98" t="s">
        <v>144</v>
      </c>
      <c r="N98" s="22">
        <f t="shared" si="29"/>
        <v>2.4136588848018503E-5</v>
      </c>
      <c r="P98" t="str">
        <f t="shared" si="36"/>
        <v>Manure management</v>
      </c>
      <c r="Q98" t="str">
        <f t="shared" si="37"/>
        <v>N2O</v>
      </c>
      <c r="R98" s="21">
        <v>24.002400000000005</v>
      </c>
      <c r="S98" t="s">
        <v>311</v>
      </c>
      <c r="T98" s="22">
        <f t="shared" si="38"/>
        <v>8.2762294309382783E-2</v>
      </c>
    </row>
    <row r="99" spans="1:20" x14ac:dyDescent="0.25">
      <c r="A99" s="14" t="s">
        <v>247</v>
      </c>
      <c r="B99" t="str">
        <f t="shared" si="32"/>
        <v>Enteric fermentation</v>
      </c>
      <c r="C99" t="str">
        <f t="shared" si="33"/>
        <v>CH4</v>
      </c>
      <c r="D99" s="21">
        <v>3.62</v>
      </c>
      <c r="E99" t="s">
        <v>144</v>
      </c>
      <c r="F99" s="21">
        <v>3607.7114704373885</v>
      </c>
      <c r="G99" s="22">
        <f t="shared" si="39"/>
        <v>1.7581439914412223E-3</v>
      </c>
      <c r="H99" s="22">
        <f t="shared" si="31"/>
        <v>6.3644812490172252E-3</v>
      </c>
      <c r="J99" t="str">
        <f t="shared" si="34"/>
        <v>Manure management</v>
      </c>
      <c r="K99" t="str">
        <f t="shared" si="35"/>
        <v>CH4</v>
      </c>
      <c r="L99" s="21">
        <v>3.0000000000000001E-3</v>
      </c>
      <c r="M99" t="s">
        <v>144</v>
      </c>
      <c r="N99" s="22">
        <f t="shared" si="29"/>
        <v>5.2744319743236674E-6</v>
      </c>
      <c r="P99" t="str">
        <f t="shared" si="36"/>
        <v>Manure management</v>
      </c>
      <c r="Q99" t="str">
        <f t="shared" si="37"/>
        <v>N2O</v>
      </c>
      <c r="R99" s="21">
        <v>11.251125</v>
      </c>
      <c r="S99" t="s">
        <v>311</v>
      </c>
      <c r="T99" s="22">
        <f t="shared" si="38"/>
        <v>1.9781097815704123E-2</v>
      </c>
    </row>
    <row r="100" spans="1:20" x14ac:dyDescent="0.25">
      <c r="A100" s="14" t="s">
        <v>248</v>
      </c>
      <c r="B100" t="str">
        <f t="shared" si="32"/>
        <v>Enteric fermentation</v>
      </c>
      <c r="C100" t="str">
        <f t="shared" si="33"/>
        <v>CH4</v>
      </c>
      <c r="D100" s="21">
        <v>5.0199999999999996</v>
      </c>
      <c r="E100" t="s">
        <v>144</v>
      </c>
      <c r="F100" s="21">
        <v>2519.1778371157625</v>
      </c>
      <c r="G100" s="22">
        <f t="shared" si="39"/>
        <v>1.2276695112649913E-3</v>
      </c>
      <c r="H100" s="22">
        <f t="shared" si="31"/>
        <v>6.1629009465502555E-3</v>
      </c>
      <c r="J100" t="str">
        <f t="shared" si="34"/>
        <v>Manure management</v>
      </c>
      <c r="K100" t="str">
        <f t="shared" si="35"/>
        <v>CH4</v>
      </c>
      <c r="L100" s="21">
        <v>4.0000000000000001E-3</v>
      </c>
      <c r="M100" t="s">
        <v>144</v>
      </c>
      <c r="N100" s="22">
        <f t="shared" si="29"/>
        <v>4.910678045059965E-6</v>
      </c>
      <c r="P100" t="str">
        <f t="shared" si="36"/>
        <v>Manure management</v>
      </c>
      <c r="Q100" t="str">
        <f t="shared" si="37"/>
        <v>N2O</v>
      </c>
      <c r="R100" s="21">
        <v>16.751675000000002</v>
      </c>
      <c r="S100" t="s">
        <v>311</v>
      </c>
      <c r="T100" s="22">
        <f t="shared" si="38"/>
        <v>2.0565520660119976E-2</v>
      </c>
    </row>
    <row r="101" spans="1:20" x14ac:dyDescent="0.25">
      <c r="A101" s="14" t="s">
        <v>249</v>
      </c>
      <c r="B101" t="str">
        <f t="shared" si="32"/>
        <v>Enteric fermentation</v>
      </c>
      <c r="C101" t="str">
        <f t="shared" si="33"/>
        <v>CH4</v>
      </c>
      <c r="D101" s="21">
        <v>7.65</v>
      </c>
      <c r="E101" t="s">
        <v>144</v>
      </c>
      <c r="F101" s="21">
        <v>311.00960952046449</v>
      </c>
      <c r="G101" s="22">
        <f t="shared" si="39"/>
        <v>1.5156413719320881E-4</v>
      </c>
      <c r="H101" s="22">
        <f t="shared" si="31"/>
        <v>1.1594656495280474E-3</v>
      </c>
      <c r="J101" t="str">
        <f t="shared" si="34"/>
        <v>Manure management</v>
      </c>
      <c r="K101" t="str">
        <f t="shared" si="35"/>
        <v>CH4</v>
      </c>
      <c r="L101" s="21">
        <v>6.0000000000000001E-3</v>
      </c>
      <c r="M101" t="s">
        <v>144</v>
      </c>
      <c r="N101" s="22">
        <f t="shared" si="29"/>
        <v>9.0938482315925281E-7</v>
      </c>
      <c r="P101" t="str">
        <f t="shared" si="36"/>
        <v>Manure management</v>
      </c>
      <c r="Q101" t="str">
        <f t="shared" si="37"/>
        <v>N2O</v>
      </c>
      <c r="R101" s="21">
        <v>26.502650000000003</v>
      </c>
      <c r="S101" t="s">
        <v>311</v>
      </c>
      <c r="T101" s="22">
        <f t="shared" si="38"/>
        <v>4.0168512805835955E-3</v>
      </c>
    </row>
    <row r="102" spans="1:20" x14ac:dyDescent="0.25">
      <c r="A102" s="14" t="s">
        <v>250</v>
      </c>
      <c r="B102" t="str">
        <f t="shared" si="32"/>
        <v>Enteric fermentation</v>
      </c>
      <c r="C102" t="str">
        <f t="shared" si="33"/>
        <v>CH4</v>
      </c>
      <c r="D102" s="21">
        <v>5.94</v>
      </c>
      <c r="E102" t="s">
        <v>144</v>
      </c>
      <c r="F102" s="21">
        <v>1881.6081375988101</v>
      </c>
      <c r="G102" s="22">
        <f t="shared" si="39"/>
        <v>9.1696303001891316E-4</v>
      </c>
      <c r="H102" s="22">
        <f t="shared" si="31"/>
        <v>5.4467603983123442E-3</v>
      </c>
      <c r="J102" t="str">
        <f t="shared" si="34"/>
        <v>Manure management</v>
      </c>
      <c r="K102" t="str">
        <f t="shared" si="35"/>
        <v>CH4</v>
      </c>
      <c r="L102" s="21">
        <v>5.0000000000000001E-3</v>
      </c>
      <c r="M102" t="s">
        <v>144</v>
      </c>
      <c r="N102" s="22">
        <f t="shared" si="29"/>
        <v>4.584815150094566E-6</v>
      </c>
      <c r="P102" t="str">
        <f t="shared" si="36"/>
        <v>Manure management</v>
      </c>
      <c r="Q102" t="str">
        <f t="shared" si="37"/>
        <v>N2O</v>
      </c>
      <c r="R102" s="21">
        <v>20.252025000000003</v>
      </c>
      <c r="S102" t="s">
        <v>311</v>
      </c>
      <c r="T102" s="22">
        <f t="shared" si="38"/>
        <v>1.8570358208018781E-2</v>
      </c>
    </row>
    <row r="103" spans="1:20" x14ac:dyDescent="0.25">
      <c r="A103" s="14" t="s">
        <v>251</v>
      </c>
      <c r="B103" t="str">
        <f t="shared" si="32"/>
        <v>Enteric fermentation</v>
      </c>
      <c r="C103" t="str">
        <f t="shared" si="33"/>
        <v>CH4</v>
      </c>
      <c r="D103" s="21">
        <v>11.1</v>
      </c>
      <c r="E103" t="s">
        <v>144</v>
      </c>
      <c r="F103" s="21">
        <v>44584.86627064857</v>
      </c>
      <c r="G103" s="22">
        <f>F103/SUM($F$103:$F$108)</f>
        <v>1.0999999999999998E-2</v>
      </c>
      <c r="H103" s="22">
        <f t="shared" si="31"/>
        <v>0.12209999999999997</v>
      </c>
      <c r="J103" t="str">
        <f t="shared" si="34"/>
        <v>Manure management</v>
      </c>
      <c r="K103" t="str">
        <f t="shared" si="35"/>
        <v>CH4</v>
      </c>
      <c r="L103" s="21">
        <v>1.2999999999999999E-2</v>
      </c>
      <c r="M103" t="s">
        <v>144</v>
      </c>
      <c r="N103" s="22">
        <f t="shared" si="29"/>
        <v>1.4299999999999995E-4</v>
      </c>
      <c r="P103" t="str">
        <f t="shared" si="36"/>
        <v>Manure management</v>
      </c>
      <c r="Q103" t="str">
        <f t="shared" si="37"/>
        <v>N2O</v>
      </c>
      <c r="R103" s="21">
        <v>41.004100000000001</v>
      </c>
      <c r="S103" t="s">
        <v>311</v>
      </c>
      <c r="T103" s="22">
        <f t="shared" si="38"/>
        <v>0.45104509999999992</v>
      </c>
    </row>
    <row r="104" spans="1:20" x14ac:dyDescent="0.25">
      <c r="A104" s="14" t="s">
        <v>252</v>
      </c>
      <c r="B104" t="str">
        <f t="shared" si="32"/>
        <v>Enteric fermentation</v>
      </c>
      <c r="C104" t="str">
        <f t="shared" si="33"/>
        <v>CH4</v>
      </c>
      <c r="D104" s="21">
        <v>7.4</v>
      </c>
      <c r="E104" t="s">
        <v>144</v>
      </c>
      <c r="F104" s="21">
        <v>1921202.4192988568</v>
      </c>
      <c r="G104" s="22">
        <f t="shared" ref="G104:G108" si="40">F104/SUM($F$103:$F$108)</f>
        <v>0.47399999999999992</v>
      </c>
      <c r="H104" s="22">
        <f t="shared" si="31"/>
        <v>3.5075999999999996</v>
      </c>
      <c r="J104" t="str">
        <f t="shared" si="34"/>
        <v>Manure management</v>
      </c>
      <c r="K104" t="str">
        <f t="shared" si="35"/>
        <v>CH4</v>
      </c>
      <c r="L104" s="21">
        <v>8.9999999999999993E-3</v>
      </c>
      <c r="M104" t="s">
        <v>144</v>
      </c>
      <c r="N104" s="22">
        <f t="shared" si="29"/>
        <v>4.265999999999999E-3</v>
      </c>
      <c r="P104" t="str">
        <f t="shared" si="36"/>
        <v>Manure management</v>
      </c>
      <c r="Q104" t="str">
        <f t="shared" si="37"/>
        <v>N2O</v>
      </c>
      <c r="R104" s="21">
        <v>27.202719999999999</v>
      </c>
      <c r="S104" t="s">
        <v>311</v>
      </c>
      <c r="T104" s="22">
        <f t="shared" si="38"/>
        <v>12.894089279999998</v>
      </c>
    </row>
    <row r="105" spans="1:20" x14ac:dyDescent="0.25">
      <c r="A105" s="14" t="s">
        <v>253</v>
      </c>
      <c r="B105" t="str">
        <f t="shared" si="32"/>
        <v>Enteric fermentation</v>
      </c>
      <c r="C105" t="str">
        <f t="shared" si="33"/>
        <v>CH4</v>
      </c>
      <c r="D105" s="21">
        <v>2.54</v>
      </c>
      <c r="E105" t="s">
        <v>144</v>
      </c>
      <c r="F105" s="21">
        <v>806580.76253264246</v>
      </c>
      <c r="G105" s="22">
        <f t="shared" si="40"/>
        <v>0.19899999999999998</v>
      </c>
      <c r="H105" s="22">
        <f t="shared" si="31"/>
        <v>0.50545999999999991</v>
      </c>
      <c r="J105" t="str">
        <f t="shared" si="34"/>
        <v>Manure management</v>
      </c>
      <c r="K105" t="str">
        <f t="shared" si="35"/>
        <v>CH4</v>
      </c>
      <c r="L105" s="21">
        <v>3.0000000000000001E-3</v>
      </c>
      <c r="M105" t="s">
        <v>144</v>
      </c>
      <c r="N105" s="22">
        <f t="shared" si="29"/>
        <v>5.9699999999999998E-4</v>
      </c>
      <c r="P105" t="str">
        <f t="shared" si="36"/>
        <v>Manure management</v>
      </c>
      <c r="Q105" t="str">
        <f t="shared" si="37"/>
        <v>N2O</v>
      </c>
      <c r="R105" s="21">
        <v>8.0007999999999999</v>
      </c>
      <c r="S105" t="s">
        <v>311</v>
      </c>
      <c r="T105" s="22">
        <f t="shared" si="38"/>
        <v>1.5921591999999998</v>
      </c>
    </row>
    <row r="106" spans="1:20" x14ac:dyDescent="0.25">
      <c r="A106" s="14" t="s">
        <v>254</v>
      </c>
      <c r="B106" t="str">
        <f t="shared" si="32"/>
        <v>Enteric fermentation</v>
      </c>
      <c r="C106" t="str">
        <f t="shared" si="33"/>
        <v>CH4</v>
      </c>
      <c r="D106" s="21">
        <v>3.66</v>
      </c>
      <c r="E106" t="s">
        <v>144</v>
      </c>
      <c r="F106" s="21">
        <v>684985.67270360084</v>
      </c>
      <c r="G106" s="22">
        <f t="shared" si="40"/>
        <v>0.16899999999999998</v>
      </c>
      <c r="H106" s="22">
        <f t="shared" si="31"/>
        <v>0.61853999999999998</v>
      </c>
      <c r="J106" t="str">
        <f t="shared" si="34"/>
        <v>Manure management</v>
      </c>
      <c r="K106" t="str">
        <f t="shared" si="35"/>
        <v>CH4</v>
      </c>
      <c r="L106" s="21">
        <v>4.0000000000000001E-3</v>
      </c>
      <c r="M106" t="s">
        <v>144</v>
      </c>
      <c r="N106" s="22">
        <f t="shared" si="29"/>
        <v>6.7599999999999995E-4</v>
      </c>
      <c r="P106" t="str">
        <f t="shared" si="36"/>
        <v>Manure management</v>
      </c>
      <c r="Q106" t="str">
        <f t="shared" si="37"/>
        <v>N2O</v>
      </c>
      <c r="R106" s="21">
        <v>13.001299999999999</v>
      </c>
      <c r="S106" t="s">
        <v>311</v>
      </c>
      <c r="T106" s="22">
        <f t="shared" si="38"/>
        <v>2.1972196999999998</v>
      </c>
    </row>
    <row r="107" spans="1:20" x14ac:dyDescent="0.25">
      <c r="A107" s="14" t="s">
        <v>255</v>
      </c>
      <c r="B107" t="str">
        <f t="shared" si="32"/>
        <v>Enteric fermentation</v>
      </c>
      <c r="C107" t="str">
        <f t="shared" si="33"/>
        <v>CH4</v>
      </c>
      <c r="D107" s="21">
        <v>8.11</v>
      </c>
      <c r="E107" t="s">
        <v>144</v>
      </c>
      <c r="F107" s="21">
        <v>81063.393219361053</v>
      </c>
      <c r="G107" s="22">
        <f t="shared" si="40"/>
        <v>0.02</v>
      </c>
      <c r="H107" s="22">
        <f t="shared" si="31"/>
        <v>0.16219999999999998</v>
      </c>
      <c r="J107" t="str">
        <f t="shared" si="34"/>
        <v>Manure management</v>
      </c>
      <c r="K107" t="str">
        <f t="shared" si="35"/>
        <v>CH4</v>
      </c>
      <c r="L107" s="21">
        <v>8.9999999999999993E-3</v>
      </c>
      <c r="M107" t="s">
        <v>144</v>
      </c>
      <c r="N107" s="22">
        <f t="shared" si="29"/>
        <v>1.7999999999999998E-4</v>
      </c>
      <c r="P107" t="str">
        <f t="shared" si="36"/>
        <v>Manure management</v>
      </c>
      <c r="Q107" t="str">
        <f t="shared" si="37"/>
        <v>N2O</v>
      </c>
      <c r="R107" s="21">
        <v>30.803080000000005</v>
      </c>
      <c r="S107" t="s">
        <v>311</v>
      </c>
      <c r="T107" s="22">
        <f t="shared" si="38"/>
        <v>0.6160616000000001</v>
      </c>
    </row>
    <row r="108" spans="1:20" x14ac:dyDescent="0.25">
      <c r="A108" s="14" t="s">
        <v>256</v>
      </c>
      <c r="B108" t="str">
        <f t="shared" si="32"/>
        <v>Enteric fermentation</v>
      </c>
      <c r="C108" t="str">
        <f t="shared" si="33"/>
        <v>CH4</v>
      </c>
      <c r="D108" s="21">
        <v>5.19</v>
      </c>
      <c r="E108" t="s">
        <v>144</v>
      </c>
      <c r="F108" s="21">
        <v>514752.54694294266</v>
      </c>
      <c r="G108" s="22">
        <f t="shared" si="40"/>
        <v>0.127</v>
      </c>
      <c r="H108" s="22">
        <f t="shared" si="31"/>
        <v>0.6591300000000001</v>
      </c>
      <c r="J108" t="str">
        <f t="shared" si="34"/>
        <v>Manure management</v>
      </c>
      <c r="K108" t="str">
        <f t="shared" si="35"/>
        <v>CH4</v>
      </c>
      <c r="L108" s="21">
        <v>6.0000000000000001E-3</v>
      </c>
      <c r="M108" t="s">
        <v>144</v>
      </c>
      <c r="N108" s="22">
        <f t="shared" si="29"/>
        <v>7.6199999999999998E-4</v>
      </c>
      <c r="P108" t="str">
        <f t="shared" si="36"/>
        <v>Manure management</v>
      </c>
      <c r="Q108" t="str">
        <f t="shared" si="37"/>
        <v>N2O</v>
      </c>
      <c r="R108" s="21">
        <v>19.501950000000001</v>
      </c>
      <c r="S108" t="s">
        <v>311</v>
      </c>
      <c r="T108" s="22">
        <f t="shared" si="38"/>
        <v>2.4767476500000001</v>
      </c>
    </row>
    <row r="109" spans="1:20" x14ac:dyDescent="0.25">
      <c r="A109" s="13" t="s">
        <v>3</v>
      </c>
      <c r="M109" s="13"/>
    </row>
    <row r="110" spans="1:20" x14ac:dyDescent="0.25">
      <c r="A110" s="14" t="s">
        <v>3</v>
      </c>
      <c r="B110" t="str">
        <f>$B$5</f>
        <v>Enteric fermentation</v>
      </c>
      <c r="C110" t="str">
        <f>$C$5</f>
        <v>CH4</v>
      </c>
      <c r="D110" s="21">
        <v>18</v>
      </c>
      <c r="E110" t="s">
        <v>144</v>
      </c>
      <c r="H110" s="22">
        <f>D110</f>
        <v>18</v>
      </c>
      <c r="J110" t="str">
        <f>$J$5</f>
        <v>Manure management</v>
      </c>
      <c r="K110" t="str">
        <f>$K$5</f>
        <v>CH4</v>
      </c>
      <c r="L110" s="21">
        <v>1.34E-2</v>
      </c>
      <c r="M110" t="s">
        <v>144</v>
      </c>
      <c r="N110" s="22">
        <f>L110</f>
        <v>1.34E-2</v>
      </c>
      <c r="P110" t="str">
        <f>$P$5</f>
        <v>Manure management</v>
      </c>
      <c r="Q110" t="str">
        <f>$Q$5</f>
        <v>N2O</v>
      </c>
      <c r="R110" s="21">
        <v>39.5</v>
      </c>
      <c r="S110" t="s">
        <v>311</v>
      </c>
      <c r="T110" s="22">
        <f>R110</f>
        <v>39.5</v>
      </c>
    </row>
    <row r="111" spans="1:20" x14ac:dyDescent="0.25">
      <c r="A111" s="13" t="s">
        <v>154</v>
      </c>
      <c r="M111" s="13"/>
    </row>
    <row r="112" spans="1:20" x14ac:dyDescent="0.25">
      <c r="A112" s="14" t="s">
        <v>154</v>
      </c>
      <c r="B112" t="str">
        <f>$B$5</f>
        <v>Enteric fermentation</v>
      </c>
      <c r="C112" t="str">
        <f>$C$5</f>
        <v>CH4</v>
      </c>
      <c r="D112" s="21">
        <v>10</v>
      </c>
      <c r="E112" t="s">
        <v>144</v>
      </c>
      <c r="H112" s="22">
        <f>D112</f>
        <v>10</v>
      </c>
      <c r="J112" t="str">
        <f>$J$5</f>
        <v>Manure management</v>
      </c>
      <c r="K112" t="str">
        <f>$K$5</f>
        <v>CH4</v>
      </c>
      <c r="L112" s="21">
        <v>4.4999999999999997E-3</v>
      </c>
      <c r="M112" t="s">
        <v>144</v>
      </c>
      <c r="N112" s="22">
        <f>L112</f>
        <v>4.4999999999999997E-3</v>
      </c>
      <c r="P112" t="str">
        <f>$P$5</f>
        <v>Manure management</v>
      </c>
      <c r="Q112" t="str">
        <f>$Q$5</f>
        <v>N2O</v>
      </c>
      <c r="R112" s="21">
        <v>13.2</v>
      </c>
      <c r="S112" t="s">
        <v>311</v>
      </c>
      <c r="T112" s="22">
        <f>R112</f>
        <v>13.2</v>
      </c>
    </row>
    <row r="113" spans="1:20" x14ac:dyDescent="0.25">
      <c r="A113" s="13" t="s">
        <v>155</v>
      </c>
      <c r="M113" s="13"/>
    </row>
    <row r="114" spans="1:20" x14ac:dyDescent="0.25">
      <c r="A114" s="14" t="s">
        <v>257</v>
      </c>
      <c r="B114" t="str">
        <f t="shared" ref="B114:B133" si="41">$B$5</f>
        <v>Enteric fermentation</v>
      </c>
      <c r="C114" t="str">
        <f t="shared" ref="C114:C133" si="42">$C$5</f>
        <v>CH4</v>
      </c>
      <c r="D114" s="21">
        <v>0.99</v>
      </c>
      <c r="E114" t="s">
        <v>144</v>
      </c>
      <c r="F114" s="21">
        <v>78106</v>
      </c>
      <c r="G114">
        <f>F114/SUM($F$114:$F$123)</f>
        <v>4.9000000000000002E-2</v>
      </c>
      <c r="H114" s="22">
        <f t="shared" ref="H114:H133" si="43">D114*G114</f>
        <v>4.8510000000000005E-2</v>
      </c>
      <c r="J114" t="str">
        <f t="shared" ref="J114:J133" si="44">$J$5</f>
        <v>Manure management</v>
      </c>
      <c r="K114" t="str">
        <f t="shared" ref="K114:K133" si="45">$K$5</f>
        <v>CH4</v>
      </c>
      <c r="L114" s="21">
        <v>20.96</v>
      </c>
      <c r="M114" t="s">
        <v>144</v>
      </c>
      <c r="N114" s="22">
        <f t="shared" ref="N114:N133" si="46">L114*G114</f>
        <v>1.0270400000000002</v>
      </c>
      <c r="P114" t="str">
        <f t="shared" ref="P114:P133" si="47">$P$5</f>
        <v>Manure management</v>
      </c>
      <c r="Q114" t="str">
        <f t="shared" ref="Q114:Q133" si="48">$Q$5</f>
        <v>N2O</v>
      </c>
      <c r="R114" s="21">
        <v>11.04</v>
      </c>
      <c r="S114" t="s">
        <v>311</v>
      </c>
      <c r="T114" s="22">
        <f t="shared" ref="T114:T133" si="49">R114*G114</f>
        <v>0.54096</v>
      </c>
    </row>
    <row r="115" spans="1:20" x14ac:dyDescent="0.25">
      <c r="A115" s="14" t="s">
        <v>258</v>
      </c>
      <c r="B115" t="str">
        <f t="shared" si="41"/>
        <v>Enteric fermentation</v>
      </c>
      <c r="C115" t="str">
        <f t="shared" si="42"/>
        <v>CH4</v>
      </c>
      <c r="D115" s="21">
        <v>1.89</v>
      </c>
      <c r="E115" t="s">
        <v>144</v>
      </c>
      <c r="F115" s="21">
        <v>9564</v>
      </c>
      <c r="G115">
        <f t="shared" ref="G115:G123" si="50">F115/SUM($F$114:$F$123)</f>
        <v>6.0000000000000001E-3</v>
      </c>
      <c r="H115" s="22">
        <f t="shared" si="43"/>
        <v>1.1339999999999999E-2</v>
      </c>
      <c r="J115" t="str">
        <f t="shared" si="44"/>
        <v>Manure management</v>
      </c>
      <c r="K115" t="str">
        <f t="shared" si="45"/>
        <v>CH4</v>
      </c>
      <c r="L115" s="21">
        <v>16.47</v>
      </c>
      <c r="M115" t="s">
        <v>144</v>
      </c>
      <c r="N115" s="22">
        <f t="shared" si="46"/>
        <v>9.8819999999999991E-2</v>
      </c>
      <c r="P115" t="str">
        <f t="shared" si="47"/>
        <v>Manure management</v>
      </c>
      <c r="Q115" t="str">
        <f t="shared" si="48"/>
        <v>N2O</v>
      </c>
      <c r="R115" s="21">
        <v>14.59</v>
      </c>
      <c r="S115" t="s">
        <v>311</v>
      </c>
      <c r="T115" s="22">
        <f t="shared" si="49"/>
        <v>8.7540000000000007E-2</v>
      </c>
    </row>
    <row r="116" spans="1:20" x14ac:dyDescent="0.25">
      <c r="A116" s="14" t="s">
        <v>259</v>
      </c>
      <c r="B116" t="str">
        <f t="shared" si="41"/>
        <v>Enteric fermentation</v>
      </c>
      <c r="C116" t="str">
        <f t="shared" si="42"/>
        <v>CH4</v>
      </c>
      <c r="D116" s="21">
        <v>1.89</v>
      </c>
      <c r="E116" t="s">
        <v>144</v>
      </c>
      <c r="F116" s="21">
        <v>9564</v>
      </c>
      <c r="G116">
        <f t="shared" si="50"/>
        <v>6.0000000000000001E-3</v>
      </c>
      <c r="H116" s="22">
        <f t="shared" si="43"/>
        <v>1.1339999999999999E-2</v>
      </c>
      <c r="J116" t="str">
        <f t="shared" si="44"/>
        <v>Manure management</v>
      </c>
      <c r="K116" t="str">
        <f t="shared" si="45"/>
        <v>CH4</v>
      </c>
      <c r="L116" s="21">
        <v>16.47</v>
      </c>
      <c r="M116" t="s">
        <v>144</v>
      </c>
      <c r="N116" s="22">
        <f t="shared" si="46"/>
        <v>9.8819999999999991E-2</v>
      </c>
      <c r="P116" t="str">
        <f t="shared" si="47"/>
        <v>Manure management</v>
      </c>
      <c r="Q116" t="str">
        <f t="shared" si="48"/>
        <v>N2O</v>
      </c>
      <c r="R116" s="21">
        <v>14.59</v>
      </c>
      <c r="S116" t="s">
        <v>311</v>
      </c>
      <c r="T116" s="22">
        <f t="shared" si="49"/>
        <v>8.7540000000000007E-2</v>
      </c>
    </row>
    <row r="117" spans="1:20" x14ac:dyDescent="0.25">
      <c r="A117" s="14" t="s">
        <v>260</v>
      </c>
      <c r="B117" t="str">
        <f t="shared" si="41"/>
        <v>Enteric fermentation</v>
      </c>
      <c r="C117" t="str">
        <f t="shared" si="42"/>
        <v>CH4</v>
      </c>
      <c r="D117" s="21">
        <v>1.55</v>
      </c>
      <c r="E117" t="s">
        <v>144</v>
      </c>
      <c r="F117" s="21">
        <v>82888</v>
      </c>
      <c r="G117">
        <f t="shared" si="50"/>
        <v>5.1999999999999998E-2</v>
      </c>
      <c r="H117" s="22">
        <f t="shared" si="43"/>
        <v>8.0600000000000005E-2</v>
      </c>
      <c r="J117" t="str">
        <f t="shared" si="44"/>
        <v>Manure management</v>
      </c>
      <c r="K117" t="str">
        <f t="shared" si="45"/>
        <v>CH4</v>
      </c>
      <c r="L117" s="21">
        <v>13.47</v>
      </c>
      <c r="M117" t="s">
        <v>144</v>
      </c>
      <c r="N117" s="22">
        <f t="shared" si="46"/>
        <v>0.70043999999999995</v>
      </c>
      <c r="P117" t="str">
        <f t="shared" si="47"/>
        <v>Manure management</v>
      </c>
      <c r="Q117" t="str">
        <f t="shared" si="48"/>
        <v>N2O</v>
      </c>
      <c r="R117" s="21">
        <v>20.7</v>
      </c>
      <c r="S117" t="s">
        <v>311</v>
      </c>
      <c r="T117" s="22">
        <f t="shared" si="49"/>
        <v>1.0764</v>
      </c>
    </row>
    <row r="118" spans="1:20" x14ac:dyDescent="0.25">
      <c r="A118" s="14" t="s">
        <v>261</v>
      </c>
      <c r="B118" t="str">
        <f t="shared" si="41"/>
        <v>Enteric fermentation</v>
      </c>
      <c r="C118" t="str">
        <f t="shared" si="42"/>
        <v>CH4</v>
      </c>
      <c r="D118" s="21">
        <v>2.15</v>
      </c>
      <c r="E118" t="s">
        <v>144</v>
      </c>
      <c r="F118" s="21">
        <v>296484</v>
      </c>
      <c r="G118">
        <f t="shared" si="50"/>
        <v>0.186</v>
      </c>
      <c r="H118" s="22">
        <f t="shared" si="43"/>
        <v>0.39989999999999998</v>
      </c>
      <c r="J118" t="str">
        <f t="shared" si="44"/>
        <v>Manure management</v>
      </c>
      <c r="K118" t="str">
        <f t="shared" si="45"/>
        <v>CH4</v>
      </c>
      <c r="L118" s="21">
        <v>18.71</v>
      </c>
      <c r="M118" t="s">
        <v>144</v>
      </c>
      <c r="N118" s="22">
        <f t="shared" si="46"/>
        <v>3.4800599999999999</v>
      </c>
      <c r="P118" t="str">
        <f t="shared" si="47"/>
        <v>Manure management</v>
      </c>
      <c r="Q118" t="str">
        <f t="shared" si="48"/>
        <v>N2O</v>
      </c>
      <c r="R118" s="21">
        <v>20.7</v>
      </c>
      <c r="S118" t="s">
        <v>311</v>
      </c>
      <c r="T118" s="22">
        <f t="shared" si="49"/>
        <v>3.8501999999999996</v>
      </c>
    </row>
    <row r="119" spans="1:20" x14ac:dyDescent="0.25">
      <c r="A119" s="14" t="s">
        <v>262</v>
      </c>
      <c r="B119" t="str">
        <f t="shared" si="41"/>
        <v>Enteric fermentation</v>
      </c>
      <c r="C119" t="str">
        <f t="shared" si="42"/>
        <v>CH4</v>
      </c>
      <c r="D119" s="21">
        <v>4.09</v>
      </c>
      <c r="E119" t="s">
        <v>144</v>
      </c>
      <c r="F119" s="21">
        <v>52602</v>
      </c>
      <c r="G119">
        <f t="shared" si="50"/>
        <v>3.3000000000000002E-2</v>
      </c>
      <c r="H119" s="22">
        <f t="shared" si="43"/>
        <v>0.13497000000000001</v>
      </c>
      <c r="J119" t="str">
        <f t="shared" si="44"/>
        <v>Manure management</v>
      </c>
      <c r="K119" t="str">
        <f t="shared" si="45"/>
        <v>CH4</v>
      </c>
      <c r="L119" s="21">
        <v>35.549999999999997</v>
      </c>
      <c r="M119" t="s">
        <v>144</v>
      </c>
      <c r="N119" s="22">
        <f t="shared" si="46"/>
        <v>1.1731499999999999</v>
      </c>
      <c r="P119" t="str">
        <f t="shared" si="47"/>
        <v>Manure management</v>
      </c>
      <c r="Q119" t="str">
        <f t="shared" si="48"/>
        <v>N2O</v>
      </c>
      <c r="R119" s="21">
        <v>20.7</v>
      </c>
      <c r="S119" t="s">
        <v>311</v>
      </c>
      <c r="T119" s="22">
        <f t="shared" si="49"/>
        <v>0.68310000000000004</v>
      </c>
    </row>
    <row r="120" spans="1:20" x14ac:dyDescent="0.25">
      <c r="A120" s="14" t="s">
        <v>263</v>
      </c>
      <c r="B120" t="str">
        <f t="shared" si="41"/>
        <v>Enteric fermentation</v>
      </c>
      <c r="C120" t="str">
        <f t="shared" si="42"/>
        <v>CH4</v>
      </c>
      <c r="D120" s="21">
        <v>0.51</v>
      </c>
      <c r="E120" t="s">
        <v>144</v>
      </c>
      <c r="F120" s="21">
        <v>446320.00000000006</v>
      </c>
      <c r="G120">
        <f t="shared" si="50"/>
        <v>0.28000000000000003</v>
      </c>
      <c r="H120" s="22">
        <f t="shared" si="43"/>
        <v>0.14280000000000001</v>
      </c>
      <c r="J120" t="str">
        <f t="shared" si="44"/>
        <v>Manure management</v>
      </c>
      <c r="K120" t="str">
        <f t="shared" si="45"/>
        <v>CH4</v>
      </c>
      <c r="L120" s="21">
        <v>17.96</v>
      </c>
      <c r="M120" t="s">
        <v>144</v>
      </c>
      <c r="N120" s="22">
        <f t="shared" si="46"/>
        <v>5.0288000000000004</v>
      </c>
      <c r="P120" t="str">
        <f t="shared" si="47"/>
        <v>Manure management</v>
      </c>
      <c r="Q120" t="str">
        <f t="shared" si="48"/>
        <v>N2O</v>
      </c>
      <c r="R120" s="21">
        <v>11.04</v>
      </c>
      <c r="S120" t="s">
        <v>311</v>
      </c>
      <c r="T120" s="22">
        <f t="shared" si="49"/>
        <v>3.0912000000000002</v>
      </c>
    </row>
    <row r="121" spans="1:20" x14ac:dyDescent="0.25">
      <c r="A121" s="14" t="s">
        <v>264</v>
      </c>
      <c r="B121" t="str">
        <f t="shared" si="41"/>
        <v>Enteric fermentation</v>
      </c>
      <c r="C121" t="str">
        <f t="shared" si="42"/>
        <v>CH4</v>
      </c>
      <c r="D121" s="21">
        <v>0.43</v>
      </c>
      <c r="E121" t="s">
        <v>144</v>
      </c>
      <c r="F121" s="21">
        <v>526020</v>
      </c>
      <c r="G121">
        <f t="shared" si="50"/>
        <v>0.33</v>
      </c>
      <c r="H121" s="22">
        <f t="shared" si="43"/>
        <v>0.1419</v>
      </c>
      <c r="J121" t="str">
        <f t="shared" si="44"/>
        <v>Manure management</v>
      </c>
      <c r="K121" t="str">
        <f t="shared" si="45"/>
        <v>CH4</v>
      </c>
      <c r="L121" s="21">
        <v>3.74</v>
      </c>
      <c r="M121" t="s">
        <v>144</v>
      </c>
      <c r="N121" s="22">
        <f t="shared" si="46"/>
        <v>1.2342000000000002</v>
      </c>
      <c r="P121" t="str">
        <f t="shared" si="47"/>
        <v>Manure management</v>
      </c>
      <c r="Q121" t="str">
        <f t="shared" si="48"/>
        <v>N2O</v>
      </c>
      <c r="R121" s="21">
        <v>11.04</v>
      </c>
      <c r="S121" t="s">
        <v>311</v>
      </c>
      <c r="T121" s="22">
        <f t="shared" si="49"/>
        <v>3.6431999999999998</v>
      </c>
    </row>
    <row r="122" spans="1:20" x14ac:dyDescent="0.25">
      <c r="A122" s="14" t="s">
        <v>265</v>
      </c>
      <c r="B122" t="str">
        <f t="shared" si="41"/>
        <v>Enteric fermentation</v>
      </c>
      <c r="C122" t="str">
        <f t="shared" si="42"/>
        <v>CH4</v>
      </c>
      <c r="D122" s="21">
        <v>2.41</v>
      </c>
      <c r="E122" t="s">
        <v>144</v>
      </c>
      <c r="F122" s="21">
        <v>9564</v>
      </c>
      <c r="G122">
        <f t="shared" si="50"/>
        <v>6.0000000000000001E-3</v>
      </c>
      <c r="H122" s="22">
        <f t="shared" si="43"/>
        <v>1.4460000000000001E-2</v>
      </c>
      <c r="J122" t="str">
        <f t="shared" si="44"/>
        <v>Manure management</v>
      </c>
      <c r="K122" t="str">
        <f t="shared" si="45"/>
        <v>CH4</v>
      </c>
      <c r="L122" s="21">
        <v>20.96</v>
      </c>
      <c r="M122" t="s">
        <v>144</v>
      </c>
      <c r="N122" s="22">
        <f t="shared" si="46"/>
        <v>0.12576000000000001</v>
      </c>
      <c r="P122" t="str">
        <f t="shared" si="47"/>
        <v>Manure management</v>
      </c>
      <c r="Q122" t="str">
        <f t="shared" si="48"/>
        <v>N2O</v>
      </c>
      <c r="R122" s="21">
        <v>12.25</v>
      </c>
      <c r="S122" t="s">
        <v>311</v>
      </c>
      <c r="T122" s="22">
        <f t="shared" si="49"/>
        <v>7.3499999999999996E-2</v>
      </c>
    </row>
    <row r="123" spans="1:20" x14ac:dyDescent="0.25">
      <c r="A123" s="14" t="s">
        <v>266</v>
      </c>
      <c r="B123" t="str">
        <f t="shared" si="41"/>
        <v>Enteric fermentation</v>
      </c>
      <c r="C123" t="str">
        <f t="shared" si="42"/>
        <v>CH4</v>
      </c>
      <c r="D123" s="21">
        <v>2.41</v>
      </c>
      <c r="E123" t="s">
        <v>144</v>
      </c>
      <c r="F123" s="21">
        <v>82888</v>
      </c>
      <c r="G123">
        <f t="shared" si="50"/>
        <v>5.1999999999999998E-2</v>
      </c>
      <c r="H123" s="22">
        <f t="shared" si="43"/>
        <v>0.12532000000000001</v>
      </c>
      <c r="J123" t="str">
        <f t="shared" si="44"/>
        <v>Manure management</v>
      </c>
      <c r="K123" t="str">
        <f t="shared" si="45"/>
        <v>CH4</v>
      </c>
      <c r="L123" s="21">
        <v>20.96</v>
      </c>
      <c r="M123" t="s">
        <v>144</v>
      </c>
      <c r="N123" s="22">
        <f t="shared" si="46"/>
        <v>1.08992</v>
      </c>
      <c r="P123" t="str">
        <f t="shared" si="47"/>
        <v>Manure management</v>
      </c>
      <c r="Q123" t="str">
        <f t="shared" si="48"/>
        <v>N2O</v>
      </c>
      <c r="R123" s="21">
        <v>12.23</v>
      </c>
      <c r="S123" t="s">
        <v>311</v>
      </c>
      <c r="T123" s="22">
        <f t="shared" si="49"/>
        <v>0.63595999999999997</v>
      </c>
    </row>
    <row r="124" spans="1:20" x14ac:dyDescent="0.25">
      <c r="A124" s="14" t="s">
        <v>267</v>
      </c>
      <c r="B124" t="str">
        <f t="shared" si="41"/>
        <v>Enteric fermentation</v>
      </c>
      <c r="C124" t="str">
        <f t="shared" si="42"/>
        <v>CH4</v>
      </c>
      <c r="D124" s="21">
        <v>0.79</v>
      </c>
      <c r="E124" t="s">
        <v>144</v>
      </c>
      <c r="F124" s="21">
        <v>7701.5822103987002</v>
      </c>
      <c r="G124">
        <f>F124/SUM($F$124:$F$133)</f>
        <v>3.6999999999999998E-2</v>
      </c>
      <c r="H124" s="22">
        <f t="shared" si="43"/>
        <v>2.9229999999999999E-2</v>
      </c>
      <c r="J124" t="str">
        <f t="shared" si="44"/>
        <v>Manure management</v>
      </c>
      <c r="K124" t="str">
        <f t="shared" si="45"/>
        <v>CH4</v>
      </c>
      <c r="L124" s="21">
        <v>0.46</v>
      </c>
      <c r="M124" t="s">
        <v>144</v>
      </c>
      <c r="N124" s="22">
        <f t="shared" si="46"/>
        <v>1.702E-2</v>
      </c>
      <c r="P124" t="str">
        <f t="shared" si="47"/>
        <v>Manure management</v>
      </c>
      <c r="Q124" t="str">
        <f t="shared" si="48"/>
        <v>N2O</v>
      </c>
      <c r="R124" s="21">
        <v>11.04</v>
      </c>
      <c r="S124" t="s">
        <v>311</v>
      </c>
      <c r="T124" s="22">
        <f t="shared" si="49"/>
        <v>0.40847999999999995</v>
      </c>
    </row>
    <row r="125" spans="1:20" x14ac:dyDescent="0.25">
      <c r="A125" s="14" t="s">
        <v>268</v>
      </c>
      <c r="B125" t="str">
        <f t="shared" si="41"/>
        <v>Enteric fermentation</v>
      </c>
      <c r="C125" t="str">
        <f t="shared" si="42"/>
        <v>CH4</v>
      </c>
      <c r="D125" s="21">
        <v>1.55</v>
      </c>
      <c r="E125" t="s">
        <v>144</v>
      </c>
      <c r="F125" s="21">
        <v>3746.7156699236921</v>
      </c>
      <c r="G125">
        <f t="shared" ref="G125:G133" si="51">F125/SUM($F$124:$F$133)</f>
        <v>1.7999999999999999E-2</v>
      </c>
      <c r="H125" s="22">
        <f t="shared" si="43"/>
        <v>2.7899999999999998E-2</v>
      </c>
      <c r="J125" t="str">
        <f t="shared" si="44"/>
        <v>Manure management</v>
      </c>
      <c r="K125" t="str">
        <f t="shared" si="45"/>
        <v>CH4</v>
      </c>
      <c r="L125" s="21">
        <v>0.37</v>
      </c>
      <c r="M125" t="s">
        <v>144</v>
      </c>
      <c r="N125" s="22">
        <f t="shared" si="46"/>
        <v>6.6599999999999993E-3</v>
      </c>
      <c r="P125" t="str">
        <f t="shared" si="47"/>
        <v>Manure management</v>
      </c>
      <c r="Q125" t="str">
        <f t="shared" si="48"/>
        <v>N2O</v>
      </c>
      <c r="R125" s="21">
        <v>14.59</v>
      </c>
      <c r="S125" t="s">
        <v>311</v>
      </c>
      <c r="T125" s="22">
        <f t="shared" si="49"/>
        <v>0.26261999999999996</v>
      </c>
    </row>
    <row r="126" spans="1:20" x14ac:dyDescent="0.25">
      <c r="A126" s="14" t="s">
        <v>269</v>
      </c>
      <c r="B126" t="str">
        <f t="shared" si="41"/>
        <v>Enteric fermentation</v>
      </c>
      <c r="C126" t="str">
        <f t="shared" si="42"/>
        <v>CH4</v>
      </c>
      <c r="D126" s="21">
        <v>1.55</v>
      </c>
      <c r="E126" t="s">
        <v>144</v>
      </c>
      <c r="F126" s="21">
        <v>1873.357834961846</v>
      </c>
      <c r="G126">
        <f t="shared" si="51"/>
        <v>8.9999999999999993E-3</v>
      </c>
      <c r="H126" s="22">
        <f t="shared" si="43"/>
        <v>1.3949999999999999E-2</v>
      </c>
      <c r="J126" t="str">
        <f t="shared" si="44"/>
        <v>Manure management</v>
      </c>
      <c r="K126" t="str">
        <f t="shared" si="45"/>
        <v>CH4</v>
      </c>
      <c r="L126" s="21">
        <v>0.37</v>
      </c>
      <c r="M126" t="s">
        <v>144</v>
      </c>
      <c r="N126" s="22">
        <f t="shared" si="46"/>
        <v>3.3299999999999996E-3</v>
      </c>
      <c r="P126" t="str">
        <f t="shared" si="47"/>
        <v>Manure management</v>
      </c>
      <c r="Q126" t="str">
        <f t="shared" si="48"/>
        <v>N2O</v>
      </c>
      <c r="R126" s="21">
        <v>14.59</v>
      </c>
      <c r="S126" t="s">
        <v>311</v>
      </c>
      <c r="T126" s="22">
        <f t="shared" si="49"/>
        <v>0.13130999999999998</v>
      </c>
    </row>
    <row r="127" spans="1:20" x14ac:dyDescent="0.25">
      <c r="A127" s="14" t="s">
        <v>270</v>
      </c>
      <c r="B127" t="str">
        <f t="shared" si="41"/>
        <v>Enteric fermentation</v>
      </c>
      <c r="C127" t="str">
        <f t="shared" si="42"/>
        <v>CH4</v>
      </c>
      <c r="D127" s="21">
        <v>1.24</v>
      </c>
      <c r="E127" t="s">
        <v>144</v>
      </c>
      <c r="F127" s="21">
        <v>15819.466161900034</v>
      </c>
      <c r="G127">
        <f t="shared" si="51"/>
        <v>7.5999999999999998E-2</v>
      </c>
      <c r="H127" s="22">
        <f t="shared" si="43"/>
        <v>9.423999999999999E-2</v>
      </c>
      <c r="J127" t="str">
        <f t="shared" si="44"/>
        <v>Manure management</v>
      </c>
      <c r="K127" t="str">
        <f t="shared" si="45"/>
        <v>CH4</v>
      </c>
      <c r="L127" s="21">
        <v>0.3</v>
      </c>
      <c r="M127" t="s">
        <v>144</v>
      </c>
      <c r="N127" s="22">
        <f t="shared" si="46"/>
        <v>2.2799999999999997E-2</v>
      </c>
      <c r="P127" t="str">
        <f t="shared" si="47"/>
        <v>Manure management</v>
      </c>
      <c r="Q127" t="str">
        <f t="shared" si="48"/>
        <v>N2O</v>
      </c>
      <c r="R127" s="21">
        <v>20.7</v>
      </c>
      <c r="S127" t="s">
        <v>311</v>
      </c>
      <c r="T127" s="22">
        <f t="shared" si="49"/>
        <v>1.5731999999999999</v>
      </c>
    </row>
    <row r="128" spans="1:20" x14ac:dyDescent="0.25">
      <c r="A128" s="14" t="s">
        <v>271</v>
      </c>
      <c r="B128" t="str">
        <f t="shared" si="41"/>
        <v>Enteric fermentation</v>
      </c>
      <c r="C128" t="str">
        <f t="shared" si="42"/>
        <v>CH4</v>
      </c>
      <c r="D128" s="21">
        <v>1.72</v>
      </c>
      <c r="E128" t="s">
        <v>144</v>
      </c>
      <c r="F128" s="21">
        <v>57033.338531060654</v>
      </c>
      <c r="G128">
        <f t="shared" si="51"/>
        <v>0.27400000000000002</v>
      </c>
      <c r="H128" s="22">
        <f t="shared" si="43"/>
        <v>0.47128000000000003</v>
      </c>
      <c r="J128" t="str">
        <f t="shared" si="44"/>
        <v>Manure management</v>
      </c>
      <c r="K128" t="str">
        <f t="shared" si="45"/>
        <v>CH4</v>
      </c>
      <c r="L128" s="21">
        <v>0.42</v>
      </c>
      <c r="M128" t="s">
        <v>144</v>
      </c>
      <c r="N128" s="22">
        <f t="shared" si="46"/>
        <v>0.11508</v>
      </c>
      <c r="P128" t="str">
        <f t="shared" si="47"/>
        <v>Manure management</v>
      </c>
      <c r="Q128" t="str">
        <f t="shared" si="48"/>
        <v>N2O</v>
      </c>
      <c r="R128" s="21">
        <v>20.7</v>
      </c>
      <c r="S128" t="s">
        <v>311</v>
      </c>
      <c r="T128" s="22">
        <f t="shared" si="49"/>
        <v>5.6718000000000002</v>
      </c>
    </row>
    <row r="129" spans="1:20" x14ac:dyDescent="0.25">
      <c r="A129" s="14" t="s">
        <v>272</v>
      </c>
      <c r="B129" t="str">
        <f t="shared" si="41"/>
        <v>Enteric fermentation</v>
      </c>
      <c r="C129" t="str">
        <f t="shared" si="42"/>
        <v>CH4</v>
      </c>
      <c r="D129" s="21">
        <v>3.27</v>
      </c>
      <c r="E129" t="s">
        <v>144</v>
      </c>
      <c r="F129" s="21">
        <v>10199.392657014496</v>
      </c>
      <c r="G129">
        <f t="shared" si="51"/>
        <v>4.9000000000000002E-2</v>
      </c>
      <c r="H129" s="22">
        <f t="shared" si="43"/>
        <v>0.16023000000000001</v>
      </c>
      <c r="J129" t="str">
        <f t="shared" si="44"/>
        <v>Manure management</v>
      </c>
      <c r="K129" t="str">
        <f t="shared" si="45"/>
        <v>CH4</v>
      </c>
      <c r="L129" s="21">
        <v>0.79</v>
      </c>
      <c r="M129" t="s">
        <v>144</v>
      </c>
      <c r="N129" s="22">
        <f t="shared" si="46"/>
        <v>3.8710000000000001E-2</v>
      </c>
      <c r="P129" t="str">
        <f t="shared" si="47"/>
        <v>Manure management</v>
      </c>
      <c r="Q129" t="str">
        <f t="shared" si="48"/>
        <v>N2O</v>
      </c>
      <c r="R129" s="21">
        <v>20.7</v>
      </c>
      <c r="S129" t="s">
        <v>311</v>
      </c>
      <c r="T129" s="22">
        <f t="shared" si="49"/>
        <v>1.0143</v>
      </c>
    </row>
    <row r="130" spans="1:20" x14ac:dyDescent="0.25">
      <c r="A130" s="14" t="s">
        <v>273</v>
      </c>
      <c r="B130" t="str">
        <f t="shared" si="41"/>
        <v>Enteric fermentation</v>
      </c>
      <c r="C130" t="str">
        <f t="shared" si="42"/>
        <v>CH4</v>
      </c>
      <c r="D130" s="21">
        <v>0.41</v>
      </c>
      <c r="E130" t="s">
        <v>144</v>
      </c>
      <c r="F130" s="21">
        <v>43087.230204122461</v>
      </c>
      <c r="G130">
        <f t="shared" si="51"/>
        <v>0.20699999999999999</v>
      </c>
      <c r="H130" s="22">
        <f t="shared" si="43"/>
        <v>8.4869999999999987E-2</v>
      </c>
      <c r="J130" t="str">
        <f t="shared" si="44"/>
        <v>Manure management</v>
      </c>
      <c r="K130" t="str">
        <f t="shared" si="45"/>
        <v>CH4</v>
      </c>
      <c r="L130" s="21">
        <v>0.4</v>
      </c>
      <c r="M130" t="s">
        <v>144</v>
      </c>
      <c r="N130" s="22">
        <f t="shared" si="46"/>
        <v>8.2799999999999999E-2</v>
      </c>
      <c r="P130" t="str">
        <f t="shared" si="47"/>
        <v>Manure management</v>
      </c>
      <c r="Q130" t="str">
        <f t="shared" si="48"/>
        <v>N2O</v>
      </c>
      <c r="R130" s="21">
        <v>11.04</v>
      </c>
      <c r="S130" t="s">
        <v>311</v>
      </c>
      <c r="T130" s="22">
        <f t="shared" si="49"/>
        <v>2.2852799999999998</v>
      </c>
    </row>
    <row r="131" spans="1:20" x14ac:dyDescent="0.25">
      <c r="A131" s="14" t="s">
        <v>274</v>
      </c>
      <c r="B131" t="str">
        <f t="shared" si="41"/>
        <v>Enteric fermentation</v>
      </c>
      <c r="C131" t="str">
        <f t="shared" si="42"/>
        <v>CH4</v>
      </c>
      <c r="D131" s="21">
        <v>0.34</v>
      </c>
      <c r="E131" t="s">
        <v>144</v>
      </c>
      <c r="F131" s="21">
        <v>50996.963285072481</v>
      </c>
      <c r="G131">
        <f t="shared" si="51"/>
        <v>0.245</v>
      </c>
      <c r="H131" s="22">
        <f t="shared" si="43"/>
        <v>8.3299999999999999E-2</v>
      </c>
      <c r="J131" t="str">
        <f t="shared" si="44"/>
        <v>Manure management</v>
      </c>
      <c r="K131" t="str">
        <f t="shared" si="45"/>
        <v>CH4</v>
      </c>
      <c r="L131" s="21">
        <v>0.08</v>
      </c>
      <c r="M131" t="s">
        <v>144</v>
      </c>
      <c r="N131" s="22">
        <f t="shared" si="46"/>
        <v>1.9599999999999999E-2</v>
      </c>
      <c r="P131" t="str">
        <f t="shared" si="47"/>
        <v>Manure management</v>
      </c>
      <c r="Q131" t="str">
        <f t="shared" si="48"/>
        <v>N2O</v>
      </c>
      <c r="R131" s="21">
        <v>11.04</v>
      </c>
      <c r="S131" t="s">
        <v>311</v>
      </c>
      <c r="T131" s="22">
        <f t="shared" si="49"/>
        <v>2.7047999999999996</v>
      </c>
    </row>
    <row r="132" spans="1:20" x14ac:dyDescent="0.25">
      <c r="A132" s="14" t="s">
        <v>275</v>
      </c>
      <c r="B132" t="str">
        <f t="shared" si="41"/>
        <v>Enteric fermentation</v>
      </c>
      <c r="C132" t="str">
        <f t="shared" si="42"/>
        <v>CH4</v>
      </c>
      <c r="D132" s="21">
        <v>1.93</v>
      </c>
      <c r="E132" t="s">
        <v>144</v>
      </c>
      <c r="F132" s="21">
        <v>1873.357834961846</v>
      </c>
      <c r="G132">
        <f t="shared" si="51"/>
        <v>8.9999999999999993E-3</v>
      </c>
      <c r="H132" s="22">
        <f t="shared" si="43"/>
        <v>1.7369999999999997E-2</v>
      </c>
      <c r="J132" t="str">
        <f t="shared" si="44"/>
        <v>Manure management</v>
      </c>
      <c r="K132" t="str">
        <f t="shared" si="45"/>
        <v>CH4</v>
      </c>
      <c r="L132" s="21">
        <v>0.46</v>
      </c>
      <c r="M132" t="s">
        <v>144</v>
      </c>
      <c r="N132" s="22">
        <f t="shared" si="46"/>
        <v>4.1399999999999996E-3</v>
      </c>
      <c r="P132" t="str">
        <f t="shared" si="47"/>
        <v>Manure management</v>
      </c>
      <c r="Q132" t="str">
        <f t="shared" si="48"/>
        <v>N2O</v>
      </c>
      <c r="R132" s="21">
        <v>12.25</v>
      </c>
      <c r="S132" t="s">
        <v>311</v>
      </c>
      <c r="T132" s="22">
        <f t="shared" si="49"/>
        <v>0.11024999999999999</v>
      </c>
    </row>
    <row r="133" spans="1:20" x14ac:dyDescent="0.25">
      <c r="A133" s="14" t="s">
        <v>276</v>
      </c>
      <c r="B133" t="str">
        <f t="shared" si="41"/>
        <v>Enteric fermentation</v>
      </c>
      <c r="C133" t="str">
        <f t="shared" si="42"/>
        <v>CH4</v>
      </c>
      <c r="D133" s="21">
        <v>1.93</v>
      </c>
      <c r="E133" t="s">
        <v>144</v>
      </c>
      <c r="F133" s="21">
        <v>15819.466161900034</v>
      </c>
      <c r="G133">
        <f t="shared" si="51"/>
        <v>7.5999999999999998E-2</v>
      </c>
      <c r="H133" s="22">
        <f t="shared" si="43"/>
        <v>0.14668</v>
      </c>
      <c r="J133" t="str">
        <f t="shared" si="44"/>
        <v>Manure management</v>
      </c>
      <c r="K133" t="str">
        <f t="shared" si="45"/>
        <v>CH4</v>
      </c>
      <c r="L133" s="21">
        <v>0.46</v>
      </c>
      <c r="M133" t="s">
        <v>144</v>
      </c>
      <c r="N133" s="22">
        <f t="shared" si="46"/>
        <v>3.4959999999999998E-2</v>
      </c>
      <c r="P133" t="str">
        <f t="shared" si="47"/>
        <v>Manure management</v>
      </c>
      <c r="Q133" t="str">
        <f t="shared" si="48"/>
        <v>N2O</v>
      </c>
      <c r="R133" s="21">
        <v>12.23</v>
      </c>
      <c r="S133" t="s">
        <v>311</v>
      </c>
      <c r="T133" s="22">
        <f t="shared" si="49"/>
        <v>0.92947999999999997</v>
      </c>
    </row>
    <row r="134" spans="1:20" x14ac:dyDescent="0.25">
      <c r="A134" s="13" t="s">
        <v>288</v>
      </c>
      <c r="M134" s="13"/>
    </row>
    <row r="135" spans="1:20" x14ac:dyDescent="0.25">
      <c r="A135" s="14" t="s">
        <v>289</v>
      </c>
      <c r="F135" s="21">
        <v>88431266.728296682</v>
      </c>
      <c r="J135" t="str">
        <f t="shared" ref="J135:J138" si="52">$J$5</f>
        <v>Manure management</v>
      </c>
      <c r="K135" t="str">
        <f t="shared" ref="K135:K138" si="53">$K$5</f>
        <v>CH4</v>
      </c>
      <c r="L135" s="21">
        <v>2.35E-2</v>
      </c>
      <c r="M135" t="s">
        <v>144</v>
      </c>
      <c r="N135" s="22">
        <f>L135</f>
        <v>2.35E-2</v>
      </c>
      <c r="P135" t="str">
        <f t="shared" ref="P135:P138" si="54">$P$5</f>
        <v>Manure management</v>
      </c>
      <c r="Q135" t="str">
        <f t="shared" ref="Q135:Q138" si="55">$Q$5</f>
        <v>N2O</v>
      </c>
      <c r="R135" s="21">
        <v>0.7</v>
      </c>
      <c r="S135" t="s">
        <v>311</v>
      </c>
      <c r="T135" s="22">
        <f>R135</f>
        <v>0.7</v>
      </c>
    </row>
    <row r="136" spans="1:20" x14ac:dyDescent="0.25">
      <c r="A136" s="14" t="s">
        <v>290</v>
      </c>
      <c r="F136" s="21">
        <v>23091061.215630483</v>
      </c>
      <c r="J136" t="str">
        <f t="shared" si="52"/>
        <v>Manure management</v>
      </c>
      <c r="K136" t="str">
        <f t="shared" si="53"/>
        <v>CH4</v>
      </c>
      <c r="L136" s="21">
        <v>2.35E-2</v>
      </c>
      <c r="M136" t="s">
        <v>144</v>
      </c>
      <c r="N136" s="22">
        <f t="shared" ref="N136:N138" si="56">L136</f>
        <v>2.35E-2</v>
      </c>
      <c r="P136" t="str">
        <f t="shared" si="54"/>
        <v>Manure management</v>
      </c>
      <c r="Q136" t="str">
        <f t="shared" si="55"/>
        <v>N2O</v>
      </c>
      <c r="R136" s="21">
        <v>0.6</v>
      </c>
      <c r="S136" t="s">
        <v>311</v>
      </c>
      <c r="T136" s="22">
        <f t="shared" ref="T136:T138" si="57">R136</f>
        <v>0.6</v>
      </c>
    </row>
    <row r="137" spans="1:20" x14ac:dyDescent="0.25">
      <c r="A137" s="14" t="s">
        <v>291</v>
      </c>
      <c r="F137" s="21">
        <v>3714113.2025884609</v>
      </c>
      <c r="J137" t="str">
        <f t="shared" si="52"/>
        <v>Manure management</v>
      </c>
      <c r="K137" t="str">
        <f t="shared" si="53"/>
        <v>CH4</v>
      </c>
      <c r="L137" s="21">
        <v>2.35E-2</v>
      </c>
      <c r="M137" t="s">
        <v>144</v>
      </c>
      <c r="N137" s="22">
        <f t="shared" si="56"/>
        <v>2.35E-2</v>
      </c>
      <c r="P137" t="str">
        <f t="shared" si="54"/>
        <v>Manure management</v>
      </c>
      <c r="Q137" t="str">
        <f t="shared" si="55"/>
        <v>N2O</v>
      </c>
      <c r="R137" s="21">
        <v>0.7</v>
      </c>
      <c r="S137" t="s">
        <v>311</v>
      </c>
      <c r="T137" s="22">
        <f t="shared" si="57"/>
        <v>0.7</v>
      </c>
    </row>
    <row r="138" spans="1:20" x14ac:dyDescent="0.25">
      <c r="A138" s="14" t="s">
        <v>292</v>
      </c>
      <c r="F138" s="21">
        <v>969824.57105648029</v>
      </c>
      <c r="J138" t="str">
        <f t="shared" si="52"/>
        <v>Manure management</v>
      </c>
      <c r="K138" t="str">
        <f t="shared" si="53"/>
        <v>CH4</v>
      </c>
      <c r="L138" s="21">
        <v>2.35E-2</v>
      </c>
      <c r="M138" t="s">
        <v>144</v>
      </c>
      <c r="N138" s="22">
        <f t="shared" si="56"/>
        <v>2.35E-2</v>
      </c>
      <c r="P138" t="str">
        <f t="shared" si="54"/>
        <v>Manure management</v>
      </c>
      <c r="Q138" t="str">
        <f t="shared" si="55"/>
        <v>N2O</v>
      </c>
      <c r="R138" s="21">
        <v>0.6</v>
      </c>
      <c r="S138" t="s">
        <v>311</v>
      </c>
      <c r="T138" s="22">
        <f t="shared" si="57"/>
        <v>0.6</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rgb="FF92D050"/>
  </sheetPr>
  <dimension ref="A1:BV187"/>
  <sheetViews>
    <sheetView workbookViewId="0">
      <pane xSplit="7" ySplit="3" topLeftCell="H171" activePane="bottomRight" state="frozen"/>
      <selection pane="topRight" activeCell="H1" sqref="H1"/>
      <selection pane="bottomLeft" activeCell="A4" sqref="A4"/>
      <selection pane="bottomRight" activeCell="H123" sqref="H123:H134"/>
    </sheetView>
  </sheetViews>
  <sheetFormatPr defaultRowHeight="15" x14ac:dyDescent="0.25"/>
  <cols>
    <col min="1" max="1" width="15.42578125" customWidth="1"/>
    <col min="2" max="2" width="31" customWidth="1"/>
    <col min="3" max="3" width="27.7109375" customWidth="1"/>
    <col min="4" max="4" width="48.42578125" customWidth="1"/>
    <col min="5" max="5" width="33.28515625" customWidth="1"/>
    <col min="6" max="6" width="7.5703125" customWidth="1"/>
    <col min="7" max="7" width="14" customWidth="1"/>
    <col min="8" max="35" width="9.7109375" customWidth="1"/>
    <col min="36" max="36" width="9.5703125" customWidth="1"/>
    <col min="51" max="52" width="9.42578125" customWidth="1"/>
    <col min="53" max="53" width="9.7109375" customWidth="1"/>
  </cols>
  <sheetData>
    <row r="1" spans="1:74" ht="18.75" x14ac:dyDescent="0.3">
      <c r="A1" s="1" t="s">
        <v>658</v>
      </c>
    </row>
    <row r="3" spans="1:74" s="19" customFormat="1" ht="15.75" x14ac:dyDescent="0.25">
      <c r="A3" s="17" t="s">
        <v>4</v>
      </c>
      <c r="B3" s="17" t="s">
        <v>313</v>
      </c>
      <c r="C3" s="17" t="s">
        <v>315</v>
      </c>
      <c r="D3" s="17" t="s">
        <v>149</v>
      </c>
      <c r="E3" s="17" t="s">
        <v>150</v>
      </c>
      <c r="F3" s="17" t="s">
        <v>5</v>
      </c>
      <c r="G3" s="17" t="s">
        <v>0</v>
      </c>
      <c r="H3" s="17">
        <v>1990</v>
      </c>
      <c r="I3" s="17">
        <v>1991</v>
      </c>
      <c r="J3" s="17">
        <v>1992</v>
      </c>
      <c r="K3" s="17">
        <v>1993</v>
      </c>
      <c r="L3" s="17">
        <v>1994</v>
      </c>
      <c r="M3" s="17">
        <v>1995</v>
      </c>
      <c r="N3" s="17">
        <v>1996</v>
      </c>
      <c r="O3" s="17">
        <v>1997</v>
      </c>
      <c r="P3" s="17">
        <v>1998</v>
      </c>
      <c r="Q3" s="17">
        <v>1999</v>
      </c>
      <c r="R3" s="17">
        <v>2000</v>
      </c>
      <c r="S3" s="17">
        <v>2001</v>
      </c>
      <c r="T3" s="17">
        <v>2002</v>
      </c>
      <c r="U3" s="17">
        <v>2003</v>
      </c>
      <c r="V3" s="17">
        <v>2004</v>
      </c>
      <c r="W3" s="17">
        <v>2005</v>
      </c>
      <c r="X3" s="17">
        <v>2006</v>
      </c>
      <c r="Y3" s="17">
        <v>2007</v>
      </c>
      <c r="Z3" s="17">
        <v>2008</v>
      </c>
      <c r="AA3" s="17">
        <v>2009</v>
      </c>
      <c r="AB3" s="17">
        <v>2010</v>
      </c>
      <c r="AC3" s="17">
        <v>2011</v>
      </c>
      <c r="AD3" s="17">
        <v>2012</v>
      </c>
      <c r="AE3" s="17">
        <v>2013</v>
      </c>
      <c r="AF3" s="17">
        <v>2014</v>
      </c>
      <c r="AG3" s="17">
        <v>2015</v>
      </c>
      <c r="AH3" s="17">
        <v>2016</v>
      </c>
      <c r="AI3" s="17">
        <v>2017</v>
      </c>
      <c r="AJ3" s="17">
        <v>2018</v>
      </c>
      <c r="AK3" s="17">
        <v>2019</v>
      </c>
      <c r="AL3" s="17">
        <v>2020</v>
      </c>
      <c r="AM3" s="17">
        <v>2021</v>
      </c>
      <c r="AN3" s="17">
        <v>2022</v>
      </c>
      <c r="AO3" s="17">
        <v>2023</v>
      </c>
      <c r="AP3" s="17">
        <v>2024</v>
      </c>
      <c r="AQ3" s="17">
        <v>2025</v>
      </c>
      <c r="AR3" s="17">
        <v>2026</v>
      </c>
      <c r="AS3" s="17">
        <v>2027</v>
      </c>
      <c r="AT3" s="17">
        <v>2028</v>
      </c>
      <c r="AU3" s="17">
        <v>2029</v>
      </c>
      <c r="AV3" s="17">
        <v>2030</v>
      </c>
      <c r="AW3" s="17">
        <v>2031</v>
      </c>
      <c r="AX3" s="17">
        <v>2032</v>
      </c>
      <c r="AY3" s="17">
        <v>2033</v>
      </c>
      <c r="AZ3" s="17">
        <v>2034</v>
      </c>
      <c r="BA3" s="17">
        <v>2035</v>
      </c>
      <c r="BB3" s="17">
        <v>2036</v>
      </c>
      <c r="BC3" s="17">
        <v>2037</v>
      </c>
      <c r="BD3" s="17">
        <v>2038</v>
      </c>
      <c r="BE3" s="17">
        <v>2039</v>
      </c>
      <c r="BF3" s="17">
        <v>2040</v>
      </c>
      <c r="BG3" s="17">
        <v>2041</v>
      </c>
      <c r="BH3" s="17">
        <v>2042</v>
      </c>
      <c r="BI3" s="17">
        <v>2043</v>
      </c>
      <c r="BJ3" s="17">
        <v>2044</v>
      </c>
      <c r="BK3" s="17">
        <v>2045</v>
      </c>
      <c r="BL3" s="17">
        <v>2046</v>
      </c>
      <c r="BM3" s="17">
        <v>2047</v>
      </c>
      <c r="BN3" s="17">
        <v>2048</v>
      </c>
      <c r="BO3" s="17">
        <v>2049</v>
      </c>
      <c r="BP3" s="17">
        <v>2050</v>
      </c>
      <c r="BQ3" s="17"/>
      <c r="BR3" s="17"/>
      <c r="BS3" s="17"/>
      <c r="BT3" s="17"/>
      <c r="BU3" s="17"/>
      <c r="BV3" s="17"/>
    </row>
    <row r="4" spans="1:74" x14ac:dyDescent="0.25">
      <c r="A4" t="str">
        <f>'IPCC Categories'!A5</f>
        <v>3A Livestock</v>
      </c>
      <c r="B4" t="str">
        <f>'IPCC Categories'!B5</f>
        <v>3A1 Enteric fermentation (CH4)</v>
      </c>
      <c r="C4" t="str">
        <f>EF!C4</f>
        <v>3A1ai Dairy cattle</v>
      </c>
      <c r="D4" t="str">
        <f>EF!D4</f>
        <v>TMR</v>
      </c>
      <c r="E4" t="str">
        <f>'IPCC Categories'!F5&amp;" Emissions"</f>
        <v>Enteric fermentation Emissions</v>
      </c>
      <c r="F4" t="s">
        <v>121</v>
      </c>
      <c r="G4" t="s">
        <v>286</v>
      </c>
      <c r="H4" s="28">
        <f>IF(('Activity data'!H5*EF!$H4)*kgtoGg=0,"NO",('Activity data'!H5*EF!$H4)*kgtoGg)</f>
        <v>59.718917014778661</v>
      </c>
      <c r="I4" s="28">
        <f>IF(('Activity data'!I5*EF!$H4)*kgtoGg=0,"NO",('Activity data'!I5*EF!$H4)*kgtoGg)</f>
        <v>68.751985275543859</v>
      </c>
      <c r="J4" s="28">
        <f>IF(('Activity data'!J5*EF!$H4)*kgtoGg=0,"NO",('Activity data'!J5*EF!$H4)*kgtoGg)</f>
        <v>59.479363059114746</v>
      </c>
      <c r="K4" s="28">
        <f>IF(('Activity data'!K5*EF!$H4)*kgtoGg=0,"NO",('Activity data'!K5*EF!$H4)*kgtoGg)</f>
        <v>63.083438863990956</v>
      </c>
      <c r="L4" s="28">
        <f>IF(('Activity data'!L5*EF!$H4)*kgtoGg=0,"NO",('Activity data'!L5*EF!$H4)*kgtoGg)</f>
        <v>58.521147236459079</v>
      </c>
      <c r="M4" s="28">
        <f>IF(('Activity data'!M5*EF!$H4)*kgtoGg=0,"NO",('Activity data'!M5*EF!$H4)*kgtoGg)</f>
        <v>62.604330952663126</v>
      </c>
      <c r="N4" s="28">
        <f>IF(('Activity data'!N5*EF!$H4)*kgtoGg=0,"NO",('Activity data'!N5*EF!$H4)*kgtoGg)</f>
        <v>62.843884908327048</v>
      </c>
      <c r="O4" s="28">
        <f>IF(('Activity data'!O5*EF!$H4)*kgtoGg=0,"NO",('Activity data'!O5*EF!$H4)*kgtoGg)</f>
        <v>60.585617843135758</v>
      </c>
      <c r="P4" s="28">
        <f>IF(('Activity data'!P5*EF!$H4)*kgtoGg=0,"NO",('Activity data'!P5*EF!$H4)*kgtoGg)</f>
        <v>59.866955976144006</v>
      </c>
      <c r="Q4" s="28">
        <f>IF(('Activity data'!Q5*EF!$H4)*kgtoGg=0,"NO",('Activity data'!Q5*EF!$H4)*kgtoGg)</f>
        <v>58.80645868927229</v>
      </c>
      <c r="R4" s="28">
        <f>IF(('Activity data'!R5*EF!$H4)*kgtoGg=0,"NO",('Activity data'!R5*EF!$H4)*kgtoGg)</f>
        <v>75.720582929632371</v>
      </c>
      <c r="S4" s="28">
        <f>IF(('Activity data'!S5*EF!$H4)*kgtoGg=0,"NO",('Activity data'!S5*EF!$H4)*kgtoGg)</f>
        <v>75.481028973968449</v>
      </c>
      <c r="T4" s="28">
        <f>IF(('Activity data'!T5*EF!$H4)*kgtoGg=0,"NO",('Activity data'!T5*EF!$H4)*kgtoGg)</f>
        <v>65.820813840510098</v>
      </c>
      <c r="U4" s="28">
        <f>IF(('Activity data'!U5*EF!$H4)*kgtoGg=0,"NO",('Activity data'!U5*EF!$H4)*kgtoGg)</f>
        <v>59.866955976144006</v>
      </c>
      <c r="V4" s="28">
        <f>IF(('Activity data'!V5*EF!$H4)*kgtoGg=0,"NO",('Activity data'!V5*EF!$H4)*kgtoGg)</f>
        <v>57.802485369467341</v>
      </c>
      <c r="W4" s="28">
        <f>IF(('Activity data'!W5*EF!$H4)*kgtoGg=0,"NO",('Activity data'!W5*EF!$H4)*kgtoGg)</f>
        <v>61.885669085671374</v>
      </c>
      <c r="X4" s="28">
        <f>IF(('Activity data'!X5*EF!$H4)*kgtoGg=0,"NO",('Activity data'!X5*EF!$H4)*kgtoGg)</f>
        <v>60.539860345986469</v>
      </c>
      <c r="Y4" s="28">
        <f>IF(('Activity data'!Y5*EF!$H4)*kgtoGg=0,"NO",('Activity data'!Y5*EF!$H4)*kgtoGg)</f>
        <v>60.106509931807928</v>
      </c>
      <c r="Z4" s="28">
        <f>IF(('Activity data'!Z5*EF!$H4)*kgtoGg=0,"NO",('Activity data'!Z5*EF!$H4)*kgtoGg)</f>
        <v>73.610354825806411</v>
      </c>
      <c r="AA4" s="28">
        <f>IF(('Activity data'!AA5*EF!$H4)*kgtoGg=0,"NO",('Activity data'!AA5*EF!$H4)*kgtoGg)</f>
        <v>75.435271476819167</v>
      </c>
      <c r="AB4" s="28">
        <f>IF(('Activity data'!AB5*EF!$H4)*kgtoGg=0,"NO",('Activity data'!AB5*EF!$H4)*kgtoGg)</f>
        <v>75.435271476819167</v>
      </c>
      <c r="AC4" s="28">
        <f>IF(('Activity data'!AC5*EF!$H4)*kgtoGg=0,"NO",('Activity data'!AC5*EF!$H4)*kgtoGg)</f>
        <v>72.697896500300033</v>
      </c>
      <c r="AD4" s="28">
        <f>IF(('Activity data'!AD5*EF!$H4)*kgtoGg=0,"NO",('Activity data'!AD5*EF!$H4)*kgtoGg)</f>
        <v>72.250246135049295</v>
      </c>
      <c r="AE4" s="28">
        <f>IF(('Activity data'!AE5*EF!$H4)*kgtoGg=0,"NO",('Activity data'!AE5*EF!$H4)*kgtoGg)</f>
        <v>72.78094866673446</v>
      </c>
      <c r="AF4" s="28">
        <f>IF(('Activity data'!AF5*EF!$H4)*kgtoGg=0,"NO",('Activity data'!AF5*EF!$H4)*kgtoGg)</f>
        <v>73.178506209147812</v>
      </c>
      <c r="AG4" s="28">
        <f>IF(('Activity data'!AG5*EF!$H4)*kgtoGg=0,"NO",('Activity data'!AG5*EF!$H4)*kgtoGg)</f>
        <v>73.482239297653422</v>
      </c>
      <c r="AH4" s="28">
        <f>IF(('Activity data'!AH5*EF!$H4)*kgtoGg=0,"NO",('Activity data'!AH5*EF!$H4)*kgtoGg)</f>
        <v>73.682315909996376</v>
      </c>
      <c r="AI4" s="28">
        <f>IF(('Activity data'!AI5*EF!$H4)*kgtoGg=0,"NO",('Activity data'!AI5*EF!$H4)*kgtoGg)</f>
        <v>74.091336655226982</v>
      </c>
      <c r="AJ4" s="28">
        <f>IF(('Activity data'!AJ5*EF!$H4)*kgtoGg=0,"NO",('Activity data'!AJ5*EF!$H4)*kgtoGg)</f>
        <v>74.483402287078803</v>
      </c>
      <c r="AK4" s="28">
        <f>IF(('Activity data'!AK5*EF!$H4)*kgtoGg=0,"NO",('Activity data'!AK5*EF!$H4)*kgtoGg)</f>
        <v>74.882126366542067</v>
      </c>
      <c r="AL4" s="28">
        <f>IF(('Activity data'!AL5*EF!$H4)*kgtoGg=0,"NO",('Activity data'!AL5*EF!$H4)*kgtoGg)</f>
        <v>72.506171994341585</v>
      </c>
      <c r="AM4" s="28">
        <f>IF(('Activity data'!AM5*EF!$H4)*kgtoGg=0,"NO",('Activity data'!AM5*EF!$H4)*kgtoGg)</f>
        <v>73.17373398809309</v>
      </c>
      <c r="AN4" s="28">
        <f>IF(('Activity data'!AN5*EF!$H4)*kgtoGg=0,"NO",('Activity data'!AN5*EF!$H4)*kgtoGg)</f>
        <v>73.820820745542093</v>
      </c>
      <c r="AO4" s="28">
        <f>IF(('Activity data'!AO5*EF!$H4)*kgtoGg=0,"NO",('Activity data'!AO5*EF!$H4)*kgtoGg)</f>
        <v>74.495886975710206</v>
      </c>
      <c r="AP4" s="28">
        <f>IF(('Activity data'!AP5*EF!$H4)*kgtoGg=0,"NO",('Activity data'!AP5*EF!$H4)*kgtoGg)</f>
        <v>75.234188186984397</v>
      </c>
      <c r="AQ4" s="28">
        <f>IF(('Activity data'!AQ5*EF!$H4)*kgtoGg=0,"NO",('Activity data'!AQ5*EF!$H4)*kgtoGg)</f>
        <v>76.060929205410517</v>
      </c>
      <c r="AR4" s="28">
        <f>IF(('Activity data'!AR5*EF!$H4)*kgtoGg=0,"NO",('Activity data'!AR5*EF!$H4)*kgtoGg)</f>
        <v>76.878403464954602</v>
      </c>
      <c r="AS4" s="28">
        <f>IF(('Activity data'!AS5*EF!$H4)*kgtoGg=0,"NO",('Activity data'!AS5*EF!$H4)*kgtoGg)</f>
        <v>77.758575471128736</v>
      </c>
      <c r="AT4" s="28">
        <f>IF(('Activity data'!AT5*EF!$H4)*kgtoGg=0,"NO",('Activity data'!AT5*EF!$H4)*kgtoGg)</f>
        <v>78.707140600109753</v>
      </c>
      <c r="AU4" s="28">
        <f>IF(('Activity data'!AU5*EF!$H4)*kgtoGg=0,"NO",('Activity data'!AU5*EF!$H4)*kgtoGg)</f>
        <v>79.778470662279815</v>
      </c>
      <c r="AV4" s="28">
        <f>IF(('Activity data'!AV5*EF!$H4)*kgtoGg=0,"NO",('Activity data'!AV5*EF!$H4)*kgtoGg)</f>
        <v>80.852190247780882</v>
      </c>
      <c r="AW4" s="28">
        <f>IF(('Activity data'!AW5*EF!$H4)*kgtoGg=0,"NO",('Activity data'!AW5*EF!$H4)*kgtoGg)</f>
        <v>82.064144518756009</v>
      </c>
      <c r="AX4" s="28">
        <f>IF(('Activity data'!AX5*EF!$H4)*kgtoGg=0,"NO",('Activity data'!AX5*EF!$H4)*kgtoGg)</f>
        <v>83.326247822844721</v>
      </c>
      <c r="AY4" s="28">
        <f>IF(('Activity data'!AY5*EF!$H4)*kgtoGg=0,"NO",('Activity data'!AY5*EF!$H4)*kgtoGg)</f>
        <v>84.633070785919728</v>
      </c>
      <c r="AZ4" s="28">
        <f>IF(('Activity data'!AZ5*EF!$H4)*kgtoGg=0,"NO",('Activity data'!AZ5*EF!$H4)*kgtoGg)</f>
        <v>85.978817370685903</v>
      </c>
      <c r="BA4" s="28">
        <f>IF(('Activity data'!BA5*EF!$H4)*kgtoGg=0,"NO",('Activity data'!BA5*EF!$H4)*kgtoGg)</f>
        <v>87.239498606836378</v>
      </c>
      <c r="BB4" s="28">
        <f>IF(('Activity data'!BB5*EF!$H4)*kgtoGg=0,"NO",('Activity data'!BB5*EF!$H4)*kgtoGg)</f>
        <v>88.521078828118974</v>
      </c>
      <c r="BC4" s="28">
        <f>IF(('Activity data'!BC5*EF!$H4)*kgtoGg=0,"NO",('Activity data'!BC5*EF!$H4)*kgtoGg)</f>
        <v>89.897047519865097</v>
      </c>
      <c r="BD4" s="28">
        <f>IF(('Activity data'!BD5*EF!$H4)*kgtoGg=0,"NO",('Activity data'!BD5*EF!$H4)*kgtoGg)</f>
        <v>91.342666248175249</v>
      </c>
      <c r="BE4" s="28">
        <f>IF(('Activity data'!BE5*EF!$H4)*kgtoGg=0,"NO",('Activity data'!BE5*EF!$H4)*kgtoGg)</f>
        <v>92.766205734876763</v>
      </c>
      <c r="BF4" s="28">
        <f>IF(('Activity data'!BF5*EF!$H4)*kgtoGg=0,"NO",('Activity data'!BF5*EF!$H4)*kgtoGg)</f>
        <v>94.2178202925259</v>
      </c>
      <c r="BG4" s="28">
        <f>IF(('Activity data'!BG5*EF!$H4)*kgtoGg=0,"NO",('Activity data'!BG5*EF!$H4)*kgtoGg)</f>
        <v>95.692137334718836</v>
      </c>
      <c r="BH4" s="28">
        <f>IF(('Activity data'!BH5*EF!$H4)*kgtoGg=0,"NO",('Activity data'!BH5*EF!$H4)*kgtoGg)</f>
        <v>97.243127180844638</v>
      </c>
      <c r="BI4" s="28">
        <f>IF(('Activity data'!BI5*EF!$H4)*kgtoGg=0,"NO",('Activity data'!BI5*EF!$H4)*kgtoGg)</f>
        <v>98.888140396023985</v>
      </c>
      <c r="BJ4" s="28">
        <f>IF(('Activity data'!BJ5*EF!$H4)*kgtoGg=0,"NO",('Activity data'!BJ5*EF!$H4)*kgtoGg)</f>
        <v>100.62079104208838</v>
      </c>
      <c r="BK4" s="28">
        <f>IF(('Activity data'!BK5*EF!$H4)*kgtoGg=0,"NO",('Activity data'!BK5*EF!$H4)*kgtoGg)</f>
        <v>102.4776448469508</v>
      </c>
      <c r="BL4" s="28">
        <f>IF(('Activity data'!BL5*EF!$H4)*kgtoGg=0,"NO",('Activity data'!BL5*EF!$H4)*kgtoGg)</f>
        <v>104.40290953524405</v>
      </c>
      <c r="BM4" s="28">
        <f>IF(('Activity data'!BM5*EF!$H4)*kgtoGg=0,"NO",('Activity data'!BM5*EF!$H4)*kgtoGg)</f>
        <v>106.41717969728053</v>
      </c>
      <c r="BN4" s="28">
        <f>IF(('Activity data'!BN5*EF!$H4)*kgtoGg=0,"NO",('Activity data'!BN5*EF!$H4)*kgtoGg)</f>
        <v>108.42897718475791</v>
      </c>
      <c r="BO4" s="28">
        <f>IF(('Activity data'!BO5*EF!$H4)*kgtoGg=0,"NO",('Activity data'!BO5*EF!$H4)*kgtoGg)</f>
        <v>110.53797345675611</v>
      </c>
      <c r="BP4" s="28">
        <f>IF(('Activity data'!BP5*EF!$H4)*kgtoGg=0,"NO",('Activity data'!BP5*EF!$H4)*kgtoGg)</f>
        <v>112.76760217913024</v>
      </c>
    </row>
    <row r="5" spans="1:74" x14ac:dyDescent="0.25">
      <c r="A5" t="str">
        <f>A4</f>
        <v>3A Livestock</v>
      </c>
      <c r="B5" t="str">
        <f>B4</f>
        <v>3A1 Enteric fermentation (CH4)</v>
      </c>
      <c r="C5" t="str">
        <f>EF!C5</f>
        <v>3A1ai Dairy cattle</v>
      </c>
      <c r="D5" t="str">
        <f>EF!D5</f>
        <v>Pasture</v>
      </c>
      <c r="E5" t="str">
        <f t="shared" ref="E5:G6" si="0">E4</f>
        <v>Enteric fermentation Emissions</v>
      </c>
      <c r="F5" t="str">
        <f t="shared" si="0"/>
        <v>CH4</v>
      </c>
      <c r="G5" t="str">
        <f t="shared" si="0"/>
        <v>Gg CH4</v>
      </c>
      <c r="H5" s="28">
        <f>IF(('Activity data'!H6*EF!$H5)*kgtoGg=0,"NO",('Activity data'!H6*EF!$H5)*kgtoGg)</f>
        <v>47.244302499713584</v>
      </c>
      <c r="I5" s="28">
        <f>IF(('Activity data'!I6*EF!$H5)*kgtoGg=0,"NO",('Activity data'!I6*EF!$H5)*kgtoGg)</f>
        <v>54.390463728768381</v>
      </c>
      <c r="J5" s="28">
        <f>IF(('Activity data'!J6*EF!$H5)*kgtoGg=0,"NO",('Activity data'!J6*EF!$H5)*kgtoGg)</f>
        <v>47.054788688811946</v>
      </c>
      <c r="K5" s="28">
        <f>IF(('Activity data'!K6*EF!$H5)*kgtoGg=0,"NO",('Activity data'!K6*EF!$H5)*kgtoGg)</f>
        <v>49.90601332698369</v>
      </c>
      <c r="L5" s="28">
        <f>IF(('Activity data'!L6*EF!$H5)*kgtoGg=0,"NO",('Activity data'!L6*EF!$H5)*kgtoGg)</f>
        <v>46.296733445205426</v>
      </c>
      <c r="M5" s="28">
        <f>IF(('Activity data'!M6*EF!$H5)*kgtoGg=0,"NO",('Activity data'!M6*EF!$H5)*kgtoGg)</f>
        <v>49.526985705180429</v>
      </c>
      <c r="N5" s="28">
        <f>IF(('Activity data'!N6*EF!$H5)*kgtoGg=0,"NO",('Activity data'!N6*EF!$H5)*kgtoGg)</f>
        <v>49.71649951608206</v>
      </c>
      <c r="O5" s="28">
        <f>IF(('Activity data'!O6*EF!$H5)*kgtoGg=0,"NO",('Activity data'!O6*EF!$H5)*kgtoGg)</f>
        <v>47.929959208818367</v>
      </c>
      <c r="P5" s="28">
        <f>IF(('Activity data'!P6*EF!$H5)*kgtoGg=0,"NO",('Activity data'!P6*EF!$H5)*kgtoGg)</f>
        <v>47.36141777611347</v>
      </c>
      <c r="Q5" s="28">
        <f>IF(('Activity data'!Q6*EF!$H5)*kgtoGg=0,"NO",('Activity data'!Q6*EF!$H5)*kgtoGg)</f>
        <v>46.522446523357921</v>
      </c>
      <c r="R5" s="28">
        <f>IF(('Activity data'!R6*EF!$H5)*kgtoGg=0,"NO",('Activity data'!R6*EF!$H5)*kgtoGg)</f>
        <v>59.903399194210245</v>
      </c>
      <c r="S5" s="28">
        <f>IF(('Activity data'!S6*EF!$H5)*kgtoGg=0,"NO",('Activity data'!S6*EF!$H5)*kgtoGg)</f>
        <v>59.713885383308607</v>
      </c>
      <c r="T5" s="28">
        <f>IF(('Activity data'!T6*EF!$H5)*kgtoGg=0,"NO",('Activity data'!T6*EF!$H5)*kgtoGg)</f>
        <v>52.071581256050649</v>
      </c>
      <c r="U5" s="28">
        <f>IF(('Activity data'!U6*EF!$H5)*kgtoGg=0,"NO",('Activity data'!U6*EF!$H5)*kgtoGg)</f>
        <v>47.36141777611347</v>
      </c>
      <c r="V5" s="28">
        <f>IF(('Activity data'!V6*EF!$H5)*kgtoGg=0,"NO",('Activity data'!V6*EF!$H5)*kgtoGg)</f>
        <v>45.728192012500521</v>
      </c>
      <c r="W5" s="28">
        <f>IF(('Activity data'!W6*EF!$H5)*kgtoGg=0,"NO",('Activity data'!W6*EF!$H5)*kgtoGg)</f>
        <v>48.958444272475539</v>
      </c>
      <c r="X5" s="28">
        <f>IF(('Activity data'!X6*EF!$H5)*kgtoGg=0,"NO",('Activity data'!X6*EF!$H5)*kgtoGg)</f>
        <v>47.893759941567488</v>
      </c>
      <c r="Y5" s="28">
        <f>IF(('Activity data'!Y6*EF!$H5)*kgtoGg=0,"NO",('Activity data'!Y6*EF!$H5)*kgtoGg)</f>
        <v>47.550931587015107</v>
      </c>
      <c r="Z5" s="28">
        <f>IF(('Activity data'!Z6*EF!$H5)*kgtoGg=0,"NO",('Activity data'!Z6*EF!$H5)*kgtoGg)</f>
        <v>58.233974163346424</v>
      </c>
      <c r="AA5" s="28">
        <f>IF(('Activity data'!AA6*EF!$H5)*kgtoGg=0,"NO",('Activity data'!AA6*EF!$H5)*kgtoGg)</f>
        <v>59.677686116057721</v>
      </c>
      <c r="AB5" s="28">
        <f>IF(('Activity data'!AB6*EF!$H5)*kgtoGg=0,"NO",('Activity data'!AB6*EF!$H5)*kgtoGg)</f>
        <v>59.677686116057721</v>
      </c>
      <c r="AC5" s="28">
        <f>IF(('Activity data'!AC6*EF!$H5)*kgtoGg=0,"NO",('Activity data'!AC6*EF!$H5)*kgtoGg)</f>
        <v>57.512118186990755</v>
      </c>
      <c r="AD5" s="28">
        <f>IF(('Activity data'!AD6*EF!$H5)*kgtoGg=0,"NO",('Activity data'!AD6*EF!$H5)*kgtoGg)</f>
        <v>57.786942937051094</v>
      </c>
      <c r="AE5" s="28">
        <f>IF(('Activity data'!AE6*EF!$H5)*kgtoGg=0,"NO",('Activity data'!AE6*EF!$H5)*kgtoGg)</f>
        <v>58.211407607492696</v>
      </c>
      <c r="AF5" s="28">
        <f>IF(('Activity data'!AF6*EF!$H5)*kgtoGg=0,"NO",('Activity data'!AF6*EF!$H5)*kgtoGg)</f>
        <v>58.529380711344722</v>
      </c>
      <c r="AG5" s="28">
        <f>IF(('Activity data'!AG6*EF!$H5)*kgtoGg=0,"NO",('Activity data'!AG6*EF!$H5)*kgtoGg)</f>
        <v>58.772311463729444</v>
      </c>
      <c r="AH5" s="28">
        <f>IF(('Activity data'!AH6*EF!$H5)*kgtoGg=0,"NO",('Activity data'!AH6*EF!$H5)*kgtoGg)</f>
        <v>58.932336050481553</v>
      </c>
      <c r="AI5" s="28">
        <f>IF(('Activity data'!AI6*EF!$H5)*kgtoGg=0,"NO",('Activity data'!AI6*EF!$H5)*kgtoGg)</f>
        <v>59.259477613716257</v>
      </c>
      <c r="AJ5" s="28">
        <f>IF(('Activity data'!AJ6*EF!$H5)*kgtoGg=0,"NO",('Activity data'!AJ6*EF!$H5)*kgtoGg)</f>
        <v>59.573058196584462</v>
      </c>
      <c r="AK5" s="28">
        <f>IF(('Activity data'!AK6*EF!$H5)*kgtoGg=0,"NO",('Activity data'!AK6*EF!$H5)*kgtoGg)</f>
        <v>59.891964316080625</v>
      </c>
      <c r="AL5" s="28">
        <f>IF(('Activity data'!AL6*EF!$H5)*kgtoGg=0,"NO",('Activity data'!AL6*EF!$H5)*kgtoGg)</f>
        <v>57.991636676078571</v>
      </c>
      <c r="AM5" s="28">
        <f>IF(('Activity data'!AM6*EF!$H5)*kgtoGg=0,"NO",('Activity data'!AM6*EF!$H5)*kgtoGg)</f>
        <v>58.525563809942668</v>
      </c>
      <c r="AN5" s="28">
        <f>IF(('Activity data'!AN6*EF!$H5)*kgtoGg=0,"NO",('Activity data'!AN6*EF!$H5)*kgtoGg)</f>
        <v>59.043114510851446</v>
      </c>
      <c r="AO5" s="28">
        <f>IF(('Activity data'!AO6*EF!$H5)*kgtoGg=0,"NO",('Activity data'!AO6*EF!$H5)*kgtoGg)</f>
        <v>59.583043657231627</v>
      </c>
      <c r="AP5" s="28">
        <f>IF(('Activity data'!AP6*EF!$H5)*kgtoGg=0,"NO",('Activity data'!AP6*EF!$H5)*kgtoGg)</f>
        <v>60.173549188334043</v>
      </c>
      <c r="AQ5" s="28">
        <f>IF(('Activity data'!AQ6*EF!$H5)*kgtoGg=0,"NO",('Activity data'!AQ6*EF!$H5)*kgtoGg)</f>
        <v>60.83479034128748</v>
      </c>
      <c r="AR5" s="28">
        <f>IF(('Activity data'!AR6*EF!$H5)*kgtoGg=0,"NO",('Activity data'!AR6*EF!$H5)*kgtoGg)</f>
        <v>61.488619787079017</v>
      </c>
      <c r="AS5" s="28">
        <f>IF(('Activity data'!AS6*EF!$H5)*kgtoGg=0,"NO",('Activity data'!AS6*EF!$H5)*kgtoGg)</f>
        <v>62.192595928565147</v>
      </c>
      <c r="AT5" s="28">
        <f>IF(('Activity data'!AT6*EF!$H5)*kgtoGg=0,"NO",('Activity data'!AT6*EF!$H5)*kgtoGg)</f>
        <v>62.951274021897085</v>
      </c>
      <c r="AU5" s="28">
        <f>IF(('Activity data'!AU6*EF!$H5)*kgtoGg=0,"NO",('Activity data'!AU6*EF!$H5)*kgtoGg)</f>
        <v>63.808141541125316</v>
      </c>
      <c r="AV5" s="28">
        <f>IF(('Activity data'!AV6*EF!$H5)*kgtoGg=0,"NO",('Activity data'!AV6*EF!$H5)*kgtoGg)</f>
        <v>64.666920240671431</v>
      </c>
      <c r="AW5" s="28">
        <f>IF(('Activity data'!AW6*EF!$H5)*kgtoGg=0,"NO",('Activity data'!AW6*EF!$H5)*kgtoGg)</f>
        <v>65.636261330087876</v>
      </c>
      <c r="AX5" s="28">
        <f>IF(('Activity data'!AX6*EF!$H5)*kgtoGg=0,"NO",('Activity data'!AX6*EF!$H5)*kgtoGg)</f>
        <v>66.645712446388757</v>
      </c>
      <c r="AY5" s="28">
        <f>IF(('Activity data'!AY6*EF!$H5)*kgtoGg=0,"NO",('Activity data'!AY6*EF!$H5)*kgtoGg)</f>
        <v>67.690931086265593</v>
      </c>
      <c r="AZ5" s="28">
        <f>IF(('Activity data'!AZ6*EF!$H5)*kgtoGg=0,"NO",('Activity data'!AZ6*EF!$H5)*kgtoGg)</f>
        <v>68.767281483138348</v>
      </c>
      <c r="BA5" s="28">
        <f>IF(('Activity data'!BA6*EF!$H5)*kgtoGg=0,"NO",('Activity data'!BA6*EF!$H5)*kgtoGg)</f>
        <v>69.775595205960357</v>
      </c>
      <c r="BB5" s="28">
        <f>IF(('Activity data'!BB6*EF!$H5)*kgtoGg=0,"NO",('Activity data'!BB6*EF!$H5)*kgtoGg)</f>
        <v>70.800624283066639</v>
      </c>
      <c r="BC5" s="28">
        <f>IF(('Activity data'!BC6*EF!$H5)*kgtoGg=0,"NO",('Activity data'!BC6*EF!$H5)*kgtoGg)</f>
        <v>71.901146821418635</v>
      </c>
      <c r="BD5" s="28">
        <f>IF(('Activity data'!BD6*EF!$H5)*kgtoGg=0,"NO",('Activity data'!BD6*EF!$H5)*kgtoGg)</f>
        <v>73.057376612047221</v>
      </c>
      <c r="BE5" s="28">
        <f>IF(('Activity data'!BE6*EF!$H5)*kgtoGg=0,"NO",('Activity data'!BE6*EF!$H5)*kgtoGg)</f>
        <v>74.195947059722883</v>
      </c>
      <c r="BF5" s="28">
        <f>IF(('Activity data'!BF6*EF!$H5)*kgtoGg=0,"NO",('Activity data'!BF6*EF!$H5)*kgtoGg)</f>
        <v>75.35697241391567</v>
      </c>
      <c r="BG5" s="28">
        <f>IF(('Activity data'!BG6*EF!$H5)*kgtoGg=0,"NO",('Activity data'!BG6*EF!$H5)*kgtoGg)</f>
        <v>76.536155591078526</v>
      </c>
      <c r="BH5" s="28">
        <f>IF(('Activity data'!BH6*EF!$H5)*kgtoGg=0,"NO",('Activity data'!BH6*EF!$H5)*kgtoGg)</f>
        <v>77.77666294611906</v>
      </c>
      <c r="BI5" s="28">
        <f>IF(('Activity data'!BI6*EF!$H5)*kgtoGg=0,"NO",('Activity data'!BI6*EF!$H5)*kgtoGg)</f>
        <v>79.092371748253484</v>
      </c>
      <c r="BJ5" s="28">
        <f>IF(('Activity data'!BJ6*EF!$H5)*kgtoGg=0,"NO",('Activity data'!BJ6*EF!$H5)*kgtoGg)</f>
        <v>80.478174418417638</v>
      </c>
      <c r="BK5" s="28">
        <f>IF(('Activity data'!BK6*EF!$H5)*kgtoGg=0,"NO",('Activity data'!BK6*EF!$H5)*kgtoGg)</f>
        <v>81.963316831129461</v>
      </c>
      <c r="BL5" s="28">
        <f>IF(('Activity data'!BL6*EF!$H5)*kgtoGg=0,"NO",('Activity data'!BL6*EF!$H5)*kgtoGg)</f>
        <v>83.503175400928185</v>
      </c>
      <c r="BM5" s="28">
        <f>IF(('Activity data'!BM6*EF!$H5)*kgtoGg=0,"NO",('Activity data'!BM6*EF!$H5)*kgtoGg)</f>
        <v>85.11422202208206</v>
      </c>
      <c r="BN5" s="28">
        <f>IF(('Activity data'!BN6*EF!$H5)*kgtoGg=0,"NO",('Activity data'!BN6*EF!$H5)*kgtoGg)</f>
        <v>86.723290957189292</v>
      </c>
      <c r="BO5" s="28">
        <f>IF(('Activity data'!BO6*EF!$H5)*kgtoGg=0,"NO",('Activity data'!BO6*EF!$H5)*kgtoGg)</f>
        <v>88.410101089249039</v>
      </c>
      <c r="BP5" s="28">
        <f>IF(('Activity data'!BP6*EF!$H5)*kgtoGg=0,"NO",('Activity data'!BP6*EF!$H5)*kgtoGg)</f>
        <v>90.193395052148631</v>
      </c>
    </row>
    <row r="6" spans="1:74" x14ac:dyDescent="0.25">
      <c r="A6" t="str">
        <f t="shared" ref="A6:A53" si="1">A5</f>
        <v>3A Livestock</v>
      </c>
      <c r="B6" t="str">
        <f t="shared" ref="B6:B17" si="2">B5</f>
        <v>3A1 Enteric fermentation (CH4)</v>
      </c>
      <c r="C6" t="str">
        <f>EF!C6</f>
        <v>3A1aii Other cattle</v>
      </c>
      <c r="D6" t="str">
        <f>EF!D6</f>
        <v>Non-lactating</v>
      </c>
      <c r="E6" t="str">
        <f t="shared" si="0"/>
        <v>Enteric fermentation Emissions</v>
      </c>
      <c r="F6" t="str">
        <f t="shared" si="0"/>
        <v>CH4</v>
      </c>
      <c r="G6" t="str">
        <f t="shared" si="0"/>
        <v>Gg CH4</v>
      </c>
      <c r="H6" s="28">
        <f>IF(('Activity data'!H7*EF!$H6)*kgtoGg=0,"NO",('Activity data'!H7*EF!$H6)*kgtoGg)</f>
        <v>25.216780378245733</v>
      </c>
      <c r="I6" s="28">
        <f>IF(('Activity data'!I7*EF!$H6)*kgtoGg=0,"NO",('Activity data'!I7*EF!$H6)*kgtoGg)</f>
        <v>28.66289621274522</v>
      </c>
      <c r="J6" s="28">
        <f>IF(('Activity data'!J7*EF!$H6)*kgtoGg=0,"NO",('Activity data'!J7*EF!$H6)*kgtoGg)</f>
        <v>24.793479863671994</v>
      </c>
      <c r="K6" s="28">
        <f>IF(('Activity data'!K7*EF!$H6)*kgtoGg=0,"NO",('Activity data'!K7*EF!$H6)*kgtoGg)</f>
        <v>25.947161118330968</v>
      </c>
      <c r="L6" s="28">
        <f>IF(('Activity data'!L7*EF!$H6)*kgtoGg=0,"NO",('Activity data'!L7*EF!$H6)*kgtoGg)</f>
        <v>23.100277805377079</v>
      </c>
      <c r="M6" s="28">
        <f>IF(('Activity data'!M7*EF!$H6)*kgtoGg=0,"NO",('Activity data'!M7*EF!$H6)*kgtoGg)</f>
        <v>25.100560089183503</v>
      </c>
      <c r="N6" s="28">
        <f>IF(('Activity data'!N7*EF!$H6)*kgtoGg=0,"NO",('Activity data'!N7*EF!$H6)*kgtoGg)</f>
        <v>25.523860603757235</v>
      </c>
      <c r="O6" s="28">
        <f>IF(('Activity data'!O7*EF!$H6)*kgtoGg=0,"NO",('Activity data'!O7*EF!$H6)*kgtoGg)</f>
        <v>24.662331645132362</v>
      </c>
      <c r="P6" s="28">
        <f>IF(('Activity data'!P7*EF!$H6)*kgtoGg=0,"NO",('Activity data'!P7*EF!$H6)*kgtoGg)</f>
        <v>23.392430101411172</v>
      </c>
      <c r="Q6" s="28">
        <f>IF(('Activity data'!Q7*EF!$H6)*kgtoGg=0,"NO",('Activity data'!Q7*EF!$H6)*kgtoGg)</f>
        <v>24.647403715654953</v>
      </c>
      <c r="R6" s="28">
        <f>IF(('Activity data'!R7*EF!$H6)*kgtoGg=0,"NO",('Activity data'!R7*EF!$H6)*kgtoGg)</f>
        <v>30.546958207489421</v>
      </c>
      <c r="S6" s="28">
        <f>IF(('Activity data'!S7*EF!$H6)*kgtoGg=0,"NO",('Activity data'!S7*EF!$H6)*kgtoGg)</f>
        <v>30.123657692915693</v>
      </c>
      <c r="T6" s="28">
        <f>IF(('Activity data'!T7*EF!$H6)*kgtoGg=0,"NO",('Activity data'!T7*EF!$H6)*kgtoGg)</f>
        <v>27.655291106103299</v>
      </c>
      <c r="U6" s="28">
        <f>IF(('Activity data'!U7*EF!$H6)*kgtoGg=0,"NO",('Activity data'!U7*EF!$H6)*kgtoGg)</f>
        <v>23.392430101411172</v>
      </c>
      <c r="V6" s="28">
        <f>IF(('Activity data'!V7*EF!$H6)*kgtoGg=0,"NO",('Activity data'!V7*EF!$H6)*kgtoGg)</f>
        <v>21.830376261655886</v>
      </c>
      <c r="W6" s="28">
        <f>IF(('Activity data'!W7*EF!$H6)*kgtoGg=0,"NO",('Activity data'!W7*EF!$H6)*kgtoGg)</f>
        <v>23.830658545462317</v>
      </c>
      <c r="X6" s="28">
        <f>IF(('Activity data'!X7*EF!$H6)*kgtoGg=0,"NO",('Activity data'!X7*EF!$H6)*kgtoGg)</f>
        <v>23.53850624942822</v>
      </c>
      <c r="Y6" s="28">
        <f>IF(('Activity data'!Y7*EF!$H6)*kgtoGg=0,"NO",('Activity data'!Y7*EF!$H6)*kgtoGg)</f>
        <v>23.815730615984904</v>
      </c>
      <c r="Z6" s="28">
        <f>IF(('Activity data'!Z7*EF!$H6)*kgtoGg=0,"NO",('Activity data'!Z7*EF!$H6)*kgtoGg)</f>
        <v>27.861078972029997</v>
      </c>
      <c r="AA6" s="28">
        <f>IF(('Activity data'!AA7*EF!$H6)*kgtoGg=0,"NO",('Activity data'!AA7*EF!$H6)*kgtoGg)</f>
        <v>28.999832297211544</v>
      </c>
      <c r="AB6" s="28">
        <f>IF(('Activity data'!AB7*EF!$H6)*kgtoGg=0,"NO",('Activity data'!AB7*EF!$H6)*kgtoGg)</f>
        <v>28.999832297211544</v>
      </c>
      <c r="AC6" s="28">
        <f>IF(('Activity data'!AC7*EF!$H6)*kgtoGg=0,"NO",('Activity data'!AC7*EF!$H6)*kgtoGg)</f>
        <v>27.29170230943922</v>
      </c>
      <c r="AD6" s="28">
        <f>IF(('Activity data'!AD7*EF!$H6)*kgtoGg=0,"NO",('Activity data'!AD7*EF!$H6)*kgtoGg)</f>
        <v>26.127703776819377</v>
      </c>
      <c r="AE6" s="28">
        <f>IF(('Activity data'!AE7*EF!$H6)*kgtoGg=0,"NO",('Activity data'!AE7*EF!$H6)*kgtoGg)</f>
        <v>26.31962061147707</v>
      </c>
      <c r="AF6" s="28">
        <f>IF(('Activity data'!AF7*EF!$H6)*kgtoGg=0,"NO",('Activity data'!AF7*EF!$H6)*kgtoGg)</f>
        <v>26.463388505125494</v>
      </c>
      <c r="AG6" s="28">
        <f>IF(('Activity data'!AG7*EF!$H6)*kgtoGg=0,"NO",('Activity data'!AG7*EF!$H6)*kgtoGg)</f>
        <v>26.57322685984694</v>
      </c>
      <c r="AH6" s="28">
        <f>IF(('Activity data'!AH7*EF!$H6)*kgtoGg=0,"NO",('Activity data'!AH7*EF!$H6)*kgtoGg)</f>
        <v>26.6455801422177</v>
      </c>
      <c r="AI6" s="28">
        <f>IF(('Activity data'!AI7*EF!$H6)*kgtoGg=0,"NO",('Activity data'!AI7*EF!$H6)*kgtoGg)</f>
        <v>26.793493449668361</v>
      </c>
      <c r="AJ6" s="28">
        <f>IF(('Activity data'!AJ7*EF!$H6)*kgtoGg=0,"NO",('Activity data'!AJ7*EF!$H6)*kgtoGg)</f>
        <v>26.935275315310012</v>
      </c>
      <c r="AK6" s="28">
        <f>IF(('Activity data'!AK7*EF!$H6)*kgtoGg=0,"NO",('Activity data'!AK7*EF!$H6)*kgtoGg)</f>
        <v>27.079465061285802</v>
      </c>
      <c r="AL6" s="28">
        <f>IF(('Activity data'!AL7*EF!$H6)*kgtoGg=0,"NO",('Activity data'!AL7*EF!$H6)*kgtoGg)</f>
        <v>26.220253704302227</v>
      </c>
      <c r="AM6" s="28">
        <f>IF(('Activity data'!AM7*EF!$H6)*kgtoGg=0,"NO",('Activity data'!AM7*EF!$H6)*kgtoGg)</f>
        <v>26.461662736913688</v>
      </c>
      <c r="AN6" s="28">
        <f>IF(('Activity data'!AN7*EF!$H6)*kgtoGg=0,"NO",('Activity data'!AN7*EF!$H6)*kgtoGg)</f>
        <v>26.695667353104586</v>
      </c>
      <c r="AO6" s="28">
        <f>IF(('Activity data'!AO7*EF!$H6)*kgtoGg=0,"NO",('Activity data'!AO7*EF!$H6)*kgtoGg)</f>
        <v>26.939790126867848</v>
      </c>
      <c r="AP6" s="28">
        <f>IF(('Activity data'!AP7*EF!$H6)*kgtoGg=0,"NO",('Activity data'!AP7*EF!$H6)*kgtoGg)</f>
        <v>27.206780433173275</v>
      </c>
      <c r="AQ6" s="28">
        <f>IF(('Activity data'!AQ7*EF!$H6)*kgtoGg=0,"NO",('Activity data'!AQ7*EF!$H6)*kgtoGg)</f>
        <v>27.505753039982217</v>
      </c>
      <c r="AR6" s="28">
        <f>IF(('Activity data'!AR7*EF!$H6)*kgtoGg=0,"NO",('Activity data'!AR7*EF!$H6)*kgtoGg)</f>
        <v>27.801374528366061</v>
      </c>
      <c r="AS6" s="28">
        <f>IF(('Activity data'!AS7*EF!$H6)*kgtoGg=0,"NO",('Activity data'!AS7*EF!$H6)*kgtoGg)</f>
        <v>28.119669270324195</v>
      </c>
      <c r="AT6" s="28">
        <f>IF(('Activity data'!AT7*EF!$H6)*kgtoGg=0,"NO",('Activity data'!AT7*EF!$H6)*kgtoGg)</f>
        <v>28.46269687270372</v>
      </c>
      <c r="AU6" s="28">
        <f>IF(('Activity data'!AU7*EF!$H6)*kgtoGg=0,"NO",('Activity data'!AU7*EF!$H6)*kgtoGg)</f>
        <v>28.85011969835416</v>
      </c>
      <c r="AV6" s="28">
        <f>IF(('Activity data'!AV7*EF!$H6)*kgtoGg=0,"NO",('Activity data'!AV7*EF!$H6)*kgtoGg)</f>
        <v>29.238406642275475</v>
      </c>
      <c r="AW6" s="28">
        <f>IF(('Activity data'!AW7*EF!$H6)*kgtoGg=0,"NO",('Activity data'!AW7*EF!$H6)*kgtoGg)</f>
        <v>29.676683103284347</v>
      </c>
      <c r="AX6" s="28">
        <f>IF(('Activity data'!AX7*EF!$H6)*kgtoGg=0,"NO",('Activity data'!AX7*EF!$H6)*kgtoGg)</f>
        <v>30.133094853125819</v>
      </c>
      <c r="AY6" s="28">
        <f>IF(('Activity data'!AY7*EF!$H6)*kgtoGg=0,"NO",('Activity data'!AY7*EF!$H6)*kgtoGg)</f>
        <v>30.605678478711635</v>
      </c>
      <c r="AZ6" s="28">
        <f>IF(('Activity data'!AZ7*EF!$H6)*kgtoGg=0,"NO",('Activity data'!AZ7*EF!$H6)*kgtoGg)</f>
        <v>31.092337971327257</v>
      </c>
      <c r="BA6" s="28">
        <f>IF(('Activity data'!BA7*EF!$H6)*kgtoGg=0,"NO",('Activity data'!BA7*EF!$H6)*kgtoGg)</f>
        <v>31.548235461746398</v>
      </c>
      <c r="BB6" s="28">
        <f>IF(('Activity data'!BB7*EF!$H6)*kgtoGg=0,"NO",('Activity data'!BB7*EF!$H6)*kgtoGg)</f>
        <v>32.011690607979574</v>
      </c>
      <c r="BC6" s="28">
        <f>IF(('Activity data'!BC7*EF!$H6)*kgtoGg=0,"NO",('Activity data'!BC7*EF!$H6)*kgtoGg)</f>
        <v>32.509279257254498</v>
      </c>
      <c r="BD6" s="28">
        <f>IF(('Activity data'!BD7*EF!$H6)*kgtoGg=0,"NO",('Activity data'!BD7*EF!$H6)*kgtoGg)</f>
        <v>33.032055302015777</v>
      </c>
      <c r="BE6" s="28">
        <f>IF(('Activity data'!BE7*EF!$H6)*kgtoGg=0,"NO",('Activity data'!BE7*EF!$H6)*kgtoGg)</f>
        <v>33.546846877308418</v>
      </c>
      <c r="BF6" s="28">
        <f>IF(('Activity data'!BF7*EF!$H6)*kgtoGg=0,"NO",('Activity data'!BF7*EF!$H6)*kgtoGg)</f>
        <v>34.071791181158694</v>
      </c>
      <c r="BG6" s="28">
        <f>IF(('Activity data'!BG7*EF!$H6)*kgtoGg=0,"NO",('Activity data'!BG7*EF!$H6)*kgtoGg)</f>
        <v>34.604945336502773</v>
      </c>
      <c r="BH6" s="28">
        <f>IF(('Activity data'!BH7*EF!$H6)*kgtoGg=0,"NO",('Activity data'!BH7*EF!$H6)*kgtoGg)</f>
        <v>35.165826515851052</v>
      </c>
      <c r="BI6" s="28">
        <f>IF(('Activity data'!BI7*EF!$H6)*kgtoGg=0,"NO",('Activity data'!BI7*EF!$H6)*kgtoGg)</f>
        <v>35.76070916738999</v>
      </c>
      <c r="BJ6" s="28">
        <f>IF(('Activity data'!BJ7*EF!$H6)*kgtoGg=0,"NO",('Activity data'!BJ7*EF!$H6)*kgtoGg)</f>
        <v>36.387283957799241</v>
      </c>
      <c r="BK6" s="28">
        <f>IF(('Activity data'!BK7*EF!$H6)*kgtoGg=0,"NO",('Activity data'!BK7*EF!$H6)*kgtoGg)</f>
        <v>37.058774073966056</v>
      </c>
      <c r="BL6" s="28">
        <f>IF(('Activity data'!BL7*EF!$H6)*kgtoGg=0,"NO",('Activity data'!BL7*EF!$H6)*kgtoGg)</f>
        <v>37.755003473291154</v>
      </c>
      <c r="BM6" s="28">
        <f>IF(('Activity data'!BM7*EF!$H6)*kgtoGg=0,"NO",('Activity data'!BM7*EF!$H6)*kgtoGg)</f>
        <v>38.483419733933424</v>
      </c>
      <c r="BN6" s="28">
        <f>IF(('Activity data'!BN7*EF!$H6)*kgtoGg=0,"NO",('Activity data'!BN7*EF!$H6)*kgtoGg)</f>
        <v>39.210941806501971</v>
      </c>
      <c r="BO6" s="28">
        <f>IF(('Activity data'!BO7*EF!$H6)*kgtoGg=0,"NO",('Activity data'!BO7*EF!$H6)*kgtoGg)</f>
        <v>39.973613670043953</v>
      </c>
      <c r="BP6" s="28">
        <f>IF(('Activity data'!BP7*EF!$H6)*kgtoGg=0,"NO",('Activity data'!BP7*EF!$H6)*kgtoGg)</f>
        <v>40.779909591605097</v>
      </c>
    </row>
    <row r="7" spans="1:74" x14ac:dyDescent="0.25">
      <c r="A7" t="str">
        <f t="shared" si="1"/>
        <v>3A Livestock</v>
      </c>
      <c r="B7" t="str">
        <f t="shared" si="2"/>
        <v>3A1 Enteric fermentation (CH4)</v>
      </c>
      <c r="C7" t="str">
        <f>EF!C7</f>
        <v>3A1aii Other cattle</v>
      </c>
      <c r="D7" t="str">
        <f>EF!D7</f>
        <v>Commercial</v>
      </c>
      <c r="E7" t="str">
        <f>E5</f>
        <v>Enteric fermentation Emissions</v>
      </c>
      <c r="F7" t="str">
        <f>F5</f>
        <v>CH4</v>
      </c>
      <c r="G7" t="str">
        <f>G5</f>
        <v>Gg CH4</v>
      </c>
      <c r="H7" s="28">
        <f>IF(('Activity data'!H8*EF!$H7)*kgtoGg=0,"NO",('Activity data'!H8*EF!$H7)*kgtoGg)</f>
        <v>530.30777048487039</v>
      </c>
      <c r="I7" s="28">
        <f>IF(('Activity data'!I8*EF!$H7)*kgtoGg=0,"NO",('Activity data'!I8*EF!$H7)*kgtoGg)</f>
        <v>507.4186008397914</v>
      </c>
      <c r="J7" s="28">
        <f>IF(('Activity data'!J8*EF!$H7)*kgtoGg=0,"NO",('Activity data'!J8*EF!$H7)*kgtoGg)</f>
        <v>507.23423660631244</v>
      </c>
      <c r="K7" s="28">
        <f>IF(('Activity data'!K8*EF!$H7)*kgtoGg=0,"NO",('Activity data'!K8*EF!$H7)*kgtoGg)</f>
        <v>474.53564508710184</v>
      </c>
      <c r="L7" s="28">
        <f>IF(('Activity data'!L8*EF!$H7)*kgtoGg=0,"NO",('Activity data'!L8*EF!$H7)*kgtoGg)</f>
        <v>488.84137611527626</v>
      </c>
      <c r="M7" s="28">
        <f>IF(('Activity data'!M8*EF!$H7)*kgtoGg=0,"NO",('Activity data'!M8*EF!$H7)*kgtoGg)</f>
        <v>499.9561278787649</v>
      </c>
      <c r="N7" s="28">
        <f>IF(('Activity data'!N8*EF!$H7)*kgtoGg=0,"NO",('Activity data'!N8*EF!$H7)*kgtoGg)</f>
        <v>520.69593728290613</v>
      </c>
      <c r="O7" s="28">
        <f>IF(('Activity data'!O8*EF!$H7)*kgtoGg=0,"NO",('Activity data'!O8*EF!$H7)*kgtoGg)</f>
        <v>540.42057654067605</v>
      </c>
      <c r="P7" s="28">
        <f>IF(('Activity data'!P8*EF!$H7)*kgtoGg=0,"NO",('Activity data'!P8*EF!$H7)*kgtoGg)</f>
        <v>545.10124992819794</v>
      </c>
      <c r="Q7" s="28">
        <f>IF(('Activity data'!Q8*EF!$H7)*kgtoGg=0,"NO",('Activity data'!Q8*EF!$H7)*kgtoGg)</f>
        <v>536.28054932306088</v>
      </c>
      <c r="R7" s="28">
        <f>IF(('Activity data'!R8*EF!$H7)*kgtoGg=0,"NO",('Activity data'!R8*EF!$H7)*kgtoGg)</f>
        <v>499.85033236925801</v>
      </c>
      <c r="S7" s="28">
        <f>IF(('Activity data'!S8*EF!$H7)*kgtoGg=0,"NO",('Activity data'!S8*EF!$H7)*kgtoGg)</f>
        <v>502.44776770928382</v>
      </c>
      <c r="T7" s="28">
        <f>IF(('Activity data'!T8*EF!$H7)*kgtoGg=0,"NO",('Activity data'!T8*EF!$H7)*kgtoGg)</f>
        <v>468.28593094461399</v>
      </c>
      <c r="U7" s="28">
        <f>IF(('Activity data'!U8*EF!$H7)*kgtoGg=0,"NO",('Activity data'!U8*EF!$H7)*kgtoGg)</f>
        <v>480.5348728026691</v>
      </c>
      <c r="V7" s="28">
        <f>IF(('Activity data'!V8*EF!$H7)*kgtoGg=0,"NO",('Activity data'!V8*EF!$H7)*kgtoGg)</f>
        <v>484.96505976327012</v>
      </c>
      <c r="W7" s="28">
        <f>IF(('Activity data'!W8*EF!$H7)*kgtoGg=0,"NO",('Activity data'!W8*EF!$H7)*kgtoGg)</f>
        <v>489.07863810350864</v>
      </c>
      <c r="X7" s="28">
        <f>IF(('Activity data'!X8*EF!$H7)*kgtoGg=0,"NO",('Activity data'!X8*EF!$H7)*kgtoGg)</f>
        <v>477.93743746264329</v>
      </c>
      <c r="Y7" s="28">
        <f>IF(('Activity data'!Y8*EF!$H7)*kgtoGg=0,"NO",('Activity data'!Y8*EF!$H7)*kgtoGg)</f>
        <v>491.93978430914353</v>
      </c>
      <c r="Z7" s="28">
        <f>IF(('Activity data'!Z8*EF!$H7)*kgtoGg=0,"NO",('Activity data'!Z8*EF!$H7)*kgtoGg)</f>
        <v>478.26977927550422</v>
      </c>
      <c r="AA7" s="28">
        <f>IF(('Activity data'!AA8*EF!$H7)*kgtoGg=0,"NO",('Activity data'!AA8*EF!$H7)*kgtoGg)</f>
        <v>470.23930370767658</v>
      </c>
      <c r="AB7" s="28">
        <f>IF(('Activity data'!AB8*EF!$H7)*kgtoGg=0,"NO",('Activity data'!AB8*EF!$H7)*kgtoGg)</f>
        <v>468.76105131733328</v>
      </c>
      <c r="AC7" s="28">
        <f>IF(('Activity data'!AC8*EF!$H7)*kgtoGg=0,"NO",('Activity data'!AC8*EF!$H7)*kgtoGg)</f>
        <v>467.07782660988823</v>
      </c>
      <c r="AD7" s="28">
        <f>IF(('Activity data'!AD8*EF!$H7)*kgtoGg=0,"NO",('Activity data'!AD8*EF!$H7)*kgtoGg)</f>
        <v>463.33007473292514</v>
      </c>
      <c r="AE7" s="28">
        <f>IF(('Activity data'!AE8*EF!$H7)*kgtoGg=0,"NO",('Activity data'!AE8*EF!$H7)*kgtoGg)</f>
        <v>461.7667920655918</v>
      </c>
      <c r="AF7" s="28">
        <f>IF(('Activity data'!AF8*EF!$H7)*kgtoGg=0,"NO",('Activity data'!AF8*EF!$H7)*kgtoGg)</f>
        <v>456.85060656867859</v>
      </c>
      <c r="AG7" s="28">
        <f>IF(('Activity data'!AG8*EF!$H7)*kgtoGg=0,"NO",('Activity data'!AG8*EF!$H7)*kgtoGg)</f>
        <v>449.57949256626489</v>
      </c>
      <c r="AH7" s="28">
        <f>IF(('Activity data'!AH8*EF!$H7)*kgtoGg=0,"NO",('Activity data'!AH8*EF!$H7)*kgtoGg)</f>
        <v>439.97390245993915</v>
      </c>
      <c r="AI7" s="28">
        <f>IF(('Activity data'!AI8*EF!$H7)*kgtoGg=0,"NO",('Activity data'!AI8*EF!$H7)*kgtoGg)</f>
        <v>433.68455236077932</v>
      </c>
      <c r="AJ7" s="28">
        <f>IF(('Activity data'!AJ8*EF!$H7)*kgtoGg=0,"NO",('Activity data'!AJ8*EF!$H7)*kgtoGg)</f>
        <v>426.81238624125768</v>
      </c>
      <c r="AK7" s="28">
        <f>IF(('Activity data'!AK8*EF!$H7)*kgtoGg=0,"NO",('Activity data'!AK8*EF!$H7)*kgtoGg)</f>
        <v>419.78236520433029</v>
      </c>
      <c r="AL7" s="28">
        <f>IF(('Activity data'!AL8*EF!$H7)*kgtoGg=0,"NO",('Activity data'!AL8*EF!$H7)*kgtoGg)</f>
        <v>367.78699560986962</v>
      </c>
      <c r="AM7" s="28">
        <f>IF(('Activity data'!AM8*EF!$H7)*kgtoGg=0,"NO",('Activity data'!AM8*EF!$H7)*kgtoGg)</f>
        <v>372.15762106373262</v>
      </c>
      <c r="AN7" s="28">
        <f>IF(('Activity data'!AN8*EF!$H7)*kgtoGg=0,"NO",('Activity data'!AN8*EF!$H7)*kgtoGg)</f>
        <v>375.84594616637776</v>
      </c>
      <c r="AO7" s="28">
        <f>IF(('Activity data'!AO8*EF!$H7)*kgtoGg=0,"NO",('Activity data'!AO8*EF!$H7)*kgtoGg)</f>
        <v>379.63430649440267</v>
      </c>
      <c r="AP7" s="28">
        <f>IF(('Activity data'!AP8*EF!$H7)*kgtoGg=0,"NO",('Activity data'!AP8*EF!$H7)*kgtoGg)</f>
        <v>384.05767560272892</v>
      </c>
      <c r="AQ7" s="28">
        <f>IF(('Activity data'!AQ8*EF!$H7)*kgtoGg=0,"NO",('Activity data'!AQ8*EF!$H7)*kgtoGg)</f>
        <v>389.46803882384603</v>
      </c>
      <c r="AR7" s="28">
        <f>IF(('Activity data'!AR8*EF!$H7)*kgtoGg=0,"NO",('Activity data'!AR8*EF!$H7)*kgtoGg)</f>
        <v>395.12338250677624</v>
      </c>
      <c r="AS7" s="28">
        <f>IF(('Activity data'!AS8*EF!$H7)*kgtoGg=0,"NO",('Activity data'!AS8*EF!$H7)*kgtoGg)</f>
        <v>401.33826103712869</v>
      </c>
      <c r="AT7" s="28">
        <f>IF(('Activity data'!AT8*EF!$H7)*kgtoGg=0,"NO",('Activity data'!AT8*EF!$H7)*kgtoGg)</f>
        <v>408.16958686543205</v>
      </c>
      <c r="AU7" s="28">
        <f>IF(('Activity data'!AU8*EF!$H7)*kgtoGg=0,"NO",('Activity data'!AU8*EF!$H7)*kgtoGg)</f>
        <v>416.35600040333543</v>
      </c>
      <c r="AV7" s="28">
        <f>IF(('Activity data'!AV8*EF!$H7)*kgtoGg=0,"NO",('Activity data'!AV8*EF!$H7)*kgtoGg)</f>
        <v>424.16364326928914</v>
      </c>
      <c r="AW7" s="28">
        <f>IF(('Activity data'!AW8*EF!$H7)*kgtoGg=0,"NO",('Activity data'!AW8*EF!$H7)*kgtoGg)</f>
        <v>430.37343432999199</v>
      </c>
      <c r="AX7" s="28">
        <f>IF(('Activity data'!AX8*EF!$H7)*kgtoGg=0,"NO",('Activity data'!AX8*EF!$H7)*kgtoGg)</f>
        <v>436.57672599270614</v>
      </c>
      <c r="AY7" s="28">
        <f>IF(('Activity data'!AY8*EF!$H7)*kgtoGg=0,"NO",('Activity data'!AY8*EF!$H7)*kgtoGg)</f>
        <v>442.67646681214597</v>
      </c>
      <c r="AZ7" s="28">
        <f>IF(('Activity data'!AZ8*EF!$H7)*kgtoGg=0,"NO",('Activity data'!AZ8*EF!$H7)*kgtoGg)</f>
        <v>448.5776448328545</v>
      </c>
      <c r="BA7" s="28">
        <f>IF(('Activity data'!BA8*EF!$H7)*kgtoGg=0,"NO",('Activity data'!BA8*EF!$H7)*kgtoGg)</f>
        <v>452.7312550055787</v>
      </c>
      <c r="BB7" s="28">
        <f>IF(('Activity data'!BB8*EF!$H7)*kgtoGg=0,"NO",('Activity data'!BB8*EF!$H7)*kgtoGg)</f>
        <v>456.97102903161772</v>
      </c>
      <c r="BC7" s="28">
        <f>IF(('Activity data'!BC8*EF!$H7)*kgtoGg=0,"NO",('Activity data'!BC8*EF!$H7)*kgtoGg)</f>
        <v>461.67942291327142</v>
      </c>
      <c r="BD7" s="28">
        <f>IF(('Activity data'!BD8*EF!$H7)*kgtoGg=0,"NO",('Activity data'!BD8*EF!$H7)*kgtoGg)</f>
        <v>466.50662336310904</v>
      </c>
      <c r="BE7" s="28">
        <f>IF(('Activity data'!BE8*EF!$H7)*kgtoGg=0,"NO",('Activity data'!BE8*EF!$H7)*kgtoGg)</f>
        <v>470.3815712177061</v>
      </c>
      <c r="BF7" s="28">
        <f>IF(('Activity data'!BF8*EF!$H7)*kgtoGg=0,"NO",('Activity data'!BF8*EF!$H7)*kgtoGg)</f>
        <v>473.88662981171262</v>
      </c>
      <c r="BG7" s="28">
        <f>IF(('Activity data'!BG8*EF!$H7)*kgtoGg=0,"NO",('Activity data'!BG8*EF!$H7)*kgtoGg)</f>
        <v>479.77170218514937</v>
      </c>
      <c r="BH7" s="28">
        <f>IF(('Activity data'!BH8*EF!$H7)*kgtoGg=0,"NO",('Activity data'!BH8*EF!$H7)*kgtoGg)</f>
        <v>485.89863225856828</v>
      </c>
      <c r="BI7" s="28">
        <f>IF(('Activity data'!BI8*EF!$H7)*kgtoGg=0,"NO",('Activity data'!BI8*EF!$H7)*kgtoGg)</f>
        <v>492.40751609633253</v>
      </c>
      <c r="BJ7" s="28">
        <f>IF(('Activity data'!BJ8*EF!$H7)*kgtoGg=0,"NO",('Activity data'!BJ8*EF!$H7)*kgtoGg)</f>
        <v>499.18567106545316</v>
      </c>
      <c r="BK7" s="28">
        <f>IF(('Activity data'!BK8*EF!$H7)*kgtoGg=0,"NO",('Activity data'!BK8*EF!$H7)*kgtoGg)</f>
        <v>506.54928551392675</v>
      </c>
      <c r="BL7" s="28">
        <f>IF(('Activity data'!BL8*EF!$H7)*kgtoGg=0,"NO",('Activity data'!BL8*EF!$H7)*kgtoGg)</f>
        <v>514.24280830987357</v>
      </c>
      <c r="BM7" s="28">
        <f>IF(('Activity data'!BM8*EF!$H7)*kgtoGg=0,"NO",('Activity data'!BM8*EF!$H7)*kgtoGg)</f>
        <v>522.0698756643892</v>
      </c>
      <c r="BN7" s="28">
        <f>IF(('Activity data'!BN8*EF!$H7)*kgtoGg=0,"NO",('Activity data'!BN8*EF!$H7)*kgtoGg)</f>
        <v>529.14572220625564</v>
      </c>
      <c r="BO7" s="28">
        <f>IF(('Activity data'!BO8*EF!$H7)*kgtoGg=0,"NO",('Activity data'!BO8*EF!$H7)*kgtoGg)</f>
        <v>536.38329479698291</v>
      </c>
      <c r="BP7" s="28">
        <f>IF(('Activity data'!BP8*EF!$H7)*kgtoGg=0,"NO",('Activity data'!BP8*EF!$H7)*kgtoGg)</f>
        <v>543.94324834438112</v>
      </c>
    </row>
    <row r="8" spans="1:74" x14ac:dyDescent="0.25">
      <c r="A8" t="str">
        <f t="shared" si="1"/>
        <v>3A Livestock</v>
      </c>
      <c r="B8" t="str">
        <f t="shared" si="2"/>
        <v>3A1 Enteric fermentation (CH4)</v>
      </c>
      <c r="C8" t="str">
        <f>EF!C8</f>
        <v>3A1aii Other cattle</v>
      </c>
      <c r="D8" t="str">
        <f>EF!D8</f>
        <v>Subsistence</v>
      </c>
      <c r="E8" t="str">
        <f t="shared" ref="E8:E17" si="3">E7</f>
        <v>Enteric fermentation Emissions</v>
      </c>
      <c r="F8" t="str">
        <f t="shared" ref="F8:F18" si="4">F7</f>
        <v>CH4</v>
      </c>
      <c r="G8" t="str">
        <f t="shared" ref="G8:G18" si="5">G7</f>
        <v>Gg CH4</v>
      </c>
      <c r="H8" s="28">
        <f>IF(('Activity data'!H9*EF!$H8)*kgtoGg=0,"NO",('Activity data'!H9*EF!$H8)*kgtoGg)</f>
        <v>283.53205972623039</v>
      </c>
      <c r="I8" s="28">
        <f>IF(('Activity data'!I9*EF!$H8)*kgtoGg=0,"NO",('Activity data'!I9*EF!$H8)*kgtoGg)</f>
        <v>300.82813308643614</v>
      </c>
      <c r="J8" s="28">
        <f>IF(('Activity data'!J9*EF!$H8)*kgtoGg=0,"NO",('Activity data'!J9*EF!$H8)*kgtoGg)</f>
        <v>315.03562191803377</v>
      </c>
      <c r="K8" s="28">
        <f>IF(('Activity data'!K9*EF!$H8)*kgtoGg=0,"NO",('Activity data'!K9*EF!$H8)*kgtoGg)</f>
        <v>311.32932048370395</v>
      </c>
      <c r="L8" s="28">
        <f>IF(('Activity data'!L9*EF!$H8)*kgtoGg=0,"NO",('Activity data'!L9*EF!$H8)*kgtoGg)</f>
        <v>271.17772161179766</v>
      </c>
      <c r="M8" s="28">
        <f>IF(('Activity data'!M9*EF!$H8)*kgtoGg=0,"NO",('Activity data'!M9*EF!$H8)*kgtoGg)</f>
        <v>261.91196802597318</v>
      </c>
      <c r="N8" s="28">
        <f>IF(('Activity data'!N9*EF!$H8)*kgtoGg=0,"NO",('Activity data'!N9*EF!$H8)*kgtoGg)</f>
        <v>269.32457089463281</v>
      </c>
      <c r="O8" s="28">
        <f>IF(('Activity data'!O9*EF!$H8)*kgtoGg=0,"NO",('Activity data'!O9*EF!$H8)*kgtoGg)</f>
        <v>281.67890900906548</v>
      </c>
      <c r="P8" s="28">
        <f>IF(('Activity data'!P9*EF!$H8)*kgtoGg=0,"NO",('Activity data'!P9*EF!$H8)*kgtoGg)</f>
        <v>298.97498236927129</v>
      </c>
      <c r="Q8" s="28">
        <f>IF(('Activity data'!Q9*EF!$H8)*kgtoGg=0,"NO",('Activity data'!Q9*EF!$H8)*kgtoGg)</f>
        <v>311.32932048370395</v>
      </c>
      <c r="R8" s="28">
        <f>IF(('Activity data'!R9*EF!$H8)*kgtoGg=0,"NO",('Activity data'!R9*EF!$H8)*kgtoGg)</f>
        <v>303.91671761504432</v>
      </c>
      <c r="S8" s="28">
        <f>IF(('Activity data'!S9*EF!$H8)*kgtoGg=0,"NO",('Activity data'!S9*EF!$H8)*kgtoGg)</f>
        <v>296.50411474638474</v>
      </c>
      <c r="T8" s="28">
        <f>IF(('Activity data'!T9*EF!$H8)*kgtoGg=0,"NO",('Activity data'!T9*EF!$H8)*kgtoGg)</f>
        <v>336.03799671256934</v>
      </c>
      <c r="U8" s="28">
        <f>IF(('Activity data'!U9*EF!$H8)*kgtoGg=0,"NO",('Activity data'!U9*EF!$H8)*kgtoGg)</f>
        <v>344.06831648695061</v>
      </c>
      <c r="V8" s="28">
        <f>IF(('Activity data'!V9*EF!$H8)*kgtoGg=0,"NO",('Activity data'!V9*EF!$H8)*kgtoGg)</f>
        <v>338.50886433545588</v>
      </c>
      <c r="W8" s="28">
        <f>IF(('Activity data'!W9*EF!$H8)*kgtoGg=0,"NO",('Activity data'!W9*EF!$H8)*kgtoGg)</f>
        <v>328.62539384390971</v>
      </c>
      <c r="X8" s="28">
        <f>IF(('Activity data'!X9*EF!$H8)*kgtoGg=0,"NO",('Activity data'!X9*EF!$H8)*kgtoGg)</f>
        <v>339.12658124117752</v>
      </c>
      <c r="Y8" s="28">
        <f>IF(('Activity data'!Y9*EF!$H8)*kgtoGg=0,"NO",('Activity data'!Y9*EF!$H8)*kgtoGg)</f>
        <v>352.71635316705351</v>
      </c>
      <c r="Z8" s="28">
        <f>IF(('Activity data'!Z9*EF!$H8)*kgtoGg=0,"NO",('Activity data'!Z9*EF!$H8)*kgtoGg)</f>
        <v>347.15690101555879</v>
      </c>
      <c r="AA8" s="28">
        <f>IF(('Activity data'!AA9*EF!$H8)*kgtoGg=0,"NO",('Activity data'!AA9*EF!$H8)*kgtoGg)</f>
        <v>343.45059958122897</v>
      </c>
      <c r="AB8" s="28">
        <f>IF(('Activity data'!AB9*EF!$H8)*kgtoGg=0,"NO",('Activity data'!AB9*EF!$H8)*kgtoGg)</f>
        <v>338.50886433545588</v>
      </c>
      <c r="AC8" s="28">
        <f>IF(('Activity data'!AC9*EF!$H8)*kgtoGg=0,"NO",('Activity data'!AC9*EF!$H8)*kgtoGg)</f>
        <v>340.97973195834243</v>
      </c>
      <c r="AD8" s="28">
        <f>IF(('Activity data'!AD9*EF!$H8)*kgtoGg=0,"NO",('Activity data'!AD9*EF!$H8)*kgtoGg)</f>
        <v>326.26736890528099</v>
      </c>
      <c r="AE8" s="28">
        <f>IF(('Activity data'!AE9*EF!$H8)*kgtoGg=0,"NO",('Activity data'!AE9*EF!$H8)*kgtoGg)</f>
        <v>325.16653787673164</v>
      </c>
      <c r="AF8" s="28">
        <f>IF(('Activity data'!AF9*EF!$H8)*kgtoGg=0,"NO",('Activity data'!AF9*EF!$H8)*kgtoGg)</f>
        <v>321.70466265084065</v>
      </c>
      <c r="AG8" s="28">
        <f>IF(('Activity data'!AG9*EF!$H8)*kgtoGg=0,"NO",('Activity data'!AG9*EF!$H8)*kgtoGg)</f>
        <v>316.58449591885085</v>
      </c>
      <c r="AH8" s="28">
        <f>IF(('Activity data'!AH9*EF!$H8)*kgtoGg=0,"NO",('Activity data'!AH9*EF!$H8)*kgtoGg)</f>
        <v>309.82043983511829</v>
      </c>
      <c r="AI8" s="28">
        <f>IF(('Activity data'!AI9*EF!$H8)*kgtoGg=0,"NO",('Activity data'!AI9*EF!$H8)*kgtoGg)</f>
        <v>305.39161075433856</v>
      </c>
      <c r="AJ8" s="28">
        <f>IF(('Activity data'!AJ9*EF!$H8)*kgtoGg=0,"NO",('Activity data'!AJ9*EF!$H8)*kgtoGg)</f>
        <v>300.55237479541921</v>
      </c>
      <c r="AK8" s="28">
        <f>IF(('Activity data'!AK9*EF!$H8)*kgtoGg=0,"NO",('Activity data'!AK9*EF!$H8)*kgtoGg)</f>
        <v>295.60198069810269</v>
      </c>
      <c r="AL8" s="28">
        <f>IF(('Activity data'!AL9*EF!$H8)*kgtoGg=0,"NO",('Activity data'!AL9*EF!$H8)*kgtoGg)</f>
        <v>258.98792657562637</v>
      </c>
      <c r="AM8" s="28">
        <f>IF(('Activity data'!AM9*EF!$H8)*kgtoGg=0,"NO",('Activity data'!AM9*EF!$H8)*kgtoGg)</f>
        <v>262.06562980506658</v>
      </c>
      <c r="AN8" s="28">
        <f>IF(('Activity data'!AN9*EF!$H8)*kgtoGg=0,"NO",('Activity data'!AN9*EF!$H8)*kgtoGg)</f>
        <v>264.66287136682143</v>
      </c>
      <c r="AO8" s="28">
        <f>IF(('Activity data'!AO9*EF!$H8)*kgtoGg=0,"NO",('Activity data'!AO9*EF!$H8)*kgtoGg)</f>
        <v>267.33055564654859</v>
      </c>
      <c r="AP8" s="28">
        <f>IF(('Activity data'!AP9*EF!$H8)*kgtoGg=0,"NO",('Activity data'!AP9*EF!$H8)*kgtoGg)</f>
        <v>270.44539985669928</v>
      </c>
      <c r="AQ8" s="28">
        <f>IF(('Activity data'!AQ9*EF!$H8)*kgtoGg=0,"NO",('Activity data'!AQ9*EF!$H8)*kgtoGg)</f>
        <v>274.25526472246116</v>
      </c>
      <c r="AR8" s="28">
        <f>IF(('Activity data'!AR9*EF!$H8)*kgtoGg=0,"NO",('Activity data'!AR9*EF!$H8)*kgtoGg)</f>
        <v>278.23763971667739</v>
      </c>
      <c r="AS8" s="28">
        <f>IF(('Activity data'!AS9*EF!$H8)*kgtoGg=0,"NO",('Activity data'!AS9*EF!$H8)*kgtoGg)</f>
        <v>282.61402747292834</v>
      </c>
      <c r="AT8" s="28">
        <f>IF(('Activity data'!AT9*EF!$H8)*kgtoGg=0,"NO",('Activity data'!AT9*EF!$H8)*kgtoGg)</f>
        <v>287.4245045511106</v>
      </c>
      <c r="AU8" s="28">
        <f>IF(('Activity data'!AU9*EF!$H8)*kgtoGg=0,"NO",('Activity data'!AU9*EF!$H8)*kgtoGg)</f>
        <v>293.18920611364553</v>
      </c>
      <c r="AV8" s="28">
        <f>IF(('Activity data'!AV9*EF!$H8)*kgtoGg=0,"NO",('Activity data'!AV9*EF!$H8)*kgtoGg)</f>
        <v>298.68718527395612</v>
      </c>
      <c r="AW8" s="28">
        <f>IF(('Activity data'!AW9*EF!$H8)*kgtoGg=0,"NO",('Activity data'!AW9*EF!$H8)*kgtoGg)</f>
        <v>303.05999054025557</v>
      </c>
      <c r="AX8" s="28">
        <f>IF(('Activity data'!AX9*EF!$H8)*kgtoGg=0,"NO",('Activity data'!AX9*EF!$H8)*kgtoGg)</f>
        <v>307.42821906613415</v>
      </c>
      <c r="AY8" s="28">
        <f>IF(('Activity data'!AY9*EF!$H8)*kgtoGg=0,"NO",('Activity data'!AY9*EF!$H8)*kgtoGg)</f>
        <v>311.72352924929021</v>
      </c>
      <c r="AZ8" s="28">
        <f>IF(('Activity data'!AZ9*EF!$H8)*kgtoGg=0,"NO",('Activity data'!AZ9*EF!$H8)*kgtoGg)</f>
        <v>315.87901565359522</v>
      </c>
      <c r="BA8" s="28">
        <f>IF(('Activity data'!BA9*EF!$H8)*kgtoGg=0,"NO",('Activity data'!BA9*EF!$H8)*kgtoGg)</f>
        <v>318.80390125117714</v>
      </c>
      <c r="BB8" s="28">
        <f>IF(('Activity data'!BB9*EF!$H8)*kgtoGg=0,"NO",('Activity data'!BB9*EF!$H8)*kgtoGg)</f>
        <v>321.78946163601955</v>
      </c>
      <c r="BC8" s="28">
        <f>IF(('Activity data'!BC9*EF!$H8)*kgtoGg=0,"NO",('Activity data'!BC9*EF!$H8)*kgtoGg)</f>
        <v>325.10501434306622</v>
      </c>
      <c r="BD8" s="28">
        <f>IF(('Activity data'!BD9*EF!$H8)*kgtoGg=0,"NO",('Activity data'!BD9*EF!$H8)*kgtoGg)</f>
        <v>328.50422815592901</v>
      </c>
      <c r="BE8" s="28">
        <f>IF(('Activity data'!BE9*EF!$H8)*kgtoGg=0,"NO",('Activity data'!BE9*EF!$H8)*kgtoGg)</f>
        <v>331.23288556478224</v>
      </c>
      <c r="BF8" s="28">
        <f>IF(('Activity data'!BF9*EF!$H8)*kgtoGg=0,"NO",('Activity data'!BF9*EF!$H8)*kgtoGg)</f>
        <v>333.70107467593488</v>
      </c>
      <c r="BG8" s="28">
        <f>IF(('Activity data'!BG9*EF!$H8)*kgtoGg=0,"NO",('Activity data'!BG9*EF!$H8)*kgtoGg)</f>
        <v>337.84521981955669</v>
      </c>
      <c r="BH8" s="28">
        <f>IF(('Activity data'!BH9*EF!$H8)*kgtoGg=0,"NO",('Activity data'!BH9*EF!$H8)*kgtoGg)</f>
        <v>342.15967610792364</v>
      </c>
      <c r="BI8" s="28">
        <f>IF(('Activity data'!BI9*EF!$H8)*kgtoGg=0,"NO",('Activity data'!BI9*EF!$H8)*kgtoGg)</f>
        <v>346.74309626574865</v>
      </c>
      <c r="BJ8" s="28">
        <f>IF(('Activity data'!BJ9*EF!$H8)*kgtoGg=0,"NO",('Activity data'!BJ9*EF!$H8)*kgtoGg)</f>
        <v>351.51613153457305</v>
      </c>
      <c r="BK8" s="28">
        <f>IF(('Activity data'!BK9*EF!$H8)*kgtoGg=0,"NO",('Activity data'!BK9*EF!$H8)*kgtoGg)</f>
        <v>356.7014351501893</v>
      </c>
      <c r="BL8" s="28">
        <f>IF(('Activity data'!BL9*EF!$H8)*kgtoGg=0,"NO",('Activity data'!BL9*EF!$H8)*kgtoGg)</f>
        <v>362.11905333889263</v>
      </c>
      <c r="BM8" s="28">
        <f>IF(('Activity data'!BM9*EF!$H8)*kgtoGg=0,"NO",('Activity data'!BM9*EF!$H8)*kgtoGg)</f>
        <v>367.63071081865843</v>
      </c>
      <c r="BN8" s="28">
        <f>IF(('Activity data'!BN9*EF!$H8)*kgtoGg=0,"NO",('Activity data'!BN9*EF!$H8)*kgtoGg)</f>
        <v>372.61337428017254</v>
      </c>
      <c r="BO8" s="28">
        <f>IF(('Activity data'!BO9*EF!$H8)*kgtoGg=0,"NO",('Activity data'!BO9*EF!$H8)*kgtoGg)</f>
        <v>377.70992185006367</v>
      </c>
      <c r="BP8" s="28">
        <f>IF(('Activity data'!BP9*EF!$H8)*kgtoGg=0,"NO",('Activity data'!BP9*EF!$H8)*kgtoGg)</f>
        <v>383.0334833615359</v>
      </c>
    </row>
    <row r="9" spans="1:74" x14ac:dyDescent="0.25">
      <c r="A9" t="str">
        <f t="shared" si="1"/>
        <v>3A Livestock</v>
      </c>
      <c r="B9" t="str">
        <f t="shared" si="2"/>
        <v>3A1 Enteric fermentation (CH4)</v>
      </c>
      <c r="C9" t="str">
        <f>EF!C9</f>
        <v>3A1aii Other cattle</v>
      </c>
      <c r="D9" t="str">
        <f>EF!D9</f>
        <v>Feedlot</v>
      </c>
      <c r="E9" t="str">
        <f t="shared" si="3"/>
        <v>Enteric fermentation Emissions</v>
      </c>
      <c r="F9" t="str">
        <f t="shared" si="4"/>
        <v>CH4</v>
      </c>
      <c r="G9" t="str">
        <f t="shared" si="5"/>
        <v>Gg CH4</v>
      </c>
      <c r="H9" s="28">
        <f>IF(('Activity data'!H10*EF!$H9)*kgtoGg=0,"NO",('Activity data'!H10*EF!$H9)*kgtoGg)</f>
        <v>24.738</v>
      </c>
      <c r="I9" s="28">
        <f>IF(('Activity data'!I10*EF!$H9)*kgtoGg=0,"NO",('Activity data'!I10*EF!$H9)*kgtoGg)</f>
        <v>24.738</v>
      </c>
      <c r="J9" s="28">
        <f>IF(('Activity data'!J10*EF!$H9)*kgtoGg=0,"NO",('Activity data'!J10*EF!$H9)*kgtoGg)</f>
        <v>24.738</v>
      </c>
      <c r="K9" s="28">
        <f>IF(('Activity data'!K10*EF!$H9)*kgtoGg=0,"NO",('Activity data'!K10*EF!$H9)*kgtoGg)</f>
        <v>24.738</v>
      </c>
      <c r="L9" s="28">
        <f>IF(('Activity data'!L10*EF!$H9)*kgtoGg=0,"NO",('Activity data'!L10*EF!$H9)*kgtoGg)</f>
        <v>24.738</v>
      </c>
      <c r="M9" s="28">
        <f>IF(('Activity data'!M10*EF!$H9)*kgtoGg=0,"NO",('Activity data'!M10*EF!$H9)*kgtoGg)</f>
        <v>24.738</v>
      </c>
      <c r="N9" s="28">
        <f>IF(('Activity data'!N10*EF!$H9)*kgtoGg=0,"NO",('Activity data'!N10*EF!$H9)*kgtoGg)</f>
        <v>24.738</v>
      </c>
      <c r="O9" s="28">
        <f>IF(('Activity data'!O10*EF!$H9)*kgtoGg=0,"NO",('Activity data'!O10*EF!$H9)*kgtoGg)</f>
        <v>24.738</v>
      </c>
      <c r="P9" s="28">
        <f>IF(('Activity data'!P10*EF!$H9)*kgtoGg=0,"NO",('Activity data'!P10*EF!$H9)*kgtoGg)</f>
        <v>24.738</v>
      </c>
      <c r="Q9" s="28">
        <f>IF(('Activity data'!Q10*EF!$H9)*kgtoGg=0,"NO",('Activity data'!Q10*EF!$H9)*kgtoGg)</f>
        <v>24.738</v>
      </c>
      <c r="R9" s="28">
        <f>IF(('Activity data'!R10*EF!$H9)*kgtoGg=0,"NO",('Activity data'!R10*EF!$H9)*kgtoGg)</f>
        <v>24.738</v>
      </c>
      <c r="S9" s="28">
        <f>IF(('Activity data'!S10*EF!$H9)*kgtoGg=0,"NO",('Activity data'!S10*EF!$H9)*kgtoGg)</f>
        <v>24.738</v>
      </c>
      <c r="T9" s="28">
        <f>IF(('Activity data'!T10*EF!$H9)*kgtoGg=0,"NO",('Activity data'!T10*EF!$H9)*kgtoGg)</f>
        <v>24.738</v>
      </c>
      <c r="U9" s="28">
        <f>IF(('Activity data'!U10*EF!$H9)*kgtoGg=0,"NO",('Activity data'!U10*EF!$H9)*kgtoGg)</f>
        <v>24.738</v>
      </c>
      <c r="V9" s="28">
        <f>IF(('Activity data'!V10*EF!$H9)*kgtoGg=0,"NO",('Activity data'!V10*EF!$H9)*kgtoGg)</f>
        <v>24.738</v>
      </c>
      <c r="W9" s="28">
        <f>IF(('Activity data'!W10*EF!$H9)*kgtoGg=0,"NO",('Activity data'!W10*EF!$H9)*kgtoGg)</f>
        <v>24.738</v>
      </c>
      <c r="X9" s="28">
        <f>IF(('Activity data'!X10*EF!$H9)*kgtoGg=0,"NO",('Activity data'!X10*EF!$H9)*kgtoGg)</f>
        <v>24.738</v>
      </c>
      <c r="Y9" s="28">
        <f>IF(('Activity data'!Y10*EF!$H9)*kgtoGg=0,"NO",('Activity data'!Y10*EF!$H9)*kgtoGg)</f>
        <v>24.738</v>
      </c>
      <c r="Z9" s="28">
        <f>IF(('Activity data'!Z10*EF!$H9)*kgtoGg=0,"NO",('Activity data'!Z10*EF!$H9)*kgtoGg)</f>
        <v>23.038602474999998</v>
      </c>
      <c r="AA9" s="28">
        <f>IF(('Activity data'!AA10*EF!$H9)*kgtoGg=0,"NO",('Activity data'!AA10*EF!$H9)*kgtoGg)</f>
        <v>23.608263641666664</v>
      </c>
      <c r="AB9" s="28">
        <f>IF(('Activity data'!AB10*EF!$H9)*kgtoGg=0,"NO",('Activity data'!AB10*EF!$H9)*kgtoGg)</f>
        <v>23.549535433333329</v>
      </c>
      <c r="AC9" s="28">
        <f>IF(('Activity data'!AC10*EF!$H9)*kgtoGg=0,"NO",('Activity data'!AC10*EF!$H9)*kgtoGg)</f>
        <v>27.200029816666664</v>
      </c>
      <c r="AD9" s="28">
        <f>IF(('Activity data'!AD10*EF!$H9)*kgtoGg=0,"NO",('Activity data'!AD10*EF!$H9)*kgtoGg)</f>
        <v>31.8888084563639</v>
      </c>
      <c r="AE9" s="28">
        <f>IF(('Activity data'!AE10*EF!$H9)*kgtoGg=0,"NO",('Activity data'!AE10*EF!$H9)*kgtoGg)</f>
        <v>33.13954715346226</v>
      </c>
      <c r="AF9" s="28">
        <f>IF(('Activity data'!AF10*EF!$H9)*kgtoGg=0,"NO",('Activity data'!AF10*EF!$H9)*kgtoGg)</f>
        <v>34.169158818512763</v>
      </c>
      <c r="AG9" s="28">
        <f>IF(('Activity data'!AG10*EF!$H9)*kgtoGg=0,"NO",('Activity data'!AG10*EF!$H9)*kgtoGg)</f>
        <v>35.02705317948034</v>
      </c>
      <c r="AH9" s="28">
        <f>IF(('Activity data'!AH10*EF!$H9)*kgtoGg=0,"NO",('Activity data'!AH10*EF!$H9)*kgtoGg)</f>
        <v>35.694165230543376</v>
      </c>
      <c r="AI9" s="28">
        <f>IF(('Activity data'!AI10*EF!$H9)*kgtoGg=0,"NO",('Activity data'!AI10*EF!$H9)*kgtoGg)</f>
        <v>36.62560429987316</v>
      </c>
      <c r="AJ9" s="28">
        <f>IF(('Activity data'!AJ10*EF!$H9)*kgtoGg=0,"NO",('Activity data'!AJ10*EF!$H9)*kgtoGg)</f>
        <v>37.513148989199472</v>
      </c>
      <c r="AK9" s="28">
        <f>IF(('Activity data'!AK10*EF!$H9)*kgtoGg=0,"NO",('Activity data'!AK10*EF!$H9)*kgtoGg)</f>
        <v>38.390750662209221</v>
      </c>
      <c r="AL9" s="28">
        <f>IF(('Activity data'!AL10*EF!$H9)*kgtoGg=0,"NO",('Activity data'!AL10*EF!$H9)*kgtoGg)</f>
        <v>34.994347054360368</v>
      </c>
      <c r="AM9" s="28">
        <f>IF(('Activity data'!AM10*EF!$H9)*kgtoGg=0,"NO",('Activity data'!AM10*EF!$H9)*kgtoGg)</f>
        <v>36.262696768872445</v>
      </c>
      <c r="AN9" s="28">
        <f>IF(('Activity data'!AN10*EF!$H9)*kgtoGg=0,"NO",('Activity data'!AN10*EF!$H9)*kgtoGg)</f>
        <v>37.491645286692567</v>
      </c>
      <c r="AO9" s="28">
        <f>IF(('Activity data'!AO10*EF!$H9)*kgtoGg=0,"NO",('Activity data'!AO10*EF!$H9)*kgtoGg)</f>
        <v>38.757298790868909</v>
      </c>
      <c r="AP9" s="28">
        <f>IF(('Activity data'!AP10*EF!$H9)*kgtoGg=0,"NO",('Activity data'!AP10*EF!$H9)*kgtoGg)</f>
        <v>40.117219644344949</v>
      </c>
      <c r="AQ9" s="28">
        <f>IF(('Activity data'!AQ10*EF!$H9)*kgtoGg=0,"NO",('Activity data'!AQ10*EF!$H9)*kgtoGg)</f>
        <v>41.614559209030993</v>
      </c>
      <c r="AR9" s="28">
        <f>IF(('Activity data'!AR10*EF!$H9)*kgtoGg=0,"NO",('Activity data'!AR10*EF!$H9)*kgtoGg)</f>
        <v>43.176458128730118</v>
      </c>
      <c r="AS9" s="28">
        <f>IF(('Activity data'!AS10*EF!$H9)*kgtoGg=0,"NO",('Activity data'!AS10*EF!$H9)*kgtoGg)</f>
        <v>44.841021611040205</v>
      </c>
      <c r="AT9" s="28">
        <f>IF(('Activity data'!AT10*EF!$H9)*kgtoGg=0,"NO",('Activity data'!AT10*EF!$H9)*kgtoGg)</f>
        <v>46.620132990279458</v>
      </c>
      <c r="AU9" s="28">
        <f>IF(('Activity data'!AU10*EF!$H9)*kgtoGg=0,"NO",('Activity data'!AU10*EF!$H9)*kgtoGg)</f>
        <v>48.605982892196991</v>
      </c>
      <c r="AV9" s="28">
        <f>IF(('Activity data'!AV10*EF!$H9)*kgtoGg=0,"NO",('Activity data'!AV10*EF!$H9)*kgtoGg)</f>
        <v>50.603524375766952</v>
      </c>
      <c r="AW9" s="28">
        <f>IF(('Activity data'!AW10*EF!$H9)*kgtoGg=0,"NO",('Activity data'!AW10*EF!$H9)*kgtoGg)</f>
        <v>53.04625637956746</v>
      </c>
      <c r="AX9" s="28">
        <f>IF(('Activity data'!AX10*EF!$H9)*kgtoGg=0,"NO",('Activity data'!AX10*EF!$H9)*kgtoGg)</f>
        <v>55.597927628261786</v>
      </c>
      <c r="AY9" s="28">
        <f>IF(('Activity data'!AY10*EF!$H9)*kgtoGg=0,"NO",('Activity data'!AY10*EF!$H9)*kgtoGg)</f>
        <v>58.251742387339711</v>
      </c>
      <c r="AZ9" s="28">
        <f>IF(('Activity data'!AZ10*EF!$H9)*kgtoGg=0,"NO",('Activity data'!AZ10*EF!$H9)*kgtoGg)</f>
        <v>60.999899144377011</v>
      </c>
      <c r="BA9" s="28">
        <f>IF(('Activity data'!BA10*EF!$H9)*kgtoGg=0,"NO",('Activity data'!BA10*EF!$H9)*kgtoGg)</f>
        <v>63.628879588043191</v>
      </c>
      <c r="BB9" s="28">
        <f>IF(('Activity data'!BB10*EF!$H9)*kgtoGg=0,"NO",('Activity data'!BB10*EF!$H9)*kgtoGg)</f>
        <v>66.387576987364966</v>
      </c>
      <c r="BC9" s="28">
        <f>IF(('Activity data'!BC10*EF!$H9)*kgtoGg=0,"NO",('Activity data'!BC10*EF!$H9)*kgtoGg)</f>
        <v>69.341596779041097</v>
      </c>
      <c r="BD9" s="28">
        <f>IF(('Activity data'!BD10*EF!$H9)*kgtoGg=0,"NO",('Activity data'!BD10*EF!$H9)*kgtoGg)</f>
        <v>72.451264518005246</v>
      </c>
      <c r="BE9" s="28">
        <f>IF(('Activity data'!BE10*EF!$H9)*kgtoGg=0,"NO",('Activity data'!BE10*EF!$H9)*kgtoGg)</f>
        <v>75.554776819772343</v>
      </c>
      <c r="BF9" s="28">
        <f>IF(('Activity data'!BF10*EF!$H9)*kgtoGg=0,"NO",('Activity data'!BF10*EF!$H9)*kgtoGg)</f>
        <v>78.742161390490097</v>
      </c>
      <c r="BG9" s="28">
        <f>IF(('Activity data'!BG10*EF!$H9)*kgtoGg=0,"NO",('Activity data'!BG10*EF!$H9)*kgtoGg)</f>
        <v>81.968165762720389</v>
      </c>
      <c r="BH9" s="28">
        <f>IF(('Activity data'!BH10*EF!$H9)*kgtoGg=0,"NO",('Activity data'!BH10*EF!$H9)*kgtoGg)</f>
        <v>85.36408773308915</v>
      </c>
      <c r="BI9" s="28">
        <f>IF(('Activity data'!BI10*EF!$H9)*kgtoGg=0,"NO",('Activity data'!BI10*EF!$H9)*kgtoGg)</f>
        <v>88.96511422858012</v>
      </c>
      <c r="BJ9" s="28">
        <f>IF(('Activity data'!BJ10*EF!$H9)*kgtoGg=0,"NO",('Activity data'!BJ10*EF!$H9)*kgtoGg)</f>
        <v>92.762984030787749</v>
      </c>
      <c r="BK9" s="28">
        <f>IF(('Activity data'!BK10*EF!$H9)*kgtoGg=0,"NO",('Activity data'!BK10*EF!$H9)*kgtoGg)</f>
        <v>96.829850186788406</v>
      </c>
      <c r="BL9" s="28">
        <f>IF(('Activity data'!BL10*EF!$H9)*kgtoGg=0,"NO",('Activity data'!BL10*EF!$H9)*kgtoGg)</f>
        <v>101.13317372695253</v>
      </c>
      <c r="BM9" s="28">
        <f>IF(('Activity data'!BM10*EF!$H9)*kgtoGg=0,"NO",('Activity data'!BM10*EF!$H9)*kgtoGg)</f>
        <v>105.64777753680592</v>
      </c>
      <c r="BN9" s="28">
        <f>IF(('Activity data'!BN10*EF!$H9)*kgtoGg=0,"NO",('Activity data'!BN10*EF!$H9)*kgtoGg)</f>
        <v>110.20148937901827</v>
      </c>
      <c r="BO9" s="28">
        <f>IF(('Activity data'!BO10*EF!$H9)*kgtoGg=0,"NO",('Activity data'!BO10*EF!$H9)*kgtoGg)</f>
        <v>114.98673908329094</v>
      </c>
      <c r="BP9" s="28">
        <f>IF(('Activity data'!BP10*EF!$H9)*kgtoGg=0,"NO",('Activity data'!BP10*EF!$H9)*kgtoGg)</f>
        <v>120.05278867596783</v>
      </c>
    </row>
    <row r="10" spans="1:74" x14ac:dyDescent="0.25">
      <c r="A10" t="str">
        <f t="shared" si="1"/>
        <v>3A Livestock</v>
      </c>
      <c r="B10" t="str">
        <f t="shared" si="2"/>
        <v>3A1 Enteric fermentation (CH4)</v>
      </c>
      <c r="C10" t="str">
        <f>EF!C10</f>
        <v>3A1c Sheep</v>
      </c>
      <c r="D10" t="str">
        <f>EF!D10</f>
        <v>Commercial</v>
      </c>
      <c r="E10" t="str">
        <f t="shared" si="3"/>
        <v>Enteric fermentation Emissions</v>
      </c>
      <c r="F10" t="str">
        <f t="shared" si="4"/>
        <v>CH4</v>
      </c>
      <c r="G10" t="str">
        <f t="shared" si="5"/>
        <v>Gg CH4</v>
      </c>
      <c r="H10" s="28">
        <f>IF(('Activity data'!H11*EF!$H10)*kgtoGg=0,"NO",('Activity data'!H11*EF!$H10)*kgtoGg)</f>
        <v>209.00064638385984</v>
      </c>
      <c r="I10" s="28">
        <f>IF(('Activity data'!I11*EF!$H10)*kgtoGg=0,"NO",('Activity data'!I11*EF!$H10)*kgtoGg)</f>
        <v>199.60297230115387</v>
      </c>
      <c r="J10" s="28">
        <f>IF(('Activity data'!J11*EF!$H10)*kgtoGg=0,"NO",('Activity data'!J11*EF!$H10)*kgtoGg)</f>
        <v>191.35560698969897</v>
      </c>
      <c r="K10" s="28">
        <f>IF(('Activity data'!K11*EF!$H10)*kgtoGg=0,"NO",('Activity data'!K11*EF!$H10)*kgtoGg)</f>
        <v>178.96015853342948</v>
      </c>
      <c r="L10" s="28">
        <f>IF(('Activity data'!L11*EF!$H10)*kgtoGg=0,"NO",('Activity data'!L11*EF!$H10)*kgtoGg)</f>
        <v>180.22201239765039</v>
      </c>
      <c r="M10" s="28">
        <f>IF(('Activity data'!M11*EF!$H10)*kgtoGg=0,"NO",('Activity data'!M11*EF!$H10)*kgtoGg)</f>
        <v>177.64253212272365</v>
      </c>
      <c r="N10" s="28">
        <f>IF(('Activity data'!N11*EF!$H10)*kgtoGg=0,"NO",('Activity data'!N11*EF!$H10)*kgtoGg)</f>
        <v>178.23511542912576</v>
      </c>
      <c r="O10" s="28">
        <f>IF(('Activity data'!O11*EF!$H10)*kgtoGg=0,"NO",('Activity data'!O11*EF!$H10)*kgtoGg)</f>
        <v>174.35892344842506</v>
      </c>
      <c r="P10" s="28">
        <f>IF(('Activity data'!P11*EF!$H10)*kgtoGg=0,"NO",('Activity data'!P11*EF!$H10)*kgtoGg)</f>
        <v>174.83996166185733</v>
      </c>
      <c r="Q10" s="28">
        <f>IF(('Activity data'!Q11*EF!$H10)*kgtoGg=0,"NO",('Activity data'!Q11*EF!$H10)*kgtoGg)</f>
        <v>170.54547558251988</v>
      </c>
      <c r="R10" s="28">
        <f>IF(('Activity data'!R11*EF!$H10)*kgtoGg=0,"NO",('Activity data'!R11*EF!$H10)*kgtoGg)</f>
        <v>164.4314101741125</v>
      </c>
      <c r="S10" s="28">
        <f>IF(('Activity data'!S11*EF!$H10)*kgtoGg=0,"NO",('Activity data'!S11*EF!$H10)*kgtoGg)</f>
        <v>160.33212800747219</v>
      </c>
      <c r="T10" s="28">
        <f>IF(('Activity data'!T11*EF!$H10)*kgtoGg=0,"NO",('Activity data'!T11*EF!$H10)*kgtoGg)</f>
        <v>157.65504577619689</v>
      </c>
      <c r="U10" s="28">
        <f>IF(('Activity data'!U11*EF!$H10)*kgtoGg=0,"NO",('Activity data'!U11*EF!$H10)*kgtoGg)</f>
        <v>158.20579967273531</v>
      </c>
      <c r="V10" s="28">
        <f>IF(('Activity data'!V11*EF!$H10)*kgtoGg=0,"NO",('Activity data'!V11*EF!$H10)*kgtoGg)</f>
        <v>155.38928607524772</v>
      </c>
      <c r="W10" s="28">
        <f>IF(('Activity data'!W11*EF!$H10)*kgtoGg=0,"NO",('Activity data'!W11*EF!$H10)*kgtoGg)</f>
        <v>155.01979295478526</v>
      </c>
      <c r="X10" s="28">
        <f>IF(('Activity data'!X11*EF!$H10)*kgtoGg=0,"NO",('Activity data'!X11*EF!$H10)*kgtoGg)</f>
        <v>152.99106657639697</v>
      </c>
      <c r="Y10" s="28">
        <f>IF(('Activity data'!Y11*EF!$H10)*kgtoGg=0,"NO",('Activity data'!Y11*EF!$H10)*kgtoGg)</f>
        <v>152.84466364187409</v>
      </c>
      <c r="Z10" s="28">
        <f>IF(('Activity data'!Z11*EF!$H10)*kgtoGg=0,"NO",('Activity data'!Z11*EF!$H10)*kgtoGg)</f>
        <v>153.3396449919276</v>
      </c>
      <c r="AA10" s="28">
        <f>IF(('Activity data'!AA11*EF!$H10)*kgtoGg=0,"NO",('Activity data'!AA11*EF!$H10)*kgtoGg)</f>
        <v>152.79586266369981</v>
      </c>
      <c r="AB10" s="28">
        <f>IF(('Activity data'!AB11*EF!$H10)*kgtoGg=0,"NO",('Activity data'!AB11*EF!$H10)*kgtoGg)</f>
        <v>149.83991769999997</v>
      </c>
      <c r="AC10" s="28">
        <f>IF(('Activity data'!AC11*EF!$H10)*kgtoGg=0,"NO",('Activity data'!AC11*EF!$H10)*kgtoGg)</f>
        <v>148.66869422381706</v>
      </c>
      <c r="AD10" s="28">
        <f>IF(('Activity data'!AD11*EF!$H10)*kgtoGg=0,"NO",('Activity data'!AD11*EF!$H10)*kgtoGg)</f>
        <v>132.56490412665556</v>
      </c>
      <c r="AE10" s="28">
        <f>IF(('Activity data'!AE11*EF!$H10)*kgtoGg=0,"NO",('Activity data'!AE11*EF!$H10)*kgtoGg)</f>
        <v>132.63673887108695</v>
      </c>
      <c r="AF10" s="28">
        <f>IF(('Activity data'!AF11*EF!$H10)*kgtoGg=0,"NO",('Activity data'!AF11*EF!$H10)*kgtoGg)</f>
        <v>132.80013147740721</v>
      </c>
      <c r="AG10" s="28">
        <f>IF(('Activity data'!AG11*EF!$H10)*kgtoGg=0,"NO",('Activity data'!AG11*EF!$H10)*kgtoGg)</f>
        <v>133.0503524634392</v>
      </c>
      <c r="AH10" s="28">
        <f>IF(('Activity data'!AH11*EF!$H10)*kgtoGg=0,"NO",('Activity data'!AH11*EF!$H10)*kgtoGg)</f>
        <v>133.38276658963022</v>
      </c>
      <c r="AI10" s="28">
        <f>IF(('Activity data'!AI11*EF!$H10)*kgtoGg=0,"NO",('Activity data'!AI11*EF!$H10)*kgtoGg)</f>
        <v>133.80092557925269</v>
      </c>
      <c r="AJ10" s="28">
        <f>IF(('Activity data'!AJ11*EF!$H10)*kgtoGg=0,"NO",('Activity data'!AJ11*EF!$H10)*kgtoGg)</f>
        <v>134.2643982213383</v>
      </c>
      <c r="AK10" s="28">
        <f>IF(('Activity data'!AK11*EF!$H10)*kgtoGg=0,"NO",('Activity data'!AK11*EF!$H10)*kgtoGg)</f>
        <v>134.77441890150251</v>
      </c>
      <c r="AL10" s="28">
        <f>IF(('Activity data'!AL11*EF!$H10)*kgtoGg=0,"NO",('Activity data'!AL11*EF!$H10)*kgtoGg)</f>
        <v>135.26611406023579</v>
      </c>
      <c r="AM10" s="28">
        <f>IF(('Activity data'!AM11*EF!$H10)*kgtoGg=0,"NO",('Activity data'!AM11*EF!$H10)*kgtoGg)</f>
        <v>135.46103200234722</v>
      </c>
      <c r="AN10" s="28">
        <f>IF(('Activity data'!AN11*EF!$H10)*kgtoGg=0,"NO",('Activity data'!AN11*EF!$H10)*kgtoGg)</f>
        <v>135.68868765517411</v>
      </c>
      <c r="AO10" s="28">
        <f>IF(('Activity data'!AO11*EF!$H10)*kgtoGg=0,"NO",('Activity data'!AO11*EF!$H10)*kgtoGg)</f>
        <v>135.94816057359554</v>
      </c>
      <c r="AP10" s="28">
        <f>IF(('Activity data'!AP11*EF!$H10)*kgtoGg=0,"NO",('Activity data'!AP11*EF!$H10)*kgtoGg)</f>
        <v>136.23847602814246</v>
      </c>
      <c r="AQ10" s="28">
        <f>IF(('Activity data'!AQ11*EF!$H10)*kgtoGg=0,"NO",('Activity data'!AQ11*EF!$H10)*kgtoGg)</f>
        <v>136.55864035360605</v>
      </c>
      <c r="AR10" s="28">
        <f>IF(('Activity data'!AR11*EF!$H10)*kgtoGg=0,"NO",('Activity data'!AR11*EF!$H10)*kgtoGg)</f>
        <v>136.75525470513949</v>
      </c>
      <c r="AS10" s="28">
        <f>IF(('Activity data'!AS11*EF!$H10)*kgtoGg=0,"NO",('Activity data'!AS11*EF!$H10)*kgtoGg)</f>
        <v>136.97687615534014</v>
      </c>
      <c r="AT10" s="28">
        <f>IF(('Activity data'!AT11*EF!$H10)*kgtoGg=0,"NO",('Activity data'!AT11*EF!$H10)*kgtoGg)</f>
        <v>137.22245965499221</v>
      </c>
      <c r="AU10" s="28">
        <f>IF(('Activity data'!AU11*EF!$H10)*kgtoGg=0,"NO",('Activity data'!AU11*EF!$H10)*kgtoGg)</f>
        <v>137.49216623762376</v>
      </c>
      <c r="AV10" s="28">
        <f>IF(('Activity data'!AV11*EF!$H10)*kgtoGg=0,"NO",('Activity data'!AV11*EF!$H10)*kgtoGg)</f>
        <v>137.78236031875704</v>
      </c>
      <c r="AW10" s="28">
        <f>IF(('Activity data'!AW11*EF!$H10)*kgtoGg=0,"NO",('Activity data'!AW11*EF!$H10)*kgtoGg)</f>
        <v>137.97435972763765</v>
      </c>
      <c r="AX10" s="28">
        <f>IF(('Activity data'!AX11*EF!$H10)*kgtoGg=0,"NO",('Activity data'!AX11*EF!$H10)*kgtoGg)</f>
        <v>138.18514696102309</v>
      </c>
      <c r="AY10" s="28">
        <f>IF(('Activity data'!AY11*EF!$H10)*kgtoGg=0,"NO",('Activity data'!AY11*EF!$H10)*kgtoGg)</f>
        <v>138.41385168744731</v>
      </c>
      <c r="AZ10" s="28">
        <f>IF(('Activity data'!AZ11*EF!$H10)*kgtoGg=0,"NO",('Activity data'!AZ11*EF!$H10)*kgtoGg)</f>
        <v>138.65966156708905</v>
      </c>
      <c r="BA10" s="28">
        <f>IF(('Activity data'!BA11*EF!$H10)*kgtoGg=0,"NO",('Activity data'!BA11*EF!$H10)*kgtoGg)</f>
        <v>138.91918805473162</v>
      </c>
      <c r="BB10" s="28">
        <f>IF(('Activity data'!BB11*EF!$H10)*kgtoGg=0,"NO",('Activity data'!BB11*EF!$H10)*kgtoGg)</f>
        <v>139.08009635289054</v>
      </c>
      <c r="BC10" s="28">
        <f>IF(('Activity data'!BC11*EF!$H10)*kgtoGg=0,"NO",('Activity data'!BC11*EF!$H10)*kgtoGg)</f>
        <v>139.25673252848048</v>
      </c>
      <c r="BD10" s="28">
        <f>IF(('Activity data'!BD11*EF!$H10)*kgtoGg=0,"NO",('Activity data'!BD11*EF!$H10)*kgtoGg)</f>
        <v>139.44802950128204</v>
      </c>
      <c r="BE10" s="28">
        <f>IF(('Activity data'!BE11*EF!$H10)*kgtoGg=0,"NO",('Activity data'!BE11*EF!$H10)*kgtoGg)</f>
        <v>139.6514679087667</v>
      </c>
      <c r="BF10" s="28">
        <f>IF(('Activity data'!BF11*EF!$H10)*kgtoGg=0,"NO",('Activity data'!BF11*EF!$H10)*kgtoGg)</f>
        <v>139.86772642399558</v>
      </c>
      <c r="BG10" s="28">
        <f>IF(('Activity data'!BG11*EF!$H10)*kgtoGg=0,"NO",('Activity data'!BG11*EF!$H10)*kgtoGg)</f>
        <v>139.99000181059887</v>
      </c>
      <c r="BH10" s="28">
        <f>IF(('Activity data'!BH11*EF!$H10)*kgtoGg=0,"NO",('Activity data'!BH11*EF!$H10)*kgtoGg)</f>
        <v>140.12472729851513</v>
      </c>
      <c r="BI10" s="28">
        <f>IF(('Activity data'!BI11*EF!$H10)*kgtoGg=0,"NO",('Activity data'!BI11*EF!$H10)*kgtoGg)</f>
        <v>140.27191440012072</v>
      </c>
      <c r="BJ10" s="28">
        <f>IF(('Activity data'!BJ11*EF!$H10)*kgtoGg=0,"NO",('Activity data'!BJ11*EF!$H10)*kgtoGg)</f>
        <v>140.43107161685273</v>
      </c>
      <c r="BK10" s="28">
        <f>IF(('Activity data'!BK11*EF!$H10)*kgtoGg=0,"NO",('Activity data'!BK11*EF!$H10)*kgtoGg)</f>
        <v>140.60268692919476</v>
      </c>
      <c r="BL10" s="28">
        <f>IF(('Activity data'!BL11*EF!$H10)*kgtoGg=0,"NO",('Activity data'!BL11*EF!$H10)*kgtoGg)</f>
        <v>140.67788389534147</v>
      </c>
      <c r="BM10" s="28">
        <f>IF(('Activity data'!BM11*EF!$H10)*kgtoGg=0,"NO",('Activity data'!BM11*EF!$H10)*kgtoGg)</f>
        <v>140.76366181357108</v>
      </c>
      <c r="BN10" s="28">
        <f>IF(('Activity data'!BN11*EF!$H10)*kgtoGg=0,"NO",('Activity data'!BN11*EF!$H10)*kgtoGg)</f>
        <v>140.85769983523946</v>
      </c>
      <c r="BO10" s="28">
        <f>IF(('Activity data'!BO11*EF!$H10)*kgtoGg=0,"NO",('Activity data'!BO11*EF!$H10)*kgtoGg)</f>
        <v>140.96194728931084</v>
      </c>
      <c r="BP10" s="28">
        <f>IF(('Activity data'!BP11*EF!$H10)*kgtoGg=0,"NO",('Activity data'!BP11*EF!$H10)*kgtoGg)</f>
        <v>141.07667279903509</v>
      </c>
    </row>
    <row r="11" spans="1:74" x14ac:dyDescent="0.25">
      <c r="A11" t="str">
        <f t="shared" si="1"/>
        <v>3A Livestock</v>
      </c>
      <c r="B11" t="str">
        <f t="shared" si="2"/>
        <v>3A1 Enteric fermentation (CH4)</v>
      </c>
      <c r="C11" t="str">
        <f>EF!C11</f>
        <v>3A1c Sheep</v>
      </c>
      <c r="D11" t="str">
        <f>EF!D11</f>
        <v>Subsistence</v>
      </c>
      <c r="E11" t="str">
        <f t="shared" si="3"/>
        <v>Enteric fermentation Emissions</v>
      </c>
      <c r="F11" t="str">
        <f t="shared" si="4"/>
        <v>CH4</v>
      </c>
      <c r="G11" t="str">
        <f t="shared" si="5"/>
        <v>Gg CH4</v>
      </c>
      <c r="H11" s="28">
        <f>IF(('Activity data'!H12*EF!$H11)*kgtoGg=0,"NO",('Activity data'!H12*EF!$H11)*kgtoGg)</f>
        <v>21.154764000453479</v>
      </c>
      <c r="I11" s="28">
        <f>IF(('Activity data'!I12*EF!$H11)*kgtoGg=0,"NO",('Activity data'!I12*EF!$H11)*kgtoGg)</f>
        <v>20.20354408409165</v>
      </c>
      <c r="J11" s="28">
        <f>IF(('Activity data'!J12*EF!$H11)*kgtoGg=0,"NO",('Activity data'!J12*EF!$H11)*kgtoGg)</f>
        <v>19.368756872625738</v>
      </c>
      <c r="K11" s="28">
        <f>IF(('Activity data'!K12*EF!$H11)*kgtoGg=0,"NO",('Activity data'!K12*EF!$H11)*kgtoGg)</f>
        <v>18.114106270777572</v>
      </c>
      <c r="L11" s="28">
        <f>IF(('Activity data'!L12*EF!$H11)*kgtoGg=0,"NO",('Activity data'!L12*EF!$H11)*kgtoGg)</f>
        <v>18.241829419784612</v>
      </c>
      <c r="M11" s="28">
        <f>IF(('Activity data'!M12*EF!$H11)*kgtoGg=0,"NO",('Activity data'!M12*EF!$H11)*kgtoGg)</f>
        <v>17.98073789971497</v>
      </c>
      <c r="N11" s="28">
        <f>IF(('Activity data'!N12*EF!$H11)*kgtoGg=0,"NO",('Activity data'!N12*EF!$H11)*kgtoGg)</f>
        <v>18.040718384055292</v>
      </c>
      <c r="O11" s="28">
        <f>IF(('Activity data'!O12*EF!$H11)*kgtoGg=0,"NO",('Activity data'!O12*EF!$H11)*kgtoGg)</f>
        <v>17.648375451193886</v>
      </c>
      <c r="P11" s="28">
        <f>IF(('Activity data'!P12*EF!$H11)*kgtoGg=0,"NO",('Activity data'!P12*EF!$H11)*kgtoGg)</f>
        <v>17.697065491423142</v>
      </c>
      <c r="Q11" s="28">
        <f>IF(('Activity data'!Q12*EF!$H11)*kgtoGg=0,"NO",('Activity data'!Q12*EF!$H11)*kgtoGg)</f>
        <v>17.26238339314504</v>
      </c>
      <c r="R11" s="28">
        <f>IF(('Activity data'!R12*EF!$H11)*kgtoGg=0,"NO",('Activity data'!R12*EF!$H11)*kgtoGg)</f>
        <v>16.643525925304292</v>
      </c>
      <c r="S11" s="28">
        <f>IF(('Activity data'!S12*EF!$H11)*kgtoGg=0,"NO",('Activity data'!S12*EF!$H11)*kgtoGg)</f>
        <v>16.228602104220641</v>
      </c>
      <c r="T11" s="28">
        <f>IF(('Activity data'!T12*EF!$H11)*kgtoGg=0,"NO",('Activity data'!T12*EF!$H11)*kgtoGg)</f>
        <v>15.957631445553769</v>
      </c>
      <c r="U11" s="28">
        <f>IF(('Activity data'!U12*EF!$H11)*kgtoGg=0,"NO",('Activity data'!U12*EF!$H11)*kgtoGg)</f>
        <v>16.013378013352426</v>
      </c>
      <c r="V11" s="28">
        <f>IF(('Activity data'!V12*EF!$H11)*kgtoGg=0,"NO",('Activity data'!V12*EF!$H11)*kgtoGg)</f>
        <v>15.728294299546651</v>
      </c>
      <c r="W11" s="28">
        <f>IF(('Activity data'!W12*EF!$H11)*kgtoGg=0,"NO",('Activity data'!W12*EF!$H11)*kgtoGg)</f>
        <v>15.690894703428569</v>
      </c>
      <c r="X11" s="28">
        <f>IF(('Activity data'!X12*EF!$H11)*kgtoGg=0,"NO",('Activity data'!X12*EF!$H11)*kgtoGg)</f>
        <v>15.485549751157579</v>
      </c>
      <c r="Y11" s="28">
        <f>IF(('Activity data'!Y12*EF!$H11)*kgtoGg=0,"NO",('Activity data'!Y12*EF!$H11)*kgtoGg)</f>
        <v>15.470731043261734</v>
      </c>
      <c r="Z11" s="28">
        <f>IF(('Activity data'!Z12*EF!$H11)*kgtoGg=0,"NO",('Activity data'!Z12*EF!$H11)*kgtoGg)</f>
        <v>15.520832389004827</v>
      </c>
      <c r="AA11" s="28">
        <f>IF(('Activity data'!AA12*EF!$H11)*kgtoGg=0,"NO",('Activity data'!AA12*EF!$H11)*kgtoGg)</f>
        <v>15.465791473963119</v>
      </c>
      <c r="AB11" s="28">
        <f>IF(('Activity data'!AB12*EF!$H11)*kgtoGg=0,"NO",('Activity data'!AB12*EF!$H11)*kgtoGg)</f>
        <v>15.166594705018449</v>
      </c>
      <c r="AC11" s="28">
        <f>IF(('Activity data'!AC12*EF!$H11)*kgtoGg=0,"NO",('Activity data'!AC12*EF!$H11)*kgtoGg)</f>
        <v>15.048045041851694</v>
      </c>
      <c r="AD11" s="28">
        <f>IF(('Activity data'!AD12*EF!$H11)*kgtoGg=0,"NO",('Activity data'!AD12*EF!$H11)*kgtoGg)</f>
        <v>14.366564550110237</v>
      </c>
      <c r="AE11" s="28">
        <f>IF(('Activity data'!AE12*EF!$H11)*kgtoGg=0,"NO",('Activity data'!AE12*EF!$H11)*kgtoGg)</f>
        <v>14.374349555497698</v>
      </c>
      <c r="AF11" s="28">
        <f>IF(('Activity data'!AF12*EF!$H11)*kgtoGg=0,"NO",('Activity data'!AF12*EF!$H11)*kgtoGg)</f>
        <v>14.392057035778212</v>
      </c>
      <c r="AG11" s="28">
        <f>IF(('Activity data'!AG12*EF!$H11)*kgtoGg=0,"NO",('Activity data'!AG12*EF!$H11)*kgtoGg)</f>
        <v>14.419174438919741</v>
      </c>
      <c r="AH11" s="28">
        <f>IF(('Activity data'!AH12*EF!$H11)*kgtoGg=0,"NO",('Activity data'!AH12*EF!$H11)*kgtoGg)</f>
        <v>14.455199426323112</v>
      </c>
      <c r="AI11" s="28">
        <f>IF(('Activity data'!AI12*EF!$H11)*kgtoGg=0,"NO",('Activity data'!AI12*EF!$H11)*kgtoGg)</f>
        <v>14.500516911793326</v>
      </c>
      <c r="AJ11" s="28">
        <f>IF(('Activity data'!AJ12*EF!$H11)*kgtoGg=0,"NO",('Activity data'!AJ12*EF!$H11)*kgtoGg)</f>
        <v>14.550745210705466</v>
      </c>
      <c r="AK11" s="28">
        <f>IF(('Activity data'!AK12*EF!$H11)*kgtoGg=0,"NO",('Activity data'!AK12*EF!$H11)*kgtoGg)</f>
        <v>14.606018098139307</v>
      </c>
      <c r="AL11" s="28">
        <f>IF(('Activity data'!AL12*EF!$H11)*kgtoGg=0,"NO",('Activity data'!AL12*EF!$H11)*kgtoGg)</f>
        <v>14.659304978882412</v>
      </c>
      <c r="AM11" s="28">
        <f>IF(('Activity data'!AM12*EF!$H11)*kgtoGg=0,"NO",('Activity data'!AM12*EF!$H11)*kgtoGg)</f>
        <v>14.68042898010858</v>
      </c>
      <c r="AN11" s="28">
        <f>IF(('Activity data'!AN12*EF!$H11)*kgtoGg=0,"NO",('Activity data'!AN12*EF!$H11)*kgtoGg)</f>
        <v>14.70510089197758</v>
      </c>
      <c r="AO11" s="28">
        <f>IF(('Activity data'!AO12*EF!$H11)*kgtoGg=0,"NO",('Activity data'!AO12*EF!$H11)*kgtoGg)</f>
        <v>14.733220962339077</v>
      </c>
      <c r="AP11" s="28">
        <f>IF(('Activity data'!AP12*EF!$H11)*kgtoGg=0,"NO",('Activity data'!AP12*EF!$H11)*kgtoGg)</f>
        <v>14.764683556040787</v>
      </c>
      <c r="AQ11" s="28">
        <f>IF(('Activity data'!AQ12*EF!$H11)*kgtoGg=0,"NO",('Activity data'!AQ12*EF!$H11)*kgtoGg)</f>
        <v>14.79938098579203</v>
      </c>
      <c r="AR11" s="28">
        <f>IF(('Activity data'!AR12*EF!$H11)*kgtoGg=0,"NO",('Activity data'!AR12*EF!$H11)*kgtoGg)</f>
        <v>14.820688833381046</v>
      </c>
      <c r="AS11" s="28">
        <f>IF(('Activity data'!AS12*EF!$H11)*kgtoGg=0,"NO",('Activity data'!AS12*EF!$H11)*kgtoGg)</f>
        <v>14.84470679568391</v>
      </c>
      <c r="AT11" s="28">
        <f>IF(('Activity data'!AT12*EF!$H11)*kgtoGg=0,"NO",('Activity data'!AT12*EF!$H11)*kgtoGg)</f>
        <v>14.871321616729022</v>
      </c>
      <c r="AU11" s="28">
        <f>IF(('Activity data'!AU12*EF!$H11)*kgtoGg=0,"NO",('Activity data'!AU12*EF!$H11)*kgtoGg)</f>
        <v>14.900550748334355</v>
      </c>
      <c r="AV11" s="28">
        <f>IF(('Activity data'!AV12*EF!$H11)*kgtoGg=0,"NO",('Activity data'!AV12*EF!$H11)*kgtoGg)</f>
        <v>14.932000188336044</v>
      </c>
      <c r="AW11" s="28">
        <f>IF(('Activity data'!AW12*EF!$H11)*kgtoGg=0,"NO",('Activity data'!AW12*EF!$H11)*kgtoGg)</f>
        <v>14.952807896978378</v>
      </c>
      <c r="AX11" s="28">
        <f>IF(('Activity data'!AX12*EF!$H11)*kgtoGg=0,"NO",('Activity data'!AX12*EF!$H11)*kgtoGg)</f>
        <v>14.975651713859788</v>
      </c>
      <c r="AY11" s="28">
        <f>IF(('Activity data'!AY12*EF!$H11)*kgtoGg=0,"NO",('Activity data'!AY12*EF!$H11)*kgtoGg)</f>
        <v>15.000437317837969</v>
      </c>
      <c r="AZ11" s="28">
        <f>IF(('Activity data'!AZ12*EF!$H11)*kgtoGg=0,"NO",('Activity data'!AZ12*EF!$H11)*kgtoGg)</f>
        <v>15.027076672546466</v>
      </c>
      <c r="BA11" s="28">
        <f>IF(('Activity data'!BA12*EF!$H11)*kgtoGg=0,"NO",('Activity data'!BA12*EF!$H11)*kgtoGg)</f>
        <v>15.055202548408889</v>
      </c>
      <c r="BB11" s="28">
        <f>IF(('Activity data'!BB12*EF!$H11)*kgtoGg=0,"NO",('Activity data'!BB12*EF!$H11)*kgtoGg)</f>
        <v>15.072640794733422</v>
      </c>
      <c r="BC11" s="28">
        <f>IF(('Activity data'!BC12*EF!$H11)*kgtoGg=0,"NO",('Activity data'!BC12*EF!$H11)*kgtoGg)</f>
        <v>15.09178353115537</v>
      </c>
      <c r="BD11" s="28">
        <f>IF(('Activity data'!BD12*EF!$H11)*kgtoGg=0,"NO",('Activity data'!BD12*EF!$H11)*kgtoGg)</f>
        <v>15.1125151141192</v>
      </c>
      <c r="BE11" s="28">
        <f>IF(('Activity data'!BE12*EF!$H11)*kgtoGg=0,"NO",('Activity data'!BE12*EF!$H11)*kgtoGg)</f>
        <v>15.134562510693392</v>
      </c>
      <c r="BF11" s="28">
        <f>IF(('Activity data'!BF12*EF!$H11)*kgtoGg=0,"NO",('Activity data'!BF12*EF!$H11)*kgtoGg)</f>
        <v>15.157999271267505</v>
      </c>
      <c r="BG11" s="28">
        <f>IF(('Activity data'!BG12*EF!$H11)*kgtoGg=0,"NO",('Activity data'!BG12*EF!$H11)*kgtoGg)</f>
        <v>15.171250721537087</v>
      </c>
      <c r="BH11" s="28">
        <f>IF(('Activity data'!BH12*EF!$H11)*kgtoGg=0,"NO",('Activity data'!BH12*EF!$H11)*kgtoGg)</f>
        <v>15.185851436797627</v>
      </c>
      <c r="BI11" s="28">
        <f>IF(('Activity data'!BI12*EF!$H11)*kgtoGg=0,"NO",('Activity data'!BI12*EF!$H11)*kgtoGg)</f>
        <v>15.201802664689287</v>
      </c>
      <c r="BJ11" s="28">
        <f>IF(('Activity data'!BJ12*EF!$H11)*kgtoGg=0,"NO",('Activity data'!BJ12*EF!$H11)*kgtoGg)</f>
        <v>15.219051139637159</v>
      </c>
      <c r="BK11" s="28">
        <f>IF(('Activity data'!BK12*EF!$H11)*kgtoGg=0,"NO",('Activity data'!BK12*EF!$H11)*kgtoGg)</f>
        <v>15.237649745948479</v>
      </c>
      <c r="BL11" s="28">
        <f>IF(('Activity data'!BL12*EF!$H11)*kgtoGg=0,"NO",('Activity data'!BL12*EF!$H11)*kgtoGg)</f>
        <v>15.245799128134031</v>
      </c>
      <c r="BM11" s="28">
        <f>IF(('Activity data'!BM12*EF!$H11)*kgtoGg=0,"NO",('Activity data'!BM12*EF!$H11)*kgtoGg)</f>
        <v>15.255095208475492</v>
      </c>
      <c r="BN11" s="28">
        <f>IF(('Activity data'!BN12*EF!$H11)*kgtoGg=0,"NO",('Activity data'!BN12*EF!$H11)*kgtoGg)</f>
        <v>15.265286467748556</v>
      </c>
      <c r="BO11" s="28">
        <f>IF(('Activity data'!BO12*EF!$H11)*kgtoGg=0,"NO",('Activity data'!BO12*EF!$H11)*kgtoGg)</f>
        <v>15.276584162172039</v>
      </c>
      <c r="BP11" s="28">
        <f>IF(('Activity data'!BP12*EF!$H11)*kgtoGg=0,"NO",('Activity data'!BP12*EF!$H11)*kgtoGg)</f>
        <v>15.289017403472641</v>
      </c>
    </row>
    <row r="12" spans="1:74" x14ac:dyDescent="0.25">
      <c r="A12" t="str">
        <f t="shared" si="1"/>
        <v>3A Livestock</v>
      </c>
      <c r="B12" t="str">
        <f t="shared" si="2"/>
        <v>3A1 Enteric fermentation (CH4)</v>
      </c>
      <c r="C12" t="str">
        <f>EF!C12</f>
        <v>3A1d Goats</v>
      </c>
      <c r="D12" t="str">
        <f>EF!D12</f>
        <v>Commercial</v>
      </c>
      <c r="E12" t="str">
        <f t="shared" si="3"/>
        <v>Enteric fermentation Emissions</v>
      </c>
      <c r="F12" t="str">
        <f t="shared" si="4"/>
        <v>CH4</v>
      </c>
      <c r="G12" t="str">
        <f t="shared" si="5"/>
        <v>Gg CH4</v>
      </c>
      <c r="H12" s="28">
        <f>IF(('Activity data'!H13*EF!$H12)*kgtoGg=0,"NO",('Activity data'!H13*EF!$H12)*kgtoGg)</f>
        <v>20.285563221215835</v>
      </c>
      <c r="I12" s="28">
        <f>IF(('Activity data'!I13*EF!$H12)*kgtoGg=0,"NO",('Activity data'!I13*EF!$H12)*kgtoGg)</f>
        <v>17.938171082062887</v>
      </c>
      <c r="J12" s="28">
        <f>IF(('Activity data'!J13*EF!$H12)*kgtoGg=0,"NO",('Activity data'!J13*EF!$H12)*kgtoGg)</f>
        <v>16.709629401758534</v>
      </c>
      <c r="K12" s="28">
        <f>IF(('Activity data'!K13*EF!$H12)*kgtoGg=0,"NO",('Activity data'!K13*EF!$H12)*kgtoGg)</f>
        <v>15.788223141530271</v>
      </c>
      <c r="L12" s="28">
        <f>IF(('Activity data'!L13*EF!$H12)*kgtoGg=0,"NO",('Activity data'!L13*EF!$H12)*kgtoGg)</f>
        <v>17.089892302805115</v>
      </c>
      <c r="M12" s="28">
        <f>IF(('Activity data'!M13*EF!$H12)*kgtoGg=0,"NO",('Activity data'!M13*EF!$H12)*kgtoGg)</f>
        <v>17.32390024191071</v>
      </c>
      <c r="N12" s="28">
        <f>IF(('Activity data'!N13*EF!$H12)*kgtoGg=0,"NO",('Activity data'!N13*EF!$H12)*kgtoGg)</f>
        <v>17.594471921501544</v>
      </c>
      <c r="O12" s="28">
        <f>IF(('Activity data'!O13*EF!$H12)*kgtoGg=0,"NO",('Activity data'!O13*EF!$H12)*kgtoGg)</f>
        <v>17.506718944336949</v>
      </c>
      <c r="P12" s="28">
        <f>IF(('Activity data'!P13*EF!$H12)*kgtoGg=0,"NO",('Activity data'!P13*EF!$H12)*kgtoGg)</f>
        <v>17.258085509037262</v>
      </c>
      <c r="Q12" s="28">
        <f>IF(('Activity data'!Q13*EF!$H12)*kgtoGg=0,"NO",('Activity data'!Q13*EF!$H12)*kgtoGg)</f>
        <v>17.002139325640524</v>
      </c>
      <c r="R12" s="28">
        <f>IF(('Activity data'!R13*EF!$H12)*kgtoGg=0,"NO",('Activity data'!R13*EF!$H12)*kgtoGg)</f>
        <v>17.221521768552012</v>
      </c>
      <c r="S12" s="28">
        <f>IF(('Activity data'!S13*EF!$H12)*kgtoGg=0,"NO",('Activity data'!S13*EF!$H12)*kgtoGg)</f>
        <v>17.748039631539594</v>
      </c>
      <c r="T12" s="28">
        <f>IF(('Activity data'!T13*EF!$H12)*kgtoGg=0,"NO",('Activity data'!T13*EF!$H12)*kgtoGg)</f>
        <v>16.205049783062112</v>
      </c>
      <c r="U12" s="28">
        <f>IF(('Activity data'!U13*EF!$H12)*kgtoGg=0,"NO",('Activity data'!U13*EF!$H12)*kgtoGg)</f>
        <v>15.795535889627324</v>
      </c>
      <c r="V12" s="28">
        <f>IF(('Activity data'!V13*EF!$H12)*kgtoGg=0,"NO",('Activity data'!V13*EF!$H12)*kgtoGg)</f>
        <v>15.824786882015525</v>
      </c>
      <c r="W12" s="28">
        <f>IF(('Activity data'!W13*EF!$H12)*kgtoGg=0,"NO",('Activity data'!W13*EF!$H12)*kgtoGg)</f>
        <v>15.620029935298131</v>
      </c>
      <c r="X12" s="28">
        <f>IF(('Activity data'!X13*EF!$H12)*kgtoGg=0,"NO",('Activity data'!X13*EF!$H12)*kgtoGg)</f>
        <v>15.949103599665367</v>
      </c>
      <c r="Y12" s="28">
        <f>IF(('Activity data'!Y13*EF!$H12)*kgtoGg=0,"NO",('Activity data'!Y13*EF!$H12)*kgtoGg)</f>
        <v>15.473774973357138</v>
      </c>
      <c r="Z12" s="28">
        <f>IF(('Activity data'!Z13*EF!$H12)*kgtoGg=0,"NO",('Activity data'!Z13*EF!$H12)*kgtoGg)</f>
        <v>15.459149477163042</v>
      </c>
      <c r="AA12" s="28">
        <f>IF(('Activity data'!AA13*EF!$H12)*kgtoGg=0,"NO",('Activity data'!AA13*EF!$H12)*kgtoGg)</f>
        <v>15.188577797572201</v>
      </c>
      <c r="AB12" s="28">
        <f>IF(('Activity data'!AB13*EF!$H12)*kgtoGg=0,"NO",('Activity data'!AB13*EF!$H12)*kgtoGg)</f>
        <v>15.005759095145958</v>
      </c>
      <c r="AC12" s="28">
        <f>IF(('Activity data'!AC13*EF!$H12)*kgtoGg=0,"NO",('Activity data'!AC13*EF!$H12)*kgtoGg)</f>
        <v>14.866816881302015</v>
      </c>
      <c r="AD12" s="28">
        <f>IF(('Activity data'!AD13*EF!$H12)*kgtoGg=0,"NO",('Activity data'!AD13*EF!$H12)*kgtoGg)</f>
        <v>15.118806395711099</v>
      </c>
      <c r="AE12" s="28">
        <f>IF(('Activity data'!AE13*EF!$H12)*kgtoGg=0,"NO",('Activity data'!AE13*EF!$H12)*kgtoGg)</f>
        <v>15.158161634158276</v>
      </c>
      <c r="AF12" s="28">
        <f>IF(('Activity data'!AF13*EF!$H12)*kgtoGg=0,"NO",('Activity data'!AF13*EF!$H12)*kgtoGg)</f>
        <v>15.210965614579624</v>
      </c>
      <c r="AG12" s="28">
        <f>IF(('Activity data'!AG13*EF!$H12)*kgtoGg=0,"NO",('Activity data'!AG13*EF!$H12)*kgtoGg)</f>
        <v>15.276600008720887</v>
      </c>
      <c r="AH12" s="28">
        <f>IF(('Activity data'!AH13*EF!$H12)*kgtoGg=0,"NO",('Activity data'!AH13*EF!$H12)*kgtoGg)</f>
        <v>15.354419498224201</v>
      </c>
      <c r="AI12" s="28">
        <f>IF(('Activity data'!AI13*EF!$H12)*kgtoGg=0,"NO",('Activity data'!AI13*EF!$H12)*kgtoGg)</f>
        <v>15.445205676727477</v>
      </c>
      <c r="AJ12" s="28">
        <f>IF(('Activity data'!AJ13*EF!$H12)*kgtoGg=0,"NO",('Activity data'!AJ13*EF!$H12)*kgtoGg)</f>
        <v>15.541879900428672</v>
      </c>
      <c r="AK12" s="28">
        <f>IF(('Activity data'!AK13*EF!$H12)*kgtoGg=0,"NO",('Activity data'!AK13*EF!$H12)*kgtoGg)</f>
        <v>15.644803185917503</v>
      </c>
      <c r="AL12" s="28">
        <f>IF(('Activity data'!AL13*EF!$H12)*kgtoGg=0,"NO",('Activity data'!AL13*EF!$H12)*kgtoGg)</f>
        <v>15.742620296925242</v>
      </c>
      <c r="AM12" s="28">
        <f>IF(('Activity data'!AM13*EF!$H12)*kgtoGg=0,"NO",('Activity data'!AM13*EF!$H12)*kgtoGg)</f>
        <v>15.78640858938242</v>
      </c>
      <c r="AN12" s="28">
        <f>IF(('Activity data'!AN13*EF!$H12)*kgtoGg=0,"NO",('Activity data'!AN13*EF!$H12)*kgtoGg)</f>
        <v>15.834669329529609</v>
      </c>
      <c r="AO12" s="28">
        <f>IF(('Activity data'!AO13*EF!$H12)*kgtoGg=0,"NO",('Activity data'!AO13*EF!$H12)*kgtoGg)</f>
        <v>15.887308887882906</v>
      </c>
      <c r="AP12" s="28">
        <f>IF(('Activity data'!AP13*EF!$H12)*kgtoGg=0,"NO",('Activity data'!AP13*EF!$H12)*kgtoGg)</f>
        <v>15.944214635442652</v>
      </c>
      <c r="AQ12" s="28">
        <f>IF(('Activity data'!AQ13*EF!$H12)*kgtoGg=0,"NO",('Activity data'!AQ13*EF!$H12)*kgtoGg)</f>
        <v>16.005262907087989</v>
      </c>
      <c r="AR12" s="28">
        <f>IF(('Activity data'!AR13*EF!$H12)*kgtoGg=0,"NO",('Activity data'!AR13*EF!$H12)*kgtoGg)</f>
        <v>16.043767625900216</v>
      </c>
      <c r="AS12" s="28">
        <f>IF(('Activity data'!AS13*EF!$H12)*kgtoGg=0,"NO",('Activity data'!AS13*EF!$H12)*kgtoGg)</f>
        <v>16.085772569108869</v>
      </c>
      <c r="AT12" s="28">
        <f>IF(('Activity data'!AT13*EF!$H12)*kgtoGg=0,"NO",('Activity data'!AT13*EF!$H12)*kgtoGg)</f>
        <v>16.131128396084478</v>
      </c>
      <c r="AU12" s="28">
        <f>IF(('Activity data'!AU13*EF!$H12)*kgtoGg=0,"NO",('Activity data'!AU13*EF!$H12)*kgtoGg)</f>
        <v>16.179891193387736</v>
      </c>
      <c r="AV12" s="28">
        <f>IF(('Activity data'!AV13*EF!$H12)*kgtoGg=0,"NO",('Activity data'!AV13*EF!$H12)*kgtoGg)</f>
        <v>16.231456730618024</v>
      </c>
      <c r="AW12" s="28">
        <f>IF(('Activity data'!AW13*EF!$H12)*kgtoGg=0,"NO",('Activity data'!AW13*EF!$H12)*kgtoGg)</f>
        <v>16.265391010689733</v>
      </c>
      <c r="AX12" s="28">
        <f>IF(('Activity data'!AX13*EF!$H12)*kgtoGg=0,"NO",('Activity data'!AX13*EF!$H12)*kgtoGg)</f>
        <v>16.301963479123231</v>
      </c>
      <c r="AY12" s="28">
        <f>IF(('Activity data'!AY13*EF!$H12)*kgtoGg=0,"NO",('Activity data'!AY13*EF!$H12)*kgtoGg)</f>
        <v>16.341041699684709</v>
      </c>
      <c r="AZ12" s="28">
        <f>IF(('Activity data'!AZ13*EF!$H12)*kgtoGg=0,"NO",('Activity data'!AZ13*EF!$H12)*kgtoGg)</f>
        <v>16.382501866654639</v>
      </c>
      <c r="BA12" s="28">
        <f>IF(('Activity data'!BA13*EF!$H12)*kgtoGg=0,"NO",('Activity data'!BA13*EF!$H12)*kgtoGg)</f>
        <v>16.425778475693182</v>
      </c>
      <c r="BB12" s="28">
        <f>IF(('Activity data'!BB13*EF!$H12)*kgtoGg=0,"NO",('Activity data'!BB13*EF!$H12)*kgtoGg)</f>
        <v>16.451712661301954</v>
      </c>
      <c r="BC12" s="28">
        <f>IF(('Activity data'!BC13*EF!$H12)*kgtoGg=0,"NO",('Activity data'!BC13*EF!$H12)*kgtoGg)</f>
        <v>16.479906492063137</v>
      </c>
      <c r="BD12" s="28">
        <f>IF(('Activity data'!BD13*EF!$H12)*kgtoGg=0,"NO",('Activity data'!BD13*EF!$H12)*kgtoGg)</f>
        <v>16.510186577162052</v>
      </c>
      <c r="BE12" s="28">
        <f>IF(('Activity data'!BE13*EF!$H12)*kgtoGg=0,"NO",('Activity data'!BE13*EF!$H12)*kgtoGg)</f>
        <v>16.542133018449302</v>
      </c>
      <c r="BF12" s="28">
        <f>IF(('Activity data'!BF13*EF!$H12)*kgtoGg=0,"NO",('Activity data'!BF13*EF!$H12)*kgtoGg)</f>
        <v>16.575869665278656</v>
      </c>
      <c r="BG12" s="28">
        <f>IF(('Activity data'!BG13*EF!$H12)*kgtoGg=0,"NO",('Activity data'!BG13*EF!$H12)*kgtoGg)</f>
        <v>16.59333869266608</v>
      </c>
      <c r="BH12" s="28">
        <f>IF(('Activity data'!BH13*EF!$H12)*kgtoGg=0,"NO",('Activity data'!BH13*EF!$H12)*kgtoGg)</f>
        <v>16.612611583199037</v>
      </c>
      <c r="BI12" s="28">
        <f>IF(('Activity data'!BI13*EF!$H12)*kgtoGg=0,"NO",('Activity data'!BI13*EF!$H12)*kgtoGg)</f>
        <v>16.633694393637665</v>
      </c>
      <c r="BJ12" s="28">
        <f>IF(('Activity data'!BJ13*EF!$H12)*kgtoGg=0,"NO",('Activity data'!BJ13*EF!$H12)*kgtoGg)</f>
        <v>16.656507779449843</v>
      </c>
      <c r="BK12" s="28">
        <f>IF(('Activity data'!BK13*EF!$H12)*kgtoGg=0,"NO",('Activity data'!BK13*EF!$H12)*kgtoGg)</f>
        <v>16.681136822967307</v>
      </c>
      <c r="BL12" s="28">
        <f>IF(('Activity data'!BL13*EF!$H12)*kgtoGg=0,"NO",('Activity data'!BL13*EF!$H12)*kgtoGg)</f>
        <v>16.689323735958666</v>
      </c>
      <c r="BM12" s="28">
        <f>IF(('Activity data'!BM13*EF!$H12)*kgtoGg=0,"NO",('Activity data'!BM13*EF!$H12)*kgtoGg)</f>
        <v>16.699075311168432</v>
      </c>
      <c r="BN12" s="28">
        <f>IF(('Activity data'!BN13*EF!$H12)*kgtoGg=0,"NO",('Activity data'!BN13*EF!$H12)*kgtoGg)</f>
        <v>16.710004956891837</v>
      </c>
      <c r="BO12" s="28">
        <f>IF(('Activity data'!BO13*EF!$H12)*kgtoGg=0,"NO",('Activity data'!BO13*EF!$H12)*kgtoGg)</f>
        <v>16.722440826217763</v>
      </c>
      <c r="BP12" s="28">
        <f>IF(('Activity data'!BP13*EF!$H12)*kgtoGg=0,"NO",('Activity data'!BP13*EF!$H12)*kgtoGg)</f>
        <v>16.736428515877165</v>
      </c>
    </row>
    <row r="13" spans="1:74" x14ac:dyDescent="0.25">
      <c r="A13" t="str">
        <f t="shared" si="1"/>
        <v>3A Livestock</v>
      </c>
      <c r="B13" t="str">
        <f t="shared" si="2"/>
        <v>3A1 Enteric fermentation (CH4)</v>
      </c>
      <c r="C13" t="str">
        <f>EF!C13</f>
        <v>3A1d Goats</v>
      </c>
      <c r="D13" t="str">
        <f>EF!D13</f>
        <v>Subsistence</v>
      </c>
      <c r="E13" t="str">
        <f t="shared" si="3"/>
        <v>Enteric fermentation Emissions</v>
      </c>
      <c r="F13" t="str">
        <f t="shared" si="4"/>
        <v>CH4</v>
      </c>
      <c r="G13" t="str">
        <f t="shared" si="5"/>
        <v>Gg CH4</v>
      </c>
      <c r="H13" s="28">
        <f>IF(('Activity data'!H14*EF!$H13)*kgtoGg=0,"NO",('Activity data'!H14*EF!$H13)*kgtoGg)</f>
        <v>30.547177763222784</v>
      </c>
      <c r="I13" s="28">
        <f>IF(('Activity data'!I14*EF!$H13)*kgtoGg=0,"NO",('Activity data'!I14*EF!$H13)*kgtoGg)</f>
        <v>27.012338519533348</v>
      </c>
      <c r="J13" s="28">
        <f>IF(('Activity data'!J14*EF!$H13)*kgtoGg=0,"NO",('Activity data'!J14*EF!$H13)*kgtoGg)</f>
        <v>25.162329195733268</v>
      </c>
      <c r="K13" s="28">
        <f>IF(('Activity data'!K14*EF!$H13)*kgtoGg=0,"NO",('Activity data'!K14*EF!$H13)*kgtoGg)</f>
        <v>23.774822202883204</v>
      </c>
      <c r="L13" s="28">
        <f>IF(('Activity data'!L14*EF!$H13)*kgtoGg=0,"NO",('Activity data'!L14*EF!$H13)*kgtoGg)</f>
        <v>25.734951129290433</v>
      </c>
      <c r="M13" s="28">
        <f>IF(('Activity data'!M14*EF!$H13)*kgtoGg=0,"NO",('Activity data'!M14*EF!$H13)*kgtoGg)</f>
        <v>26.087333857633308</v>
      </c>
      <c r="N13" s="28">
        <f>IF(('Activity data'!N14*EF!$H13)*kgtoGg=0,"NO",('Activity data'!N14*EF!$H13)*kgtoGg)</f>
        <v>26.494776387279753</v>
      </c>
      <c r="O13" s="28">
        <f>IF(('Activity data'!O14*EF!$H13)*kgtoGg=0,"NO",('Activity data'!O14*EF!$H13)*kgtoGg)</f>
        <v>26.362632864151173</v>
      </c>
      <c r="P13" s="28">
        <f>IF(('Activity data'!P14*EF!$H13)*kgtoGg=0,"NO",('Activity data'!P14*EF!$H13)*kgtoGg)</f>
        <v>25.988226215286872</v>
      </c>
      <c r="Q13" s="28">
        <f>IF(('Activity data'!Q14*EF!$H13)*kgtoGg=0,"NO",('Activity data'!Q14*EF!$H13)*kgtoGg)</f>
        <v>25.602807606161857</v>
      </c>
      <c r="R13" s="28">
        <f>IF(('Activity data'!R14*EF!$H13)*kgtoGg=0,"NO",('Activity data'!R14*EF!$H13)*kgtoGg)</f>
        <v>25.933166413983301</v>
      </c>
      <c r="S13" s="28">
        <f>IF(('Activity data'!S14*EF!$H13)*kgtoGg=0,"NO",('Activity data'!S14*EF!$H13)*kgtoGg)</f>
        <v>26.726027552754761</v>
      </c>
      <c r="T13" s="28">
        <f>IF(('Activity data'!T14*EF!$H13)*kgtoGg=0,"NO",('Activity data'!T14*EF!$H13)*kgtoGg)</f>
        <v>24.402503937743941</v>
      </c>
      <c r="U13" s="28">
        <f>IF(('Activity data'!U14*EF!$H13)*kgtoGg=0,"NO",('Activity data'!U14*EF!$H13)*kgtoGg)</f>
        <v>23.785834163143917</v>
      </c>
      <c r="V13" s="28">
        <f>IF(('Activity data'!V14*EF!$H13)*kgtoGg=0,"NO",('Activity data'!V14*EF!$H13)*kgtoGg)</f>
        <v>23.829882004186778</v>
      </c>
      <c r="W13" s="28">
        <f>IF(('Activity data'!W14*EF!$H13)*kgtoGg=0,"NO",('Activity data'!W14*EF!$H13)*kgtoGg)</f>
        <v>23.521547116886765</v>
      </c>
      <c r="X13" s="28">
        <f>IF(('Activity data'!X14*EF!$H13)*kgtoGg=0,"NO",('Activity data'!X14*EF!$H13)*kgtoGg)</f>
        <v>24.017085328618933</v>
      </c>
      <c r="Y13" s="28">
        <f>IF(('Activity data'!Y14*EF!$H13)*kgtoGg=0,"NO",('Activity data'!Y14*EF!$H13)*kgtoGg)</f>
        <v>23.301307911672467</v>
      </c>
      <c r="Z13" s="28">
        <f>IF(('Activity data'!Z14*EF!$H13)*kgtoGg=0,"NO",('Activity data'!Z14*EF!$H13)*kgtoGg)</f>
        <v>23.279283991151036</v>
      </c>
      <c r="AA13" s="28">
        <f>IF(('Activity data'!AA14*EF!$H13)*kgtoGg=0,"NO",('Activity data'!AA14*EF!$H13)*kgtoGg)</f>
        <v>22.871841461504591</v>
      </c>
      <c r="AB13" s="28">
        <f>IF(('Activity data'!AB14*EF!$H13)*kgtoGg=0,"NO",('Activity data'!AB14*EF!$H13)*kgtoGg)</f>
        <v>22.596542454986725</v>
      </c>
      <c r="AC13" s="28">
        <f>IF(('Activity data'!AC14*EF!$H13)*kgtoGg=0,"NO",('Activity data'!AC14*EF!$H13)*kgtoGg)</f>
        <v>22.38731521003314</v>
      </c>
      <c r="AD13" s="28">
        <f>IF(('Activity data'!AD14*EF!$H13)*kgtoGg=0,"NO",('Activity data'!AD14*EF!$H13)*kgtoGg)</f>
        <v>22.374282613411296</v>
      </c>
      <c r="AE13" s="28">
        <f>IF(('Activity data'!AE14*EF!$H13)*kgtoGg=0,"NO",('Activity data'!AE14*EF!$H13)*kgtoGg)</f>
        <v>22.432524329343654</v>
      </c>
      <c r="AF13" s="28">
        <f>IF(('Activity data'!AF14*EF!$H13)*kgtoGg=0,"NO",('Activity data'!AF14*EF!$H13)*kgtoGg)</f>
        <v>22.510668803856898</v>
      </c>
      <c r="AG13" s="28">
        <f>IF(('Activity data'!AG14*EF!$H13)*kgtoGg=0,"NO",('Activity data'!AG14*EF!$H13)*kgtoGg)</f>
        <v>22.607800974561403</v>
      </c>
      <c r="AH13" s="28">
        <f>IF(('Activity data'!AH14*EF!$H13)*kgtoGg=0,"NO",('Activity data'!AH14*EF!$H13)*kgtoGg)</f>
        <v>22.72296583648281</v>
      </c>
      <c r="AI13" s="28">
        <f>IF(('Activity data'!AI14*EF!$H13)*kgtoGg=0,"NO",('Activity data'!AI14*EF!$H13)*kgtoGg)</f>
        <v>22.857320068031154</v>
      </c>
      <c r="AJ13" s="28">
        <f>IF(('Activity data'!AJ14*EF!$H13)*kgtoGg=0,"NO",('Activity data'!AJ14*EF!$H13)*kgtoGg)</f>
        <v>23.000388002490336</v>
      </c>
      <c r="AK13" s="28">
        <f>IF(('Activity data'!AK14*EF!$H13)*kgtoGg=0,"NO",('Activity data'!AK14*EF!$H13)*kgtoGg)</f>
        <v>23.152703907380893</v>
      </c>
      <c r="AL13" s="28">
        <f>IF(('Activity data'!AL14*EF!$H13)*kgtoGg=0,"NO",('Activity data'!AL14*EF!$H13)*kgtoGg)</f>
        <v>23.297463197819024</v>
      </c>
      <c r="AM13" s="28">
        <f>IF(('Activity data'!AM14*EF!$H13)*kgtoGg=0,"NO",('Activity data'!AM14*EF!$H13)*kgtoGg)</f>
        <v>23.362265378953747</v>
      </c>
      <c r="AN13" s="28">
        <f>IF(('Activity data'!AN14*EF!$H13)*kgtoGg=0,"NO",('Activity data'!AN14*EF!$H13)*kgtoGg)</f>
        <v>23.433686323896325</v>
      </c>
      <c r="AO13" s="28">
        <f>IF(('Activity data'!AO14*EF!$H13)*kgtoGg=0,"NO",('Activity data'!AO14*EF!$H13)*kgtoGg)</f>
        <v>23.511587470614888</v>
      </c>
      <c r="AP13" s="28">
        <f>IF(('Activity data'!AP14*EF!$H13)*kgtoGg=0,"NO",('Activity data'!AP14*EF!$H13)*kgtoGg)</f>
        <v>23.595802139743153</v>
      </c>
      <c r="AQ13" s="28">
        <f>IF(('Activity data'!AQ14*EF!$H13)*kgtoGg=0,"NO",('Activity data'!AQ14*EF!$H13)*kgtoGg)</f>
        <v>23.686147319587551</v>
      </c>
      <c r="AR13" s="28">
        <f>IF(('Activity data'!AR14*EF!$H13)*kgtoGg=0,"NO",('Activity data'!AR14*EF!$H13)*kgtoGg)</f>
        <v>23.743130353704522</v>
      </c>
      <c r="AS13" s="28">
        <f>IF(('Activity data'!AS14*EF!$H13)*kgtoGg=0,"NO",('Activity data'!AS14*EF!$H13)*kgtoGg)</f>
        <v>23.805293360883265</v>
      </c>
      <c r="AT13" s="28">
        <f>IF(('Activity data'!AT14*EF!$H13)*kgtoGg=0,"NO",('Activity data'!AT14*EF!$H13)*kgtoGg)</f>
        <v>23.872415332311192</v>
      </c>
      <c r="AU13" s="28">
        <f>IF(('Activity data'!AU14*EF!$H13)*kgtoGg=0,"NO",('Activity data'!AU14*EF!$H13)*kgtoGg)</f>
        <v>23.944579270344896</v>
      </c>
      <c r="AV13" s="28">
        <f>IF(('Activity data'!AV14*EF!$H13)*kgtoGg=0,"NO",('Activity data'!AV14*EF!$H13)*kgtoGg)</f>
        <v>24.020890975972002</v>
      </c>
      <c r="AW13" s="28">
        <f>IF(('Activity data'!AW14*EF!$H13)*kgtoGg=0,"NO",('Activity data'!AW14*EF!$H13)*kgtoGg)</f>
        <v>24.071110229578061</v>
      </c>
      <c r="AX13" s="28">
        <f>IF(('Activity data'!AX14*EF!$H13)*kgtoGg=0,"NO",('Activity data'!AX14*EF!$H13)*kgtoGg)</f>
        <v>24.125233731340298</v>
      </c>
      <c r="AY13" s="28">
        <f>IF(('Activity data'!AY14*EF!$H13)*kgtoGg=0,"NO",('Activity data'!AY14*EF!$H13)*kgtoGg)</f>
        <v>24.183065489217679</v>
      </c>
      <c r="AZ13" s="28">
        <f>IF(('Activity data'!AZ14*EF!$H13)*kgtoGg=0,"NO",('Activity data'!AZ14*EF!$H13)*kgtoGg)</f>
        <v>24.244422283445004</v>
      </c>
      <c r="BA13" s="28">
        <f>IF(('Activity data'!BA14*EF!$H13)*kgtoGg=0,"NO",('Activity data'!BA14*EF!$H13)*kgtoGg)</f>
        <v>24.308467225607444</v>
      </c>
      <c r="BB13" s="28">
        <f>IF(('Activity data'!BB14*EF!$H13)*kgtoGg=0,"NO",('Activity data'!BB14*EF!$H13)*kgtoGg)</f>
        <v>24.34684716003957</v>
      </c>
      <c r="BC13" s="28">
        <f>IF(('Activity data'!BC14*EF!$H13)*kgtoGg=0,"NO",('Activity data'!BC14*EF!$H13)*kgtoGg)</f>
        <v>24.38857113750807</v>
      </c>
      <c r="BD13" s="28">
        <f>IF(('Activity data'!BD14*EF!$H13)*kgtoGg=0,"NO",('Activity data'!BD14*EF!$H13)*kgtoGg)</f>
        <v>24.433382557393276</v>
      </c>
      <c r="BE13" s="28">
        <f>IF(('Activity data'!BE14*EF!$H13)*kgtoGg=0,"NO",('Activity data'!BE14*EF!$H13)*kgtoGg)</f>
        <v>24.480660013506242</v>
      </c>
      <c r="BF13" s="28">
        <f>IF(('Activity data'!BF14*EF!$H13)*kgtoGg=0,"NO",('Activity data'!BF14*EF!$H13)*kgtoGg)</f>
        <v>24.530586790186373</v>
      </c>
      <c r="BG13" s="28">
        <f>IF(('Activity data'!BG14*EF!$H13)*kgtoGg=0,"NO",('Activity data'!BG14*EF!$H13)*kgtoGg)</f>
        <v>24.556439158787274</v>
      </c>
      <c r="BH13" s="28">
        <f>IF(('Activity data'!BH14*EF!$H13)*kgtoGg=0,"NO",('Activity data'!BH14*EF!$H13)*kgtoGg)</f>
        <v>24.584961059807458</v>
      </c>
      <c r="BI13" s="28">
        <f>IF(('Activity data'!BI14*EF!$H13)*kgtoGg=0,"NO",('Activity data'!BI14*EF!$H13)*kgtoGg)</f>
        <v>24.616161456630628</v>
      </c>
      <c r="BJ13" s="28">
        <f>IF(('Activity data'!BJ14*EF!$H13)*kgtoGg=0,"NO",('Activity data'!BJ14*EF!$H13)*kgtoGg)</f>
        <v>24.649922927488223</v>
      </c>
      <c r="BK13" s="28">
        <f>IF(('Activity data'!BK14*EF!$H13)*kgtoGg=0,"NO",('Activity data'!BK14*EF!$H13)*kgtoGg)</f>
        <v>24.686371385503666</v>
      </c>
      <c r="BL13" s="28">
        <f>IF(('Activity data'!BL14*EF!$H13)*kgtoGg=0,"NO",('Activity data'!BL14*EF!$H13)*kgtoGg)</f>
        <v>24.698487176936254</v>
      </c>
      <c r="BM13" s="28">
        <f>IF(('Activity data'!BM14*EF!$H13)*kgtoGg=0,"NO",('Activity data'!BM14*EF!$H13)*kgtoGg)</f>
        <v>24.712918507952644</v>
      </c>
      <c r="BN13" s="28">
        <f>IF(('Activity data'!BN14*EF!$H13)*kgtoGg=0,"NO",('Activity data'!BN14*EF!$H13)*kgtoGg)</f>
        <v>24.729093262485474</v>
      </c>
      <c r="BO13" s="28">
        <f>IF(('Activity data'!BO14*EF!$H13)*kgtoGg=0,"NO",('Activity data'!BO14*EF!$H13)*kgtoGg)</f>
        <v>24.747497073445093</v>
      </c>
      <c r="BP13" s="28">
        <f>IF(('Activity data'!BP14*EF!$H13)*kgtoGg=0,"NO",('Activity data'!BP14*EF!$H13)*kgtoGg)</f>
        <v>24.76819741931611</v>
      </c>
    </row>
    <row r="14" spans="1:74" x14ac:dyDescent="0.25">
      <c r="A14" t="str">
        <f t="shared" si="1"/>
        <v>3A Livestock</v>
      </c>
      <c r="B14" t="str">
        <f t="shared" si="2"/>
        <v>3A1 Enteric fermentation (CH4)</v>
      </c>
      <c r="C14" t="str">
        <f>EF!C14</f>
        <v>3A1f Horses</v>
      </c>
      <c r="D14" t="str">
        <f>EF!D14</f>
        <v>Horses</v>
      </c>
      <c r="E14" t="str">
        <f t="shared" si="3"/>
        <v>Enteric fermentation Emissions</v>
      </c>
      <c r="F14" t="str">
        <f t="shared" si="4"/>
        <v>CH4</v>
      </c>
      <c r="G14" t="str">
        <f t="shared" si="5"/>
        <v>Gg CH4</v>
      </c>
      <c r="H14" s="28">
        <f>IF(('Activity data'!H15*EF!$H14)*kgtoGg=0,"NO",('Activity data'!H15*EF!$H14)*kgtoGg)</f>
        <v>4.1399999999999997</v>
      </c>
      <c r="I14" s="28">
        <f>IF(('Activity data'!I15*EF!$H14)*kgtoGg=0,"NO",('Activity data'!I15*EF!$H14)*kgtoGg)</f>
        <v>4.1399999999999997</v>
      </c>
      <c r="J14" s="28">
        <f>IF(('Activity data'!J15*EF!$H14)*kgtoGg=0,"NO",('Activity data'!J15*EF!$H14)*kgtoGg)</f>
        <v>4.1399999999999997</v>
      </c>
      <c r="K14" s="28">
        <f>IF(('Activity data'!K15*EF!$H14)*kgtoGg=0,"NO",('Activity data'!K15*EF!$H14)*kgtoGg)</f>
        <v>4.2299999999999995</v>
      </c>
      <c r="L14" s="28">
        <f>IF(('Activity data'!L15*EF!$H14)*kgtoGg=0,"NO",('Activity data'!L15*EF!$H14)*kgtoGg)</f>
        <v>4.3199999999999994</v>
      </c>
      <c r="M14" s="28">
        <f>IF(('Activity data'!M15*EF!$H14)*kgtoGg=0,"NO",('Activity data'!M15*EF!$H14)*kgtoGg)</f>
        <v>4.41</v>
      </c>
      <c r="N14" s="28">
        <f>IF(('Activity data'!N15*EF!$H14)*kgtoGg=0,"NO",('Activity data'!N15*EF!$H14)*kgtoGg)</f>
        <v>4.5</v>
      </c>
      <c r="O14" s="28">
        <f>IF(('Activity data'!O15*EF!$H14)*kgtoGg=0,"NO",('Activity data'!O15*EF!$H14)*kgtoGg)</f>
        <v>4.59</v>
      </c>
      <c r="P14" s="28">
        <f>IF(('Activity data'!P15*EF!$H14)*kgtoGg=0,"NO",('Activity data'!P15*EF!$H14)*kgtoGg)</f>
        <v>4.68</v>
      </c>
      <c r="Q14" s="28">
        <f>IF(('Activity data'!Q15*EF!$H14)*kgtoGg=0,"NO",('Activity data'!Q15*EF!$H14)*kgtoGg)</f>
        <v>4.6440000000000001</v>
      </c>
      <c r="R14" s="28">
        <f>IF(('Activity data'!R15*EF!$H14)*kgtoGg=0,"NO",('Activity data'!R15*EF!$H14)*kgtoGg)</f>
        <v>4.8599999999999994</v>
      </c>
      <c r="S14" s="28">
        <f>IF(('Activity data'!S15*EF!$H14)*kgtoGg=0,"NO",('Activity data'!S15*EF!$H14)*kgtoGg)</f>
        <v>4.8599999999999994</v>
      </c>
      <c r="T14" s="28">
        <f>IF(('Activity data'!T15*EF!$H14)*kgtoGg=0,"NO",('Activity data'!T15*EF!$H14)*kgtoGg)</f>
        <v>4.8599999999999994</v>
      </c>
      <c r="U14" s="28">
        <f>IF(('Activity data'!U15*EF!$H14)*kgtoGg=0,"NO",('Activity data'!U15*EF!$H14)*kgtoGg)</f>
        <v>4.8599999999999994</v>
      </c>
      <c r="V14" s="28">
        <f>IF(('Activity data'!V15*EF!$H14)*kgtoGg=0,"NO",('Activity data'!V15*EF!$H14)*kgtoGg)</f>
        <v>4.8599999999999994</v>
      </c>
      <c r="W14" s="28">
        <f>IF(('Activity data'!W15*EF!$H14)*kgtoGg=0,"NO",('Activity data'!W15*EF!$H14)*kgtoGg)</f>
        <v>4.8599999999999994</v>
      </c>
      <c r="X14" s="28">
        <f>IF(('Activity data'!X15*EF!$H14)*kgtoGg=0,"NO",('Activity data'!X15*EF!$H14)*kgtoGg)</f>
        <v>5.04</v>
      </c>
      <c r="Y14" s="28">
        <f>IF(('Activity data'!Y15*EF!$H14)*kgtoGg=0,"NO",('Activity data'!Y15*EF!$H14)*kgtoGg)</f>
        <v>5.22</v>
      </c>
      <c r="Z14" s="28">
        <f>IF(('Activity data'!Z15*EF!$H14)*kgtoGg=0,"NO",('Activity data'!Z15*EF!$H14)*kgtoGg)</f>
        <v>5.3639999999999999</v>
      </c>
      <c r="AA14" s="28">
        <f>IF(('Activity data'!AA15*EF!$H14)*kgtoGg=0,"NO",('Activity data'!AA15*EF!$H14)*kgtoGg)</f>
        <v>5.3999999999999995</v>
      </c>
      <c r="AB14" s="28">
        <f>IF(('Activity data'!AB15*EF!$H14)*kgtoGg=0,"NO",('Activity data'!AB15*EF!$H14)*kgtoGg)</f>
        <v>5.3999999999999995</v>
      </c>
      <c r="AC14" s="28">
        <f>IF(('Activity data'!AC15*EF!$H14)*kgtoGg=0,"NO",('Activity data'!AC15*EF!$H14)*kgtoGg)</f>
        <v>5.4899999999999993</v>
      </c>
      <c r="AD14" s="28">
        <f>IF(('Activity data'!AD15*EF!$H14)*kgtoGg=0,"NO",('Activity data'!AD15*EF!$H14)*kgtoGg)</f>
        <v>5.5534419067588594</v>
      </c>
      <c r="AE14" s="28">
        <f>IF(('Activity data'!AE15*EF!$H14)*kgtoGg=0,"NO",('Activity data'!AE15*EF!$H14)*kgtoGg)</f>
        <v>5.5962060636308637</v>
      </c>
      <c r="AF14" s="28">
        <f>IF(('Activity data'!AF15*EF!$H14)*kgtoGg=0,"NO",('Activity data'!AF15*EF!$H14)*kgtoGg)</f>
        <v>5.6151982155681042</v>
      </c>
      <c r="AG14" s="28">
        <f>IF(('Activity data'!AG15*EF!$H14)*kgtoGg=0,"NO",('Activity data'!AG15*EF!$H14)*kgtoGg)</f>
        <v>5.6160403090109137</v>
      </c>
      <c r="AH14" s="28">
        <f>IF(('Activity data'!AH15*EF!$H14)*kgtoGg=0,"NO",('Activity data'!AH15*EF!$H14)*kgtoGg)</f>
        <v>5.598201774458702</v>
      </c>
      <c r="AI14" s="28">
        <f>IF(('Activity data'!AI15*EF!$H14)*kgtoGg=0,"NO",('Activity data'!AI15*EF!$H14)*kgtoGg)</f>
        <v>5.6001675407766198</v>
      </c>
      <c r="AJ14" s="28">
        <f>IF(('Activity data'!AJ15*EF!$H14)*kgtoGg=0,"NO",('Activity data'!AJ15*EF!$H14)*kgtoGg)</f>
        <v>5.5970856594736391</v>
      </c>
      <c r="AK14" s="28">
        <f>IF(('Activity data'!AK15*EF!$H14)*kgtoGg=0,"NO",('Activity data'!AK15*EF!$H14)*kgtoGg)</f>
        <v>5.5917824263375895</v>
      </c>
      <c r="AL14" s="28">
        <f>IF(('Activity data'!AL15*EF!$H14)*kgtoGg=0,"NO",('Activity data'!AL15*EF!$H14)*kgtoGg)</f>
        <v>5.2578528196991252</v>
      </c>
      <c r="AM14" s="28">
        <f>IF(('Activity data'!AM15*EF!$H14)*kgtoGg=0,"NO",('Activity data'!AM15*EF!$H14)*kgtoGg)</f>
        <v>5.3117614252067842</v>
      </c>
      <c r="AN14" s="28">
        <f>IF(('Activity data'!AN15*EF!$H14)*kgtoGg=0,"NO",('Activity data'!AN15*EF!$H14)*kgtoGg)</f>
        <v>5.3606434972398267</v>
      </c>
      <c r="AO14" s="28">
        <f>IF(('Activity data'!AO15*EF!$H14)*kgtoGg=0,"NO",('Activity data'!AO15*EF!$H14)*kgtoGg)</f>
        <v>5.4102582255642897</v>
      </c>
      <c r="AP14" s="28">
        <f>IF(('Activity data'!AP15*EF!$H14)*kgtoGg=0,"NO",('Activity data'!AP15*EF!$H14)*kgtoGg)</f>
        <v>5.4647048003186702</v>
      </c>
      <c r="AQ14" s="28">
        <f>IF(('Activity data'!AQ15*EF!$H14)*kgtoGg=0,"NO",('Activity data'!AQ15*EF!$H14)*kgtoGg)</f>
        <v>5.526822856355853</v>
      </c>
      <c r="AR14" s="28">
        <f>IF(('Activity data'!AR15*EF!$H14)*kgtoGg=0,"NO",('Activity data'!AR15*EF!$H14)*kgtoGg)</f>
        <v>5.5967116030899735</v>
      </c>
      <c r="AS14" s="28">
        <f>IF(('Activity data'!AS15*EF!$H14)*kgtoGg=0,"NO",('Activity data'!AS15*EF!$H14)*kgtoGg)</f>
        <v>5.6715299466592279</v>
      </c>
      <c r="AT14" s="28">
        <f>IF(('Activity data'!AT15*EF!$H14)*kgtoGg=0,"NO",('Activity data'!AT15*EF!$H14)*kgtoGg)</f>
        <v>5.7518755563911768</v>
      </c>
      <c r="AU14" s="28">
        <f>IF(('Activity data'!AU15*EF!$H14)*kgtoGg=0,"NO",('Activity data'!AU15*EF!$H14)*kgtoGg)</f>
        <v>5.8437634262884881</v>
      </c>
      <c r="AV14" s="28">
        <f>IF(('Activity data'!AV15*EF!$H14)*kgtoGg=0,"NO",('Activity data'!AV15*EF!$H14)*kgtoGg)</f>
        <v>5.9336474262785659</v>
      </c>
      <c r="AW14" s="28">
        <f>IF(('Activity data'!AW15*EF!$H14)*kgtoGg=0,"NO",('Activity data'!AW15*EF!$H14)*kgtoGg)</f>
        <v>6.0460527170869591</v>
      </c>
      <c r="AX14" s="28">
        <f>IF(('Activity data'!AX15*EF!$H14)*kgtoGg=0,"NO",('Activity data'!AX15*EF!$H14)*kgtoGg)</f>
        <v>6.1619084857848518</v>
      </c>
      <c r="AY14" s="28">
        <f>IF(('Activity data'!AY15*EF!$H14)*kgtoGg=0,"NO",('Activity data'!AY15*EF!$H14)*kgtoGg)</f>
        <v>6.2805768613460717</v>
      </c>
      <c r="AZ14" s="28">
        <f>IF(('Activity data'!AZ15*EF!$H14)*kgtoGg=0,"NO",('Activity data'!AZ15*EF!$H14)*kgtoGg)</f>
        <v>6.4013866628591822</v>
      </c>
      <c r="BA14" s="28">
        <f>IF(('Activity data'!BA15*EF!$H14)*kgtoGg=0,"NO",('Activity data'!BA15*EF!$H14)*kgtoGg)</f>
        <v>6.5108195882130024</v>
      </c>
      <c r="BB14" s="28">
        <f>IF(('Activity data'!BB15*EF!$H14)*kgtoGg=0,"NO",('Activity data'!BB15*EF!$H14)*kgtoGg)</f>
        <v>6.6299643072029495</v>
      </c>
      <c r="BC14" s="28">
        <f>IF(('Activity data'!BC15*EF!$H14)*kgtoGg=0,"NO",('Activity data'!BC15*EF!$H14)*kgtoGg)</f>
        <v>6.7575636376526669</v>
      </c>
      <c r="BD14" s="28">
        <f>IF(('Activity data'!BD15*EF!$H14)*kgtoGg=0,"NO",('Activity data'!BD15*EF!$H14)*kgtoGg)</f>
        <v>6.8908626312046373</v>
      </c>
      <c r="BE14" s="28">
        <f>IF(('Activity data'!BE15*EF!$H14)*kgtoGg=0,"NO",('Activity data'!BE15*EF!$H14)*kgtoGg)</f>
        <v>7.0199570857611988</v>
      </c>
      <c r="BF14" s="28">
        <f>IF(('Activity data'!BF15*EF!$H14)*kgtoGg=0,"NO",('Activity data'!BF15*EF!$H14)*kgtoGg)</f>
        <v>7.1502448917901287</v>
      </c>
      <c r="BG14" s="28">
        <f>IF(('Activity data'!BG15*EF!$H14)*kgtoGg=0,"NO",('Activity data'!BG15*EF!$H14)*kgtoGg)</f>
        <v>7.2905337713463378</v>
      </c>
      <c r="BH14" s="28">
        <f>IF(('Activity data'!BH15*EF!$H14)*kgtoGg=0,"NO",('Activity data'!BH15*EF!$H14)*kgtoGg)</f>
        <v>7.4374434038921171</v>
      </c>
      <c r="BI14" s="28">
        <f>IF(('Activity data'!BI15*EF!$H14)*kgtoGg=0,"NO",('Activity data'!BI15*EF!$H14)*kgtoGg)</f>
        <v>7.5927498831585547</v>
      </c>
      <c r="BJ14" s="28">
        <f>IF(('Activity data'!BJ15*EF!$H14)*kgtoGg=0,"NO",('Activity data'!BJ15*EF!$H14)*kgtoGg)</f>
        <v>7.7556977871042676</v>
      </c>
      <c r="BK14" s="28">
        <f>IF(('Activity data'!BK15*EF!$H14)*kgtoGg=0,"NO",('Activity data'!BK15*EF!$H14)*kgtoGg)</f>
        <v>7.9300611285489202</v>
      </c>
      <c r="BL14" s="28">
        <f>IF(('Activity data'!BL15*EF!$H14)*kgtoGg=0,"NO",('Activity data'!BL15*EF!$H14)*kgtoGg)</f>
        <v>8.120153407329564</v>
      </c>
      <c r="BM14" s="28">
        <f>IF(('Activity data'!BM15*EF!$H14)*kgtoGg=0,"NO",('Activity data'!BM15*EF!$H14)*kgtoGg)</f>
        <v>8.3182028554598393</v>
      </c>
      <c r="BN14" s="28">
        <f>IF(('Activity data'!BN15*EF!$H14)*kgtoGg=0,"NO",('Activity data'!BN15*EF!$H14)*kgtoGg)</f>
        <v>8.5145695802321519</v>
      </c>
      <c r="BO14" s="28">
        <f>IF(('Activity data'!BO15*EF!$H14)*kgtoGg=0,"NO",('Activity data'!BO15*EF!$H14)*kgtoGg)</f>
        <v>8.7196661249741325</v>
      </c>
      <c r="BP14" s="28">
        <f>IF(('Activity data'!BP15*EF!$H14)*kgtoGg=0,"NO",('Activity data'!BP15*EF!$H14)*kgtoGg)</f>
        <v>8.9358674687981328</v>
      </c>
    </row>
    <row r="15" spans="1:74" x14ac:dyDescent="0.25">
      <c r="A15" t="str">
        <f t="shared" si="1"/>
        <v>3A Livestock</v>
      </c>
      <c r="B15" t="str">
        <f t="shared" si="2"/>
        <v>3A1 Enteric fermentation (CH4)</v>
      </c>
      <c r="C15" t="str">
        <f>EF!C15</f>
        <v>3A1g Mules &amp; asses</v>
      </c>
      <c r="D15" t="str">
        <f>EF!D15</f>
        <v>Mules &amp; Asses</v>
      </c>
      <c r="E15" t="str">
        <f t="shared" si="3"/>
        <v>Enteric fermentation Emissions</v>
      </c>
      <c r="F15" t="str">
        <f t="shared" si="4"/>
        <v>CH4</v>
      </c>
      <c r="G15" t="str">
        <f t="shared" si="5"/>
        <v>Gg CH4</v>
      </c>
      <c r="H15" s="28">
        <f>IF(('Activity data'!H16*EF!$H15)*kgtoGg=0,"NO",('Activity data'!H16*EF!$H15)*kgtoGg)</f>
        <v>2.2399999999999998</v>
      </c>
      <c r="I15" s="28">
        <f>IF(('Activity data'!I16*EF!$H15)*kgtoGg=0,"NO",('Activity data'!I16*EF!$H15)*kgtoGg)</f>
        <v>2.2399999999999998</v>
      </c>
      <c r="J15" s="28">
        <f>IF(('Activity data'!J16*EF!$H15)*kgtoGg=0,"NO",('Activity data'!J16*EF!$H15)*kgtoGg)</f>
        <v>2.2399999999999998</v>
      </c>
      <c r="K15" s="28">
        <f>IF(('Activity data'!K16*EF!$H15)*kgtoGg=0,"NO",('Activity data'!K16*EF!$H15)*kgtoGg)</f>
        <v>2.2399999999999998</v>
      </c>
      <c r="L15" s="28">
        <f>IF(('Activity data'!L16*EF!$H15)*kgtoGg=0,"NO",('Activity data'!L16*EF!$H15)*kgtoGg)</f>
        <v>2.2399999999999998</v>
      </c>
      <c r="M15" s="28">
        <f>IF(('Activity data'!M16*EF!$H15)*kgtoGg=0,"NO",('Activity data'!M16*EF!$H15)*kgtoGg)</f>
        <v>2.2399999999999998</v>
      </c>
      <c r="N15" s="28">
        <f>IF(('Activity data'!N16*EF!$H15)*kgtoGg=0,"NO",('Activity data'!N16*EF!$H15)*kgtoGg)</f>
        <v>2.2399999999999998</v>
      </c>
      <c r="O15" s="28">
        <f>IF(('Activity data'!O16*EF!$H15)*kgtoGg=0,"NO",('Activity data'!O16*EF!$H15)*kgtoGg)</f>
        <v>2.2399999999999998</v>
      </c>
      <c r="P15" s="28">
        <f>IF(('Activity data'!P16*EF!$H15)*kgtoGg=0,"NO",('Activity data'!P16*EF!$H15)*kgtoGg)</f>
        <v>2.2399999999999998</v>
      </c>
      <c r="Q15" s="28">
        <f>IF(('Activity data'!Q16*EF!$H15)*kgtoGg=0,"NO",('Activity data'!Q16*EF!$H15)*kgtoGg)</f>
        <v>2.2399999999999998</v>
      </c>
      <c r="R15" s="28">
        <f>IF(('Activity data'!R16*EF!$H15)*kgtoGg=0,"NO",('Activity data'!R16*EF!$H15)*kgtoGg)</f>
        <v>1.64</v>
      </c>
      <c r="S15" s="28">
        <f>IF(('Activity data'!S16*EF!$H15)*kgtoGg=0,"NO",('Activity data'!S16*EF!$H15)*kgtoGg)</f>
        <v>1.64</v>
      </c>
      <c r="T15" s="28">
        <f>IF(('Activity data'!T16*EF!$H15)*kgtoGg=0,"NO",('Activity data'!T16*EF!$H15)*kgtoGg)</f>
        <v>1.64</v>
      </c>
      <c r="U15" s="28">
        <f>IF(('Activity data'!U16*EF!$H15)*kgtoGg=0,"NO",('Activity data'!U16*EF!$H15)*kgtoGg)</f>
        <v>1.64</v>
      </c>
      <c r="V15" s="28">
        <f>IF(('Activity data'!V16*EF!$H15)*kgtoGg=0,"NO",('Activity data'!V16*EF!$H15)*kgtoGg)</f>
        <v>1.64</v>
      </c>
      <c r="W15" s="28">
        <f>IF(('Activity data'!W16*EF!$H15)*kgtoGg=0,"NO",('Activity data'!W16*EF!$H15)*kgtoGg)</f>
        <v>1.64</v>
      </c>
      <c r="X15" s="28">
        <f>IF(('Activity data'!X16*EF!$H15)*kgtoGg=0,"NO",('Activity data'!X16*EF!$H15)*kgtoGg)</f>
        <v>1.6404999999999998</v>
      </c>
      <c r="Y15" s="28">
        <f>IF(('Activity data'!Y16*EF!$H15)*kgtoGg=0,"NO",('Activity data'!Y16*EF!$H15)*kgtoGg)</f>
        <v>1.6459999999999999</v>
      </c>
      <c r="Z15" s="28">
        <f>IF(('Activity data'!Z16*EF!$H15)*kgtoGg=0,"NO",('Activity data'!Z16*EF!$H15)*kgtoGg)</f>
        <v>1.647</v>
      </c>
      <c r="AA15" s="28">
        <f>IF(('Activity data'!AA16*EF!$H15)*kgtoGg=0,"NO",('Activity data'!AA16*EF!$H15)*kgtoGg)</f>
        <v>1.6479999999999999</v>
      </c>
      <c r="AB15" s="28">
        <f>IF(('Activity data'!AB16*EF!$H15)*kgtoGg=0,"NO",('Activity data'!AB16*EF!$H15)*kgtoGg)</f>
        <v>1.663</v>
      </c>
      <c r="AC15" s="28">
        <f>IF(('Activity data'!AC16*EF!$H15)*kgtoGg=0,"NO",('Activity data'!AC16*EF!$H15)*kgtoGg)</f>
        <v>1.67</v>
      </c>
      <c r="AD15" s="28">
        <f>IF(('Activity data'!AD16*EF!$H15)*kgtoGg=0,"NO",('Activity data'!AD16*EF!$H15)*kgtoGg)</f>
        <v>1.67</v>
      </c>
      <c r="AE15" s="28">
        <f>IF(('Activity data'!AE16*EF!$H15)*kgtoGg=0,"NO",('Activity data'!AE16*EF!$H15)*kgtoGg)</f>
        <v>1.67</v>
      </c>
      <c r="AF15" s="28">
        <f>IF(('Activity data'!AF16*EF!$H15)*kgtoGg=0,"NO",('Activity data'!AF16*EF!$H15)*kgtoGg)</f>
        <v>1.67</v>
      </c>
      <c r="AG15" s="28">
        <f>IF(('Activity data'!AG16*EF!$H15)*kgtoGg=0,"NO",('Activity data'!AG16*EF!$H15)*kgtoGg)</f>
        <v>1.67</v>
      </c>
      <c r="AH15" s="28">
        <f>IF(('Activity data'!AH16*EF!$H15)*kgtoGg=0,"NO",('Activity data'!AH16*EF!$H15)*kgtoGg)</f>
        <v>1.67</v>
      </c>
      <c r="AI15" s="28">
        <f>IF(('Activity data'!AI16*EF!$H15)*kgtoGg=0,"NO",('Activity data'!AI16*EF!$H15)*kgtoGg)</f>
        <v>1.67</v>
      </c>
      <c r="AJ15" s="28">
        <f>IF(('Activity data'!AJ16*EF!$H15)*kgtoGg=0,"NO",('Activity data'!AJ16*EF!$H15)*kgtoGg)</f>
        <v>1.67</v>
      </c>
      <c r="AK15" s="28">
        <f>IF(('Activity data'!AK16*EF!$H15)*kgtoGg=0,"NO",('Activity data'!AK16*EF!$H15)*kgtoGg)</f>
        <v>1.67</v>
      </c>
      <c r="AL15" s="28">
        <f>IF(('Activity data'!AL16*EF!$H15)*kgtoGg=0,"NO",('Activity data'!AL16*EF!$H15)*kgtoGg)</f>
        <v>1.67</v>
      </c>
      <c r="AM15" s="28">
        <f>IF(('Activity data'!AM16*EF!$H15)*kgtoGg=0,"NO",('Activity data'!AM16*EF!$H15)*kgtoGg)</f>
        <v>1.67</v>
      </c>
      <c r="AN15" s="28">
        <f>IF(('Activity data'!AN16*EF!$H15)*kgtoGg=0,"NO",('Activity data'!AN16*EF!$H15)*kgtoGg)</f>
        <v>1.67</v>
      </c>
      <c r="AO15" s="28">
        <f>IF(('Activity data'!AO16*EF!$H15)*kgtoGg=0,"NO",('Activity data'!AO16*EF!$H15)*kgtoGg)</f>
        <v>1.67</v>
      </c>
      <c r="AP15" s="28">
        <f>IF(('Activity data'!AP16*EF!$H15)*kgtoGg=0,"NO",('Activity data'!AP16*EF!$H15)*kgtoGg)</f>
        <v>1.67</v>
      </c>
      <c r="AQ15" s="28">
        <f>IF(('Activity data'!AQ16*EF!$H15)*kgtoGg=0,"NO",('Activity data'!AQ16*EF!$H15)*kgtoGg)</f>
        <v>1.67</v>
      </c>
      <c r="AR15" s="28">
        <f>IF(('Activity data'!AR16*EF!$H15)*kgtoGg=0,"NO",('Activity data'!AR16*EF!$H15)*kgtoGg)</f>
        <v>1.67</v>
      </c>
      <c r="AS15" s="28">
        <f>IF(('Activity data'!AS16*EF!$H15)*kgtoGg=0,"NO",('Activity data'!AS16*EF!$H15)*kgtoGg)</f>
        <v>1.67</v>
      </c>
      <c r="AT15" s="28">
        <f>IF(('Activity data'!AT16*EF!$H15)*kgtoGg=0,"NO",('Activity data'!AT16*EF!$H15)*kgtoGg)</f>
        <v>1.67</v>
      </c>
      <c r="AU15" s="28">
        <f>IF(('Activity data'!AU16*EF!$H15)*kgtoGg=0,"NO",('Activity data'!AU16*EF!$H15)*kgtoGg)</f>
        <v>1.67</v>
      </c>
      <c r="AV15" s="28">
        <f>IF(('Activity data'!AV16*EF!$H15)*kgtoGg=0,"NO",('Activity data'!AV16*EF!$H15)*kgtoGg)</f>
        <v>1.67</v>
      </c>
      <c r="AW15" s="28">
        <f>IF(('Activity data'!AW16*EF!$H15)*kgtoGg=0,"NO",('Activity data'!AW16*EF!$H15)*kgtoGg)</f>
        <v>1.67</v>
      </c>
      <c r="AX15" s="28">
        <f>IF(('Activity data'!AX16*EF!$H15)*kgtoGg=0,"NO",('Activity data'!AX16*EF!$H15)*kgtoGg)</f>
        <v>1.67</v>
      </c>
      <c r="AY15" s="28">
        <f>IF(('Activity data'!AY16*EF!$H15)*kgtoGg=0,"NO",('Activity data'!AY16*EF!$H15)*kgtoGg)</f>
        <v>1.67</v>
      </c>
      <c r="AZ15" s="28">
        <f>IF(('Activity data'!AZ16*EF!$H15)*kgtoGg=0,"NO",('Activity data'!AZ16*EF!$H15)*kgtoGg)</f>
        <v>1.67</v>
      </c>
      <c r="BA15" s="28">
        <f>IF(('Activity data'!BA16*EF!$H15)*kgtoGg=0,"NO",('Activity data'!BA16*EF!$H15)*kgtoGg)</f>
        <v>1.67</v>
      </c>
      <c r="BB15" s="28">
        <f>IF(('Activity data'!BB16*EF!$H15)*kgtoGg=0,"NO",('Activity data'!BB16*EF!$H15)*kgtoGg)</f>
        <v>1.67</v>
      </c>
      <c r="BC15" s="28">
        <f>IF(('Activity data'!BC16*EF!$H15)*kgtoGg=0,"NO",('Activity data'!BC16*EF!$H15)*kgtoGg)</f>
        <v>1.67</v>
      </c>
      <c r="BD15" s="28">
        <f>IF(('Activity data'!BD16*EF!$H15)*kgtoGg=0,"NO",('Activity data'!BD16*EF!$H15)*kgtoGg)</f>
        <v>1.67</v>
      </c>
      <c r="BE15" s="28">
        <f>IF(('Activity data'!BE16*EF!$H15)*kgtoGg=0,"NO",('Activity data'!BE16*EF!$H15)*kgtoGg)</f>
        <v>1.67</v>
      </c>
      <c r="BF15" s="28">
        <f>IF(('Activity data'!BF16*EF!$H15)*kgtoGg=0,"NO",('Activity data'!BF16*EF!$H15)*kgtoGg)</f>
        <v>1.67</v>
      </c>
      <c r="BG15" s="28">
        <f>IF(('Activity data'!BG16*EF!$H15)*kgtoGg=0,"NO",('Activity data'!BG16*EF!$H15)*kgtoGg)</f>
        <v>1.67</v>
      </c>
      <c r="BH15" s="28">
        <f>IF(('Activity data'!BH16*EF!$H15)*kgtoGg=0,"NO",('Activity data'!BH16*EF!$H15)*kgtoGg)</f>
        <v>1.67</v>
      </c>
      <c r="BI15" s="28">
        <f>IF(('Activity data'!BI16*EF!$H15)*kgtoGg=0,"NO",('Activity data'!BI16*EF!$H15)*kgtoGg)</f>
        <v>1.67</v>
      </c>
      <c r="BJ15" s="28">
        <f>IF(('Activity data'!BJ16*EF!$H15)*kgtoGg=0,"NO",('Activity data'!BJ16*EF!$H15)*kgtoGg)</f>
        <v>1.67</v>
      </c>
      <c r="BK15" s="28">
        <f>IF(('Activity data'!BK16*EF!$H15)*kgtoGg=0,"NO",('Activity data'!BK16*EF!$H15)*kgtoGg)</f>
        <v>1.67</v>
      </c>
      <c r="BL15" s="28">
        <f>IF(('Activity data'!BL16*EF!$H15)*kgtoGg=0,"NO",('Activity data'!BL16*EF!$H15)*kgtoGg)</f>
        <v>1.67</v>
      </c>
      <c r="BM15" s="28">
        <f>IF(('Activity data'!BM16*EF!$H15)*kgtoGg=0,"NO",('Activity data'!BM16*EF!$H15)*kgtoGg)</f>
        <v>1.67</v>
      </c>
      <c r="BN15" s="28">
        <f>IF(('Activity data'!BN16*EF!$H15)*kgtoGg=0,"NO",('Activity data'!BN16*EF!$H15)*kgtoGg)</f>
        <v>1.67</v>
      </c>
      <c r="BO15" s="28">
        <f>IF(('Activity data'!BO16*EF!$H15)*kgtoGg=0,"NO",('Activity data'!BO16*EF!$H15)*kgtoGg)</f>
        <v>1.67</v>
      </c>
      <c r="BP15" s="28">
        <f>IF(('Activity data'!BP16*EF!$H15)*kgtoGg=0,"NO",('Activity data'!BP16*EF!$H15)*kgtoGg)</f>
        <v>1.67</v>
      </c>
    </row>
    <row r="16" spans="1:74" x14ac:dyDescent="0.25">
      <c r="A16" t="str">
        <f t="shared" si="1"/>
        <v>3A Livestock</v>
      </c>
      <c r="B16" t="str">
        <f t="shared" si="2"/>
        <v>3A1 Enteric fermentation (CH4)</v>
      </c>
      <c r="C16" t="str">
        <f>EF!C16</f>
        <v>3A1h Swine</v>
      </c>
      <c r="D16" t="str">
        <f>EF!D16</f>
        <v>Commercial</v>
      </c>
      <c r="E16" t="str">
        <f t="shared" si="3"/>
        <v>Enteric fermentation Emissions</v>
      </c>
      <c r="F16" t="str">
        <f t="shared" si="4"/>
        <v>CH4</v>
      </c>
      <c r="G16" t="str">
        <f t="shared" si="5"/>
        <v>Gg CH4</v>
      </c>
      <c r="H16" s="28">
        <f>IF(('Activity data'!H17*EF!$H16)*kgtoGg=0,"NO",('Activity data'!H17*EF!$H16)*kgtoGg)</f>
        <v>1.6933773600000002</v>
      </c>
      <c r="I16" s="28">
        <f>IF(('Activity data'!I17*EF!$H16)*kgtoGg=0,"NO",('Activity data'!I17*EF!$H16)*kgtoGg)</f>
        <v>1.8500481000000002</v>
      </c>
      <c r="J16" s="28">
        <f>IF(('Activity data'!J17*EF!$H16)*kgtoGg=0,"NO",('Activity data'!J17*EF!$H16)*kgtoGg)</f>
        <v>1.8378255600000002</v>
      </c>
      <c r="K16" s="28">
        <f>IF(('Activity data'!K17*EF!$H16)*kgtoGg=0,"NO",('Activity data'!K17*EF!$H16)*kgtoGg)</f>
        <v>1.8367144200000003</v>
      </c>
      <c r="L16" s="28">
        <f>IF(('Activity data'!L17*EF!$H16)*kgtoGg=0,"NO",('Activity data'!L17*EF!$H16)*kgtoGg)</f>
        <v>1.7444898000000002</v>
      </c>
      <c r="M16" s="28">
        <f>IF(('Activity data'!M17*EF!$H16)*kgtoGg=0,"NO",('Activity data'!M17*EF!$H16)*kgtoGg)</f>
        <v>1.7611569000000002</v>
      </c>
      <c r="N16" s="28">
        <f>IF(('Activity data'!N17*EF!$H16)*kgtoGg=0,"NO",('Activity data'!N17*EF!$H16)*kgtoGg)</f>
        <v>1.8967159800000004</v>
      </c>
      <c r="O16" s="28">
        <f>IF(('Activity data'!O17*EF!$H16)*kgtoGg=0,"NO",('Activity data'!O17*EF!$H16)*kgtoGg)</f>
        <v>1.8878268600000003</v>
      </c>
      <c r="P16" s="28">
        <f>IF(('Activity data'!P17*EF!$H16)*kgtoGg=0,"NO",('Activity data'!P17*EF!$H16)*kgtoGg)</f>
        <v>1.9289390400000004</v>
      </c>
      <c r="Q16" s="28">
        <f>IF(('Activity data'!Q17*EF!$H16)*kgtoGg=0,"NO",('Activity data'!Q17*EF!$H16)*kgtoGg)</f>
        <v>1.9778292000000004</v>
      </c>
      <c r="R16" s="28">
        <f>IF(('Activity data'!R17*EF!$H16)*kgtoGg=0,"NO",('Activity data'!R17*EF!$H16)*kgtoGg)</f>
        <v>1.8300475800000002</v>
      </c>
      <c r="S16" s="28">
        <f>IF(('Activity data'!S17*EF!$H16)*kgtoGg=0,"NO",('Activity data'!S17*EF!$H16)*kgtoGg)</f>
        <v>1.8644929200000002</v>
      </c>
      <c r="T16" s="28">
        <f>IF(('Activity data'!T17*EF!$H16)*kgtoGg=0,"NO",('Activity data'!T17*EF!$H16)*kgtoGg)</f>
        <v>1.9000494000000003</v>
      </c>
      <c r="U16" s="28">
        <f>IF(('Activity data'!U17*EF!$H16)*kgtoGg=0,"NO",('Activity data'!U17*EF!$H16)*kgtoGg)</f>
        <v>1.8478258200000002</v>
      </c>
      <c r="V16" s="28">
        <f>IF(('Activity data'!V17*EF!$H16)*kgtoGg=0,"NO",('Activity data'!V17*EF!$H16)*kgtoGg)</f>
        <v>1.8478258200000002</v>
      </c>
      <c r="W16" s="28">
        <f>IF(('Activity data'!W17*EF!$H16)*kgtoGg=0,"NO",('Activity data'!W17*EF!$H16)*kgtoGg)</f>
        <v>1.8344921400000003</v>
      </c>
      <c r="X16" s="28">
        <f>IF(('Activity data'!X17*EF!$H16)*kgtoGg=0,"NO",('Activity data'!X17*EF!$H16)*kgtoGg)</f>
        <v>1.8022690800000003</v>
      </c>
      <c r="Y16" s="28">
        <f>IF(('Activity data'!Y17*EF!$H16)*kgtoGg=0,"NO",('Activity data'!Y17*EF!$H16)*kgtoGg)</f>
        <v>1.8344921400000003</v>
      </c>
      <c r="Z16" s="28">
        <f>IF(('Activity data'!Z17*EF!$H16)*kgtoGg=0,"NO",('Activity data'!Z17*EF!$H16)*kgtoGg)</f>
        <v>1.7944911000000003</v>
      </c>
      <c r="AA16" s="28">
        <f>IF(('Activity data'!AA17*EF!$H16)*kgtoGg=0,"NO",('Activity data'!AA17*EF!$H16)*kgtoGg)</f>
        <v>1.7922688200000003</v>
      </c>
      <c r="AB16" s="28">
        <f>IF(('Activity data'!AB17*EF!$H16)*kgtoGg=0,"NO",('Activity data'!AB17*EF!$H16)*kgtoGg)</f>
        <v>1.7711571600000002</v>
      </c>
      <c r="AC16" s="28">
        <f>IF(('Activity data'!AC17*EF!$H16)*kgtoGg=0,"NO",('Activity data'!AC17*EF!$H16)*kgtoGg)</f>
        <v>1.7600457600000003</v>
      </c>
      <c r="AD16" s="28">
        <f>IF(('Activity data'!AD17*EF!$H16)*kgtoGg=0,"NO",('Activity data'!AD17*EF!$H16)*kgtoGg)</f>
        <v>1.8405597760993493</v>
      </c>
      <c r="AE16" s="28">
        <f>IF(('Activity data'!AE17*EF!$H16)*kgtoGg=0,"NO",('Activity data'!AE17*EF!$H16)*kgtoGg)</f>
        <v>1.8404212289409809</v>
      </c>
      <c r="AF16" s="28">
        <f>IF(('Activity data'!AF17*EF!$H16)*kgtoGg=0,"NO",('Activity data'!AF17*EF!$H16)*kgtoGg)</f>
        <v>1.8277053062709907</v>
      </c>
      <c r="AG16" s="28">
        <f>IF(('Activity data'!AG17*EF!$H16)*kgtoGg=0,"NO",('Activity data'!AG17*EF!$H16)*kgtoGg)</f>
        <v>1.806142660345377</v>
      </c>
      <c r="AH16" s="28">
        <f>IF(('Activity data'!AH17*EF!$H16)*kgtoGg=0,"NO",('Activity data'!AH17*EF!$H16)*kgtoGg)</f>
        <v>1.7755547977113508</v>
      </c>
      <c r="AI16" s="28">
        <f>IF(('Activity data'!AI17*EF!$H16)*kgtoGg=0,"NO",('Activity data'!AI17*EF!$H16)*kgtoGg)</f>
        <v>1.7589832212492367</v>
      </c>
      <c r="AJ16" s="28">
        <f>IF(('Activity data'!AJ17*EF!$H16)*kgtoGg=0,"NO",('Activity data'!AJ17*EF!$H16)*kgtoGg)</f>
        <v>1.740625840166071</v>
      </c>
      <c r="AK16" s="28">
        <f>IF(('Activity data'!AK17*EF!$H16)*kgtoGg=0,"NO",('Activity data'!AK17*EF!$H16)*kgtoGg)</f>
        <v>1.7221534484622283</v>
      </c>
      <c r="AL16" s="28">
        <f>IF(('Activity data'!AL17*EF!$H16)*kgtoGg=0,"NO",('Activity data'!AL17*EF!$H16)*kgtoGg)</f>
        <v>1.5135948958943461</v>
      </c>
      <c r="AM16" s="28">
        <f>IF(('Activity data'!AM17*EF!$H16)*kgtoGg=0,"NO",('Activity data'!AM17*EF!$H16)*kgtoGg)</f>
        <v>1.5261142675454977</v>
      </c>
      <c r="AN16" s="28">
        <f>IF(('Activity data'!AN17*EF!$H16)*kgtoGg=0,"NO",('Activity data'!AN17*EF!$H16)*kgtoGg)</f>
        <v>1.5359592217905507</v>
      </c>
      <c r="AO16" s="28">
        <f>IF(('Activity data'!AO17*EF!$H16)*kgtoGg=0,"NO",('Activity data'!AO17*EF!$H16)*kgtoGg)</f>
        <v>1.5464306068416322</v>
      </c>
      <c r="AP16" s="28">
        <f>IF(('Activity data'!AP17*EF!$H16)*kgtoGg=0,"NO",('Activity data'!AP17*EF!$H16)*kgtoGg)</f>
        <v>1.5597662960542333</v>
      </c>
      <c r="AQ16" s="28">
        <f>IF(('Activity data'!AQ17*EF!$H16)*kgtoGg=0,"NO",('Activity data'!AQ17*EF!$H16)*kgtoGg)</f>
        <v>1.5774228572609752</v>
      </c>
      <c r="AR16" s="28">
        <f>IF(('Activity data'!AR17*EF!$H16)*kgtoGg=0,"NO",('Activity data'!AR17*EF!$H16)*kgtoGg)</f>
        <v>1.5968046899381538</v>
      </c>
      <c r="AS16" s="28">
        <f>IF(('Activity data'!AS17*EF!$H16)*kgtoGg=0,"NO",('Activity data'!AS17*EF!$H16)*kgtoGg)</f>
        <v>1.6186637792883023</v>
      </c>
      <c r="AT16" s="28">
        <f>IF(('Activity data'!AT17*EF!$H16)*kgtoGg=0,"NO",('Activity data'!AT17*EF!$H16)*kgtoGg)</f>
        <v>1.6432241968808952</v>
      </c>
      <c r="AU16" s="28">
        <f>IF(('Activity data'!AU17*EF!$H16)*kgtoGg=0,"NO",('Activity data'!AU17*EF!$H16)*kgtoGg)</f>
        <v>1.6735596948650211</v>
      </c>
      <c r="AV16" s="28">
        <f>IF(('Activity data'!AV17*EF!$H16)*kgtoGg=0,"NO",('Activity data'!AV17*EF!$H16)*kgtoGg)</f>
        <v>1.7024092395076027</v>
      </c>
      <c r="AW16" s="28">
        <f>IF(('Activity data'!AW17*EF!$H16)*kgtoGg=0,"NO",('Activity data'!AW17*EF!$H16)*kgtoGg)</f>
        <v>1.7403081594562904</v>
      </c>
      <c r="AX16" s="28">
        <f>IF(('Activity data'!AX17*EF!$H16)*kgtoGg=0,"NO",('Activity data'!AX17*EF!$H16)*kgtoGg)</f>
        <v>1.7792186844314222</v>
      </c>
      <c r="AY16" s="28">
        <f>IF(('Activity data'!AY17*EF!$H16)*kgtoGg=0,"NO",('Activity data'!AY17*EF!$H16)*kgtoGg)</f>
        <v>1.8187740393085468</v>
      </c>
      <c r="AZ16" s="28">
        <f>IF(('Activity data'!AZ17*EF!$H16)*kgtoGg=0,"NO",('Activity data'!AZ17*EF!$H16)*kgtoGg)</f>
        <v>1.8586062945154092</v>
      </c>
      <c r="BA16" s="28">
        <f>IF(('Activity data'!BA17*EF!$H16)*kgtoGg=0,"NO",('Activity data'!BA17*EF!$H16)*kgtoGg)</f>
        <v>1.89202134036793</v>
      </c>
      <c r="BB16" s="28">
        <f>IF(('Activity data'!BB17*EF!$H16)*kgtoGg=0,"NO",('Activity data'!BB17*EF!$H16)*kgtoGg)</f>
        <v>1.9272672763963055</v>
      </c>
      <c r="BC16" s="28">
        <f>IF(('Activity data'!BC17*EF!$H16)*kgtoGg=0,"NO",('Activity data'!BC17*EF!$H16)*kgtoGg)</f>
        <v>1.9657374839987418</v>
      </c>
      <c r="BD16" s="28">
        <f>IF(('Activity data'!BD17*EF!$H16)*kgtoGg=0,"NO",('Activity data'!BD17*EF!$H16)*kgtoGg)</f>
        <v>2.0059895833409578</v>
      </c>
      <c r="BE16" s="28">
        <f>IF(('Activity data'!BE17*EF!$H16)*kgtoGg=0,"NO",('Activity data'!BE17*EF!$H16)*kgtoGg)</f>
        <v>2.043278903967626</v>
      </c>
      <c r="BF16" s="28">
        <f>IF(('Activity data'!BF17*EF!$H16)*kgtoGg=0,"NO",('Activity data'!BF17*EF!$H16)*kgtoGg)</f>
        <v>2.0802005552938323</v>
      </c>
      <c r="BG16" s="28">
        <f>IF(('Activity data'!BG17*EF!$H16)*kgtoGg=0,"NO",('Activity data'!BG17*EF!$H16)*kgtoGg)</f>
        <v>2.1185298728400617</v>
      </c>
      <c r="BH16" s="28">
        <f>IF(('Activity data'!BH17*EF!$H16)*kgtoGg=0,"NO",('Activity data'!BH17*EF!$H16)*kgtoGg)</f>
        <v>2.1587613944001713</v>
      </c>
      <c r="BI16" s="28">
        <f>IF(('Activity data'!BI17*EF!$H16)*kgtoGg=0,"NO",('Activity data'!BI17*EF!$H16)*kgtoGg)</f>
        <v>2.2015967326086701</v>
      </c>
      <c r="BJ16" s="28">
        <f>IF(('Activity data'!BJ17*EF!$H16)*kgtoGg=0,"NO",('Activity data'!BJ17*EF!$H16)*kgtoGg)</f>
        <v>2.2465792578282127</v>
      </c>
      <c r="BK16" s="28">
        <f>IF(('Activity data'!BK17*EF!$H16)*kgtoGg=0,"NO",('Activity data'!BK17*EF!$H16)*kgtoGg)</f>
        <v>2.2952544068291667</v>
      </c>
      <c r="BL16" s="28">
        <f>IF(('Activity data'!BL17*EF!$H16)*kgtoGg=0,"NO",('Activity data'!BL17*EF!$H16)*kgtoGg)</f>
        <v>2.3468005847870219</v>
      </c>
      <c r="BM16" s="28">
        <f>IF(('Activity data'!BM17*EF!$H16)*kgtoGg=0,"NO",('Activity data'!BM17*EF!$H16)*kgtoGg)</f>
        <v>2.400070385321357</v>
      </c>
      <c r="BN16" s="28">
        <f>IF(('Activity data'!BN17*EF!$H16)*kgtoGg=0,"NO",('Activity data'!BN17*EF!$H16)*kgtoGg)</f>
        <v>2.450900897769515</v>
      </c>
      <c r="BO16" s="28">
        <f>IF(('Activity data'!BO17*EF!$H16)*kgtoGg=0,"NO",('Activity data'!BO17*EF!$H16)*kgtoGg)</f>
        <v>2.5036689252201696</v>
      </c>
      <c r="BP16" s="28">
        <f>IF(('Activity data'!BP17*EF!$H16)*kgtoGg=0,"NO",('Activity data'!BP17*EF!$H16)*kgtoGg)</f>
        <v>2.5592291155933768</v>
      </c>
    </row>
    <row r="17" spans="1:68" x14ac:dyDescent="0.25">
      <c r="A17" t="str">
        <f t="shared" si="1"/>
        <v>3A Livestock</v>
      </c>
      <c r="B17" t="str">
        <f t="shared" si="2"/>
        <v>3A1 Enteric fermentation (CH4)</v>
      </c>
      <c r="C17" t="str">
        <f>EF!C17</f>
        <v>3A1h Swine</v>
      </c>
      <c r="D17" t="str">
        <f>EF!D17</f>
        <v>Subsistence</v>
      </c>
      <c r="E17" t="str">
        <f t="shared" si="3"/>
        <v>Enteric fermentation Emissions</v>
      </c>
      <c r="F17" t="str">
        <f t="shared" si="4"/>
        <v>CH4</v>
      </c>
      <c r="G17" t="str">
        <f t="shared" si="5"/>
        <v>Gg CH4</v>
      </c>
      <c r="H17" s="28">
        <f>IF(('Activity data'!H18*EF!$H17)*kgtoGg=0,"NO",('Activity data'!H18*EF!$H17)*kgtoGg)</f>
        <v>0.22469223109375691</v>
      </c>
      <c r="I17" s="28">
        <f>IF(('Activity data'!I18*EF!$H17)*kgtoGg=0,"NO",('Activity data'!I18*EF!$H17)*kgtoGg)</f>
        <v>0.24548068554534469</v>
      </c>
      <c r="J17" s="28">
        <f>IF(('Activity data'!J18*EF!$H17)*kgtoGg=0,"NO",('Activity data'!J18*EF!$H17)*kgtoGg)</f>
        <v>0.24385889122642646</v>
      </c>
      <c r="K17" s="28">
        <f>IF(('Activity data'!K18*EF!$H17)*kgtoGg=0,"NO",('Activity data'!K18*EF!$H17)*kgtoGg)</f>
        <v>0.2437114553792521</v>
      </c>
      <c r="L17" s="28">
        <f>IF(('Activity data'!L18*EF!$H17)*kgtoGg=0,"NO",('Activity data'!L18*EF!$H17)*kgtoGg)</f>
        <v>0.23147428006377843</v>
      </c>
      <c r="M17" s="28">
        <f>IF(('Activity data'!M18*EF!$H17)*kgtoGg=0,"NO",('Activity data'!M18*EF!$H17)*kgtoGg)</f>
        <v>0.23368581777139416</v>
      </c>
      <c r="N17" s="28">
        <f>IF(('Activity data'!N18*EF!$H17)*kgtoGg=0,"NO",('Activity data'!N18*EF!$H17)*kgtoGg)</f>
        <v>0.25167299112666869</v>
      </c>
      <c r="O17" s="28">
        <f>IF(('Activity data'!O18*EF!$H17)*kgtoGg=0,"NO",('Activity data'!O18*EF!$H17)*kgtoGg)</f>
        <v>0.25049350434927364</v>
      </c>
      <c r="P17" s="28">
        <f>IF(('Activity data'!P18*EF!$H17)*kgtoGg=0,"NO",('Activity data'!P18*EF!$H17)*kgtoGg)</f>
        <v>0.25594863069472573</v>
      </c>
      <c r="Q17" s="28">
        <f>IF(('Activity data'!Q18*EF!$H17)*kgtoGg=0,"NO",('Activity data'!Q18*EF!$H17)*kgtoGg)</f>
        <v>0.2624358079703985</v>
      </c>
      <c r="R17" s="28">
        <f>IF(('Activity data'!R18*EF!$H17)*kgtoGg=0,"NO",('Activity data'!R18*EF!$H17)*kgtoGg)</f>
        <v>0.24282684029620583</v>
      </c>
      <c r="S17" s="28">
        <f>IF(('Activity data'!S18*EF!$H17)*kgtoGg=0,"NO",('Activity data'!S18*EF!$H17)*kgtoGg)</f>
        <v>0.24739735155861162</v>
      </c>
      <c r="T17" s="28">
        <f>IF(('Activity data'!T18*EF!$H17)*kgtoGg=0,"NO",('Activity data'!T18*EF!$H17)*kgtoGg)</f>
        <v>0.25211529866819182</v>
      </c>
      <c r="U17" s="28">
        <f>IF(('Activity data'!U18*EF!$H17)*kgtoGg=0,"NO",('Activity data'!U18*EF!$H17)*kgtoGg)</f>
        <v>0.24518581385099592</v>
      </c>
      <c r="V17" s="28">
        <f>IF(('Activity data'!V18*EF!$H17)*kgtoGg=0,"NO",('Activity data'!V18*EF!$H17)*kgtoGg)</f>
        <v>0.24518581385099592</v>
      </c>
      <c r="W17" s="28">
        <f>IF(('Activity data'!W18*EF!$H17)*kgtoGg=0,"NO",('Activity data'!W18*EF!$H17)*kgtoGg)</f>
        <v>0.24341658368490332</v>
      </c>
      <c r="X17" s="28">
        <f>IF(('Activity data'!X18*EF!$H17)*kgtoGg=0,"NO",('Activity data'!X18*EF!$H17)*kgtoGg)</f>
        <v>0.23914094411684628</v>
      </c>
      <c r="Y17" s="28">
        <f>IF(('Activity data'!Y18*EF!$H17)*kgtoGg=0,"NO",('Activity data'!Y18*EF!$H17)*kgtoGg)</f>
        <v>0.24341658368490332</v>
      </c>
      <c r="Z17" s="28">
        <f>IF(('Activity data'!Z18*EF!$H17)*kgtoGg=0,"NO",('Activity data'!Z18*EF!$H17)*kgtoGg)</f>
        <v>0.23810889318662562</v>
      </c>
      <c r="AA17" s="28">
        <f>IF(('Activity data'!AA18*EF!$H17)*kgtoGg=0,"NO",('Activity data'!AA18*EF!$H17)*kgtoGg)</f>
        <v>0.23781402149227684</v>
      </c>
      <c r="AB17" s="28">
        <f>IF(('Activity data'!AB18*EF!$H17)*kgtoGg=0,"NO",('Activity data'!AB18*EF!$H17)*kgtoGg)</f>
        <v>0.23501274039596362</v>
      </c>
      <c r="AC17" s="28">
        <f>IF(('Activity data'!AC18*EF!$H17)*kgtoGg=0,"NO",('Activity data'!AC18*EF!$H17)*kgtoGg)</f>
        <v>0.2335383819242198</v>
      </c>
      <c r="AD17" s="28">
        <f>IF(('Activity data'!AD18*EF!$H17)*kgtoGg=0,"NO",('Activity data'!AD18*EF!$H17)*kgtoGg)</f>
        <v>0.25503095287947147</v>
      </c>
      <c r="AE17" s="28">
        <f>IF(('Activity data'!AE18*EF!$H17)*kgtoGg=0,"NO",('Activity data'!AE18*EF!$H17)*kgtoGg)</f>
        <v>0.25501175556011441</v>
      </c>
      <c r="AF17" s="28">
        <f>IF(('Activity data'!AF18*EF!$H17)*kgtoGg=0,"NO",('Activity data'!AF18*EF!$H17)*kgtoGg)</f>
        <v>0.25324981665577634</v>
      </c>
      <c r="AG17" s="28">
        <f>IF(('Activity data'!AG18*EF!$H17)*kgtoGg=0,"NO",('Activity data'!AG18*EF!$H17)*kgtoGg)</f>
        <v>0.25026206140412888</v>
      </c>
      <c r="AH17" s="28">
        <f>IF(('Activity data'!AH18*EF!$H17)*kgtoGg=0,"NO",('Activity data'!AH18*EF!$H17)*kgtoGg)</f>
        <v>0.24602375746236058</v>
      </c>
      <c r="AI17" s="28">
        <f>IF(('Activity data'!AI18*EF!$H17)*kgtoGg=0,"NO",('Activity data'!AI18*EF!$H17)*kgtoGg)</f>
        <v>0.24372757290441885</v>
      </c>
      <c r="AJ17" s="28">
        <f>IF(('Activity data'!AJ18*EF!$H17)*kgtoGg=0,"NO",('Activity data'!AJ18*EF!$H17)*kgtoGg)</f>
        <v>0.24118394435684018</v>
      </c>
      <c r="AK17" s="28">
        <f>IF(('Activity data'!AK18*EF!$H17)*kgtoGg=0,"NO",('Activity data'!AK18*EF!$H17)*kgtoGg)</f>
        <v>0.23862437975080611</v>
      </c>
      <c r="AL17" s="28">
        <f>IF(('Activity data'!AL18*EF!$H17)*kgtoGg=0,"NO",('Activity data'!AL18*EF!$H17)*kgtoGg)</f>
        <v>0.20972616786807544</v>
      </c>
      <c r="AM17" s="28">
        <f>IF(('Activity data'!AM18*EF!$H17)*kgtoGg=0,"NO",('Activity data'!AM18*EF!$H17)*kgtoGg)</f>
        <v>0.21146087234391259</v>
      </c>
      <c r="AN17" s="28">
        <f>IF(('Activity data'!AN18*EF!$H17)*kgtoGg=0,"NO",('Activity data'!AN18*EF!$H17)*kgtoGg)</f>
        <v>0.21282500519891379</v>
      </c>
      <c r="AO17" s="28">
        <f>IF(('Activity data'!AO18*EF!$H17)*kgtoGg=0,"NO",('Activity data'!AO18*EF!$H17)*kgtoGg)</f>
        <v>0.21427593732414191</v>
      </c>
      <c r="AP17" s="28">
        <f>IF(('Activity data'!AP18*EF!$H17)*kgtoGg=0,"NO",('Activity data'!AP18*EF!$H17)*kgtoGg)</f>
        <v>0.21612375208754053</v>
      </c>
      <c r="AQ17" s="28">
        <f>IF(('Activity data'!AQ18*EF!$H17)*kgtoGg=0,"NO",('Activity data'!AQ18*EF!$H17)*kgtoGg)</f>
        <v>0.21857027389444056</v>
      </c>
      <c r="AR17" s="28">
        <f>IF(('Activity data'!AR18*EF!$H17)*kgtoGg=0,"NO",('Activity data'!AR18*EF!$H17)*kgtoGg)</f>
        <v>0.22125585211928195</v>
      </c>
      <c r="AS17" s="28">
        <f>IF(('Activity data'!AS18*EF!$H17)*kgtoGg=0,"NO",('Activity data'!AS18*EF!$H17)*kgtoGg)</f>
        <v>0.22428468305345584</v>
      </c>
      <c r="AT17" s="28">
        <f>IF(('Activity data'!AT18*EF!$H17)*kgtoGg=0,"NO",('Activity data'!AT18*EF!$H17)*kgtoGg)</f>
        <v>0.22768781441767105</v>
      </c>
      <c r="AU17" s="28">
        <f>IF(('Activity data'!AU18*EF!$H17)*kgtoGg=0,"NO",('Activity data'!AU18*EF!$H17)*kgtoGg)</f>
        <v>0.23189115030353982</v>
      </c>
      <c r="AV17" s="28">
        <f>IF(('Activity data'!AV18*EF!$H17)*kgtoGg=0,"NO",('Activity data'!AV18*EF!$H17)*kgtoGg)</f>
        <v>0.23588859008021959</v>
      </c>
      <c r="AW17" s="28">
        <f>IF(('Activity data'!AW18*EF!$H17)*kgtoGg=0,"NO",('Activity data'!AW18*EF!$H17)*kgtoGg)</f>
        <v>0.24113992600156653</v>
      </c>
      <c r="AX17" s="28">
        <f>IF(('Activity data'!AX18*EF!$H17)*kgtoGg=0,"NO",('Activity data'!AX18*EF!$H17)*kgtoGg)</f>
        <v>0.24653143155890231</v>
      </c>
      <c r="AY17" s="28">
        <f>IF(('Activity data'!AY18*EF!$H17)*kgtoGg=0,"NO",('Activity data'!AY18*EF!$H17)*kgtoGg)</f>
        <v>0.25201228579509427</v>
      </c>
      <c r="AZ17" s="28">
        <f>IF(('Activity data'!AZ18*EF!$H17)*kgtoGg=0,"NO",('Activity data'!AZ18*EF!$H17)*kgtoGg)</f>
        <v>0.25753150779084655</v>
      </c>
      <c r="BA17" s="28">
        <f>IF(('Activity data'!BA18*EF!$H17)*kgtoGg=0,"NO",('Activity data'!BA18*EF!$H17)*kgtoGg)</f>
        <v>0.26216155083261061</v>
      </c>
      <c r="BB17" s="28">
        <f>IF(('Activity data'!BB18*EF!$H17)*kgtoGg=0,"NO",('Activity data'!BB18*EF!$H17)*kgtoGg)</f>
        <v>0.2670452849917343</v>
      </c>
      <c r="BC17" s="28">
        <f>IF(('Activity data'!BC18*EF!$H17)*kgtoGg=0,"NO",('Activity data'!BC18*EF!$H17)*kgtoGg)</f>
        <v>0.2723757794585388</v>
      </c>
      <c r="BD17" s="28">
        <f>IF(('Activity data'!BD18*EF!$H17)*kgtoGg=0,"NO",('Activity data'!BD18*EF!$H17)*kgtoGg)</f>
        <v>0.277953175739794</v>
      </c>
      <c r="BE17" s="28">
        <f>IF(('Activity data'!BE18*EF!$H17)*kgtoGg=0,"NO",('Activity data'!BE18*EF!$H17)*kgtoGg)</f>
        <v>0.28312004458868378</v>
      </c>
      <c r="BF17" s="28">
        <f>IF(('Activity data'!BF18*EF!$H17)*kgtoGg=0,"NO",('Activity data'!BF18*EF!$H17)*kgtoGg)</f>
        <v>0.2882359685819601</v>
      </c>
      <c r="BG17" s="28">
        <f>IF(('Activity data'!BG18*EF!$H17)*kgtoGg=0,"NO",('Activity data'!BG18*EF!$H17)*kgtoGg)</f>
        <v>0.29354694109367663</v>
      </c>
      <c r="BH17" s="28">
        <f>IF(('Activity data'!BH18*EF!$H17)*kgtoGg=0,"NO",('Activity data'!BH18*EF!$H17)*kgtoGg)</f>
        <v>0.29912148608401112</v>
      </c>
      <c r="BI17" s="28">
        <f>IF(('Activity data'!BI18*EF!$H17)*kgtoGg=0,"NO",('Activity data'!BI18*EF!$H17)*kgtoGg)</f>
        <v>0.30505682013949048</v>
      </c>
      <c r="BJ17" s="28">
        <f>IF(('Activity data'!BJ18*EF!$H17)*kgtoGg=0,"NO",('Activity data'!BJ18*EF!$H17)*kgtoGg)</f>
        <v>0.3112896719156914</v>
      </c>
      <c r="BK17" s="28">
        <f>IF(('Activity data'!BK18*EF!$H17)*kgtoGg=0,"NO",('Activity data'!BK18*EF!$H17)*kgtoGg)</f>
        <v>0.31803417964234149</v>
      </c>
      <c r="BL17" s="28">
        <f>IF(('Activity data'!BL18*EF!$H17)*kgtoGg=0,"NO",('Activity data'!BL18*EF!$H17)*kgtoGg)</f>
        <v>0.32517650180573598</v>
      </c>
      <c r="BM17" s="28">
        <f>IF(('Activity data'!BM18*EF!$H17)*kgtoGg=0,"NO",('Activity data'!BM18*EF!$H17)*kgtoGg)</f>
        <v>0.33255765191364611</v>
      </c>
      <c r="BN17" s="28">
        <f>IF(('Activity data'!BN18*EF!$H17)*kgtoGg=0,"NO",('Activity data'!BN18*EF!$H17)*kgtoGg)</f>
        <v>0.33960081030129624</v>
      </c>
      <c r="BO17" s="28">
        <f>IF(('Activity data'!BO18*EF!$H17)*kgtoGg=0,"NO",('Activity data'!BO18*EF!$H17)*kgtoGg)</f>
        <v>0.34691243391551574</v>
      </c>
      <c r="BP17" s="28">
        <f>IF(('Activity data'!BP18*EF!$H17)*kgtoGg=0,"NO",('Activity data'!BP18*EF!$H17)*kgtoGg)</f>
        <v>0.35461094416062877</v>
      </c>
    </row>
    <row r="18" spans="1:68" x14ac:dyDescent="0.25">
      <c r="A18" t="str">
        <f t="shared" si="1"/>
        <v>3A Livestock</v>
      </c>
      <c r="B18" t="str">
        <f>'IPCC Categories'!B12</f>
        <v>3A2 Manure management (CH4)</v>
      </c>
      <c r="C18" t="str">
        <f>EF!C18</f>
        <v>3A1ai Dairy cattle</v>
      </c>
      <c r="D18" t="str">
        <f>EF!D18</f>
        <v>TMR</v>
      </c>
      <c r="E18" t="str">
        <f>'IPCC Categories'!F6&amp;" Emissions"</f>
        <v>Manure management Emissions</v>
      </c>
      <c r="F18" t="str">
        <f t="shared" si="4"/>
        <v>CH4</v>
      </c>
      <c r="G18" t="str">
        <f t="shared" si="5"/>
        <v>Gg CH4</v>
      </c>
      <c r="H18" s="28">
        <f>IF(('Activity data'!H5*EF!$H18)*kgtoGg=0,"NO",('Activity data'!H5*EF!$H18)*kgtoGg)</f>
        <v>6.0766424349879422</v>
      </c>
      <c r="I18" s="28">
        <f>IF(('Activity data'!I5*EF!$H18)*kgtoGg=0,"NO",('Activity data'!I5*EF!$H18)*kgtoGg)</f>
        <v>6.9957938304816798</v>
      </c>
      <c r="J18" s="28">
        <f>IF(('Activity data'!J5*EF!$H18)*kgtoGg=0,"NO",('Activity data'!J5*EF!$H18)*kgtoGg)</f>
        <v>6.0522668467284246</v>
      </c>
      <c r="K18" s="28">
        <f>IF(('Activity data'!K5*EF!$H18)*kgtoGg=0,"NO",('Activity data'!K5*EF!$H18)*kgtoGg)</f>
        <v>6.4189962026778016</v>
      </c>
      <c r="L18" s="28">
        <f>IF(('Activity data'!L5*EF!$H18)*kgtoGg=0,"NO",('Activity data'!L5*EF!$H18)*kgtoGg)</f>
        <v>5.9547644936903517</v>
      </c>
      <c r="M18" s="28">
        <f>IF(('Activity data'!M5*EF!$H18)*kgtoGg=0,"NO",('Activity data'!M5*EF!$H18)*kgtoGg)</f>
        <v>6.3702450261587664</v>
      </c>
      <c r="N18" s="28">
        <f>IF(('Activity data'!N5*EF!$H18)*kgtoGg=0,"NO",('Activity data'!N5*EF!$H18)*kgtoGg)</f>
        <v>6.3946206144182849</v>
      </c>
      <c r="O18" s="28">
        <f>IF(('Activity data'!O5*EF!$H18)*kgtoGg=0,"NO",('Activity data'!O5*EF!$H18)*kgtoGg)</f>
        <v>6.1648327655448512</v>
      </c>
      <c r="P18" s="28">
        <f>IF(('Activity data'!P5*EF!$H18)*kgtoGg=0,"NO",('Activity data'!P5*EF!$H18)*kgtoGg)</f>
        <v>6.0917060007662966</v>
      </c>
      <c r="Q18" s="28">
        <f>IF(('Activity data'!Q5*EF!$H18)*kgtoGg=0,"NO",('Activity data'!Q5*EF!$H18)*kgtoGg)</f>
        <v>5.9837960931904526</v>
      </c>
      <c r="R18" s="28">
        <f>IF(('Activity data'!R5*EF!$H18)*kgtoGg=0,"NO",('Activity data'!R5*EF!$H18)*kgtoGg)</f>
        <v>7.7048769541209179</v>
      </c>
      <c r="S18" s="28">
        <f>IF(('Activity data'!S5*EF!$H18)*kgtoGg=0,"NO",('Activity data'!S5*EF!$H18)*kgtoGg)</f>
        <v>7.6805013658613994</v>
      </c>
      <c r="T18" s="28">
        <f>IF(('Activity data'!T5*EF!$H18)*kgtoGg=0,"NO",('Activity data'!T5*EF!$H18)*kgtoGg)</f>
        <v>6.697535228070274</v>
      </c>
      <c r="U18" s="28">
        <f>IF(('Activity data'!U5*EF!$H18)*kgtoGg=0,"NO",('Activity data'!U5*EF!$H18)*kgtoGg)</f>
        <v>6.0917060007662966</v>
      </c>
      <c r="V18" s="28">
        <f>IF(('Activity data'!V5*EF!$H18)*kgtoGg=0,"NO",('Activity data'!V5*EF!$H18)*kgtoGg)</f>
        <v>5.881637728911798</v>
      </c>
      <c r="W18" s="28">
        <f>IF(('Activity data'!W5*EF!$H18)*kgtoGg=0,"NO",('Activity data'!W5*EF!$H18)*kgtoGg)</f>
        <v>6.2971182613802119</v>
      </c>
      <c r="X18" s="28">
        <f>IF(('Activity data'!X5*EF!$H18)*kgtoGg=0,"NO",('Activity data'!X5*EF!$H18)*kgtoGg)</f>
        <v>6.1601767543042687</v>
      </c>
      <c r="Y18" s="28">
        <f>IF(('Activity data'!Y5*EF!$H18)*kgtoGg=0,"NO",('Activity data'!Y5*EF!$H18)*kgtoGg)</f>
        <v>6.1160815890258151</v>
      </c>
      <c r="Z18" s="28">
        <f>IF(('Activity data'!Z5*EF!$H18)*kgtoGg=0,"NO",('Activity data'!Z5*EF!$H18)*kgtoGg)</f>
        <v>7.4901526710258377</v>
      </c>
      <c r="AA18" s="28">
        <f>IF(('Activity data'!AA5*EF!$H18)*kgtoGg=0,"NO",('Activity data'!AA5*EF!$H18)*kgtoGg)</f>
        <v>7.6758453546208179</v>
      </c>
      <c r="AB18" s="28">
        <f>IF(('Activity data'!AB5*EF!$H18)*kgtoGg=0,"NO",('Activity data'!AB5*EF!$H18)*kgtoGg)</f>
        <v>7.6758453546208179</v>
      </c>
      <c r="AC18" s="28">
        <f>IF(('Activity data'!AC5*EF!$H18)*kgtoGg=0,"NO",('Activity data'!AC5*EF!$H18)*kgtoGg)</f>
        <v>7.3973063292283463</v>
      </c>
      <c r="AD18" s="28">
        <f>IF(('Activity data'!AD5*EF!$H18)*kgtoGg=0,"NO",('Activity data'!AD5*EF!$H18)*kgtoGg)</f>
        <v>7.3517560858298054</v>
      </c>
      <c r="AE18" s="28">
        <f>IF(('Activity data'!AE5*EF!$H18)*kgtoGg=0,"NO",('Activity data'!AE5*EF!$H18)*kgtoGg)</f>
        <v>7.4057572245911709</v>
      </c>
      <c r="AF18" s="28">
        <f>IF(('Activity data'!AF5*EF!$H18)*kgtoGg=0,"NO",('Activity data'!AF5*EF!$H18)*kgtoGg)</f>
        <v>7.4462103197466076</v>
      </c>
      <c r="AG18" s="28">
        <f>IF(('Activity data'!AG5*EF!$H18)*kgtoGg=0,"NO",('Activity data'!AG5*EF!$H18)*kgtoGg)</f>
        <v>7.4771163955226712</v>
      </c>
      <c r="AH18" s="28">
        <f>IF(('Activity data'!AH5*EF!$H18)*kgtoGg=0,"NO",('Activity data'!AH5*EF!$H18)*kgtoGg)</f>
        <v>7.4974750037089333</v>
      </c>
      <c r="AI18" s="28">
        <f>IF(('Activity data'!AI5*EF!$H18)*kgtoGg=0,"NO",('Activity data'!AI5*EF!$H18)*kgtoGg)</f>
        <v>7.5390945263242495</v>
      </c>
      <c r="AJ18" s="28">
        <f>IF(('Activity data'!AJ5*EF!$H18)*kgtoGg=0,"NO",('Activity data'!AJ5*EF!$H18)*kgtoGg)</f>
        <v>7.5789887972672672</v>
      </c>
      <c r="AK18" s="28">
        <f>IF(('Activity data'!AK5*EF!$H18)*kgtoGg=0,"NO",('Activity data'!AK5*EF!$H18)*kgtoGg)</f>
        <v>7.6195605923069909</v>
      </c>
      <c r="AL18" s="28">
        <f>IF(('Activity data'!AL5*EF!$H18)*kgtoGg=0,"NO",('Activity data'!AL5*EF!$H18)*kgtoGg)</f>
        <v>7.3777975818000243</v>
      </c>
      <c r="AM18" s="28">
        <f>IF(('Activity data'!AM5*EF!$H18)*kgtoGg=0,"NO",('Activity data'!AM5*EF!$H18)*kgtoGg)</f>
        <v>7.4457247268654942</v>
      </c>
      <c r="AN18" s="28">
        <f>IF(('Activity data'!AN5*EF!$H18)*kgtoGg=0,"NO",('Activity data'!AN5*EF!$H18)*kgtoGg)</f>
        <v>7.5115684334494599</v>
      </c>
      <c r="AO18" s="28">
        <f>IF(('Activity data'!AO5*EF!$H18)*kgtoGg=0,"NO",('Activity data'!AO5*EF!$H18)*kgtoGg)</f>
        <v>7.5802591650588722</v>
      </c>
      <c r="AP18" s="28">
        <f>IF(('Activity data'!AP5*EF!$H18)*kgtoGg=0,"NO",('Activity data'!AP5*EF!$H18)*kgtoGg)</f>
        <v>7.6553843129097876</v>
      </c>
      <c r="AQ18" s="28">
        <f>IF(('Activity data'!AQ5*EF!$H18)*kgtoGg=0,"NO",('Activity data'!AQ5*EF!$H18)*kgtoGg)</f>
        <v>7.7395085704556861</v>
      </c>
      <c r="AR18" s="28">
        <f>IF(('Activity data'!AR5*EF!$H18)*kgtoGg=0,"NO",('Activity data'!AR5*EF!$H18)*kgtoGg)</f>
        <v>7.8226898976359243</v>
      </c>
      <c r="AS18" s="28">
        <f>IF(('Activity data'!AS5*EF!$H18)*kgtoGg=0,"NO",('Activity data'!AS5*EF!$H18)*kgtoGg)</f>
        <v>7.9122509752670327</v>
      </c>
      <c r="AT18" s="28">
        <f>IF(('Activity data'!AT5*EF!$H18)*kgtoGg=0,"NO",('Activity data'!AT5*EF!$H18)*kgtoGg)</f>
        <v>8.0087713310144313</v>
      </c>
      <c r="AU18" s="28">
        <f>IF(('Activity data'!AU5*EF!$H18)*kgtoGg=0,"NO",('Activity data'!AU5*EF!$H18)*kgtoGg)</f>
        <v>8.1177835174887747</v>
      </c>
      <c r="AV18" s="28">
        <f>IF(('Activity data'!AV5*EF!$H18)*kgtoGg=0,"NO",('Activity data'!AV5*EF!$H18)*kgtoGg)</f>
        <v>8.2270388476703111</v>
      </c>
      <c r="AW18" s="28">
        <f>IF(('Activity data'!AW5*EF!$H18)*kgtoGg=0,"NO",('Activity data'!AW5*EF!$H18)*kgtoGg)</f>
        <v>8.3503601187250069</v>
      </c>
      <c r="AX18" s="28">
        <f>IF(('Activity data'!AX5*EF!$H18)*kgtoGg=0,"NO",('Activity data'!AX5*EF!$H18)*kgtoGg)</f>
        <v>8.4787842576467831</v>
      </c>
      <c r="AY18" s="28">
        <f>IF(('Activity data'!AY5*EF!$H18)*kgtoGg=0,"NO",('Activity data'!AY5*EF!$H18)*kgtoGg)</f>
        <v>8.6117588035594803</v>
      </c>
      <c r="AZ18" s="28">
        <f>IF(('Activity data'!AZ5*EF!$H18)*kgtoGg=0,"NO",('Activity data'!AZ5*EF!$H18)*kgtoGg)</f>
        <v>8.7486939861199158</v>
      </c>
      <c r="BA18" s="28">
        <f>IF(('Activity data'!BA5*EF!$H18)*kgtoGg=0,"NO",('Activity data'!BA5*EF!$H18)*kgtoGg)</f>
        <v>8.876973423851334</v>
      </c>
      <c r="BB18" s="28">
        <f>IF(('Activity data'!BB5*EF!$H18)*kgtoGg=0,"NO",('Activity data'!BB5*EF!$H18)*kgtoGg)</f>
        <v>9.007379418229295</v>
      </c>
      <c r="BC18" s="28">
        <f>IF(('Activity data'!BC5*EF!$H18)*kgtoGg=0,"NO",('Activity data'!BC5*EF!$H18)*kgtoGg)</f>
        <v>9.1473898229626904</v>
      </c>
      <c r="BD18" s="28">
        <f>IF(('Activity data'!BD5*EF!$H18)*kgtoGg=0,"NO",('Activity data'!BD5*EF!$H18)*kgtoGg)</f>
        <v>9.2944874018938162</v>
      </c>
      <c r="BE18" s="28">
        <f>IF(('Activity data'!BE5*EF!$H18)*kgtoGg=0,"NO",('Activity data'!BE5*EF!$H18)*kgtoGg)</f>
        <v>9.4393383282867163</v>
      </c>
      <c r="BF18" s="28">
        <f>IF(('Activity data'!BF5*EF!$H18)*kgtoGg=0,"NO",('Activity data'!BF5*EF!$H18)*kgtoGg)</f>
        <v>9.5870460072132122</v>
      </c>
      <c r="BG18" s="28">
        <f>IF(('Activity data'!BG5*EF!$H18)*kgtoGg=0,"NO",('Activity data'!BG5*EF!$H18)*kgtoGg)</f>
        <v>9.7370637561787277</v>
      </c>
      <c r="BH18" s="28">
        <f>IF(('Activity data'!BH5*EF!$H18)*kgtoGg=0,"NO",('Activity data'!BH5*EF!$H18)*kgtoGg)</f>
        <v>9.8948832744541697</v>
      </c>
      <c r="BI18" s="28">
        <f>IF(('Activity data'!BI5*EF!$H18)*kgtoGg=0,"NO",('Activity data'!BI5*EF!$H18)*kgtoGg)</f>
        <v>10.062270052533233</v>
      </c>
      <c r="BJ18" s="28">
        <f>IF(('Activity data'!BJ5*EF!$H18)*kgtoGg=0,"NO",('Activity data'!BJ5*EF!$H18)*kgtoGg)</f>
        <v>10.238574295262195</v>
      </c>
      <c r="BK18" s="28">
        <f>IF(('Activity data'!BK5*EF!$H18)*kgtoGg=0,"NO",('Activity data'!BK5*EF!$H18)*kgtoGg)</f>
        <v>10.4275167140171</v>
      </c>
      <c r="BL18" s="28">
        <f>IF(('Activity data'!BL5*EF!$H18)*kgtoGg=0,"NO",('Activity data'!BL5*EF!$H18)*kgtoGg)</f>
        <v>10.623420218103943</v>
      </c>
      <c r="BM18" s="28">
        <f>IF(('Activity data'!BM5*EF!$H18)*kgtoGg=0,"NO",('Activity data'!BM5*EF!$H18)*kgtoGg)</f>
        <v>10.828380390759651</v>
      </c>
      <c r="BN18" s="28">
        <f>IF(('Activity data'!BN5*EF!$H18)*kgtoGg=0,"NO",('Activity data'!BN5*EF!$H18)*kgtoGg)</f>
        <v>11.033088958732876</v>
      </c>
      <c r="BO18" s="28">
        <f>IF(('Activity data'!BO5*EF!$H18)*kgtoGg=0,"NO",('Activity data'!BO5*EF!$H18)*kgtoGg)</f>
        <v>11.247687897934741</v>
      </c>
      <c r="BP18" s="28">
        <f>IF(('Activity data'!BP5*EF!$H18)*kgtoGg=0,"NO",('Activity data'!BP5*EF!$H18)*kgtoGg)</f>
        <v>11.474561679073362</v>
      </c>
    </row>
    <row r="19" spans="1:68" x14ac:dyDescent="0.25">
      <c r="A19" t="str">
        <f t="shared" si="1"/>
        <v>3A Livestock</v>
      </c>
      <c r="B19" t="str">
        <f>B18</f>
        <v>3A2 Manure management (CH4)</v>
      </c>
      <c r="C19" t="str">
        <f>EF!C19</f>
        <v>3A1ai Dairy cattle</v>
      </c>
      <c r="D19" t="str">
        <f>EF!D19</f>
        <v>Pasture</v>
      </c>
      <c r="E19" t="str">
        <f>E18</f>
        <v>Manure management Emissions</v>
      </c>
      <c r="F19" t="str">
        <f t="shared" ref="F19:F35" si="6">F18</f>
        <v>CH4</v>
      </c>
      <c r="G19" t="str">
        <f t="shared" ref="G19:G35" si="7">G18</f>
        <v>Gg CH4</v>
      </c>
      <c r="H19" s="28">
        <f>IF(('Activity data'!H6*EF!$H19)*kgtoGg=0,"NO",('Activity data'!H6*EF!$H19)*kgtoGg)</f>
        <v>1.7124372347402925</v>
      </c>
      <c r="I19" s="28">
        <f>IF(('Activity data'!I6*EF!$H19)*kgtoGg=0,"NO",('Activity data'!I6*EF!$H19)*kgtoGg)</f>
        <v>1.9714600571042187</v>
      </c>
      <c r="J19" s="28">
        <f>IF(('Activity data'!J6*EF!$H19)*kgtoGg=0,"NO",('Activity data'!J6*EF!$H19)*kgtoGg)</f>
        <v>1.7055680359350514</v>
      </c>
      <c r="K19" s="28">
        <f>IF(('Activity data'!K6*EF!$H19)*kgtoGg=0,"NO",('Activity data'!K6*EF!$H19)*kgtoGg)</f>
        <v>1.8089147460498598</v>
      </c>
      <c r="L19" s="28">
        <f>IF(('Activity data'!L6*EF!$H19)*kgtoGg=0,"NO",('Activity data'!L6*EF!$H19)*kgtoGg)</f>
        <v>1.6780912407140869</v>
      </c>
      <c r="M19" s="28">
        <f>IF(('Activity data'!M6*EF!$H19)*kgtoGg=0,"NO",('Activity data'!M6*EF!$H19)*kgtoGg)</f>
        <v>1.7951763484393775</v>
      </c>
      <c r="N19" s="28">
        <f>IF(('Activity data'!N6*EF!$H19)*kgtoGg=0,"NO",('Activity data'!N6*EF!$H19)*kgtoGg)</f>
        <v>1.8020455472446186</v>
      </c>
      <c r="O19" s="28">
        <f>IF(('Activity data'!O6*EF!$H19)*kgtoGg=0,"NO",('Activity data'!O6*EF!$H19)*kgtoGg)</f>
        <v>1.7372898416536373</v>
      </c>
      <c r="P19" s="28">
        <f>IF(('Activity data'!P6*EF!$H19)*kgtoGg=0,"NO",('Activity data'!P6*EF!$H19)*kgtoGg)</f>
        <v>1.7166822452379138</v>
      </c>
      <c r="Q19" s="28">
        <f>IF(('Activity data'!Q6*EF!$H19)*kgtoGg=0,"NO",('Activity data'!Q6*EF!$H19)*kgtoGg)</f>
        <v>1.6862725336731379</v>
      </c>
      <c r="R19" s="28">
        <f>IF(('Activity data'!R6*EF!$H19)*kgtoGg=0,"NO",('Activity data'!R6*EF!$H19)*kgtoGg)</f>
        <v>2.1712842785285944</v>
      </c>
      <c r="S19" s="28">
        <f>IF(('Activity data'!S6*EF!$H19)*kgtoGg=0,"NO",('Activity data'!S6*EF!$H19)*kgtoGg)</f>
        <v>2.1644150797233528</v>
      </c>
      <c r="T19" s="28">
        <f>IF(('Activity data'!T6*EF!$H19)*kgtoGg=0,"NO",('Activity data'!T6*EF!$H19)*kgtoGg)</f>
        <v>1.8874088492513235</v>
      </c>
      <c r="U19" s="28">
        <f>IF(('Activity data'!U6*EF!$H19)*kgtoGg=0,"NO",('Activity data'!U6*EF!$H19)*kgtoGg)</f>
        <v>1.7166822452379138</v>
      </c>
      <c r="V19" s="28">
        <f>IF(('Activity data'!V6*EF!$H19)*kgtoGg=0,"NO",('Activity data'!V6*EF!$H19)*kgtoGg)</f>
        <v>1.6574836442983631</v>
      </c>
      <c r="W19" s="28">
        <f>IF(('Activity data'!W6*EF!$H19)*kgtoGg=0,"NO",('Activity data'!W6*EF!$H19)*kgtoGg)</f>
        <v>1.7745687520236539</v>
      </c>
      <c r="X19" s="28">
        <f>IF(('Activity data'!X6*EF!$H19)*kgtoGg=0,"NO",('Activity data'!X6*EF!$H19)*kgtoGg)</f>
        <v>1.735977747499827</v>
      </c>
      <c r="Y19" s="28">
        <f>IF(('Activity data'!Y6*EF!$H19)*kgtoGg=0,"NO",('Activity data'!Y6*EF!$H19)*kgtoGg)</f>
        <v>1.723551444043155</v>
      </c>
      <c r="Z19" s="28">
        <f>IF(('Activity data'!Z6*EF!$H19)*kgtoGg=0,"NO",('Activity data'!Z6*EF!$H19)*kgtoGg)</f>
        <v>2.1107735834352335</v>
      </c>
      <c r="AA19" s="28">
        <f>IF(('Activity data'!AA6*EF!$H19)*kgtoGg=0,"NO",('Activity data'!AA6*EF!$H19)*kgtoGg)</f>
        <v>2.1631029855695427</v>
      </c>
      <c r="AB19" s="28">
        <f>IF(('Activity data'!AB6*EF!$H19)*kgtoGg=0,"NO",('Activity data'!AB6*EF!$H19)*kgtoGg)</f>
        <v>2.1631029855695427</v>
      </c>
      <c r="AC19" s="28">
        <f>IF(('Activity data'!AC6*EF!$H19)*kgtoGg=0,"NO",('Activity data'!AC6*EF!$H19)*kgtoGg)</f>
        <v>2.0846088823680784</v>
      </c>
      <c r="AD19" s="28">
        <f>IF(('Activity data'!AD6*EF!$H19)*kgtoGg=0,"NO",('Activity data'!AD6*EF!$H19)*kgtoGg)</f>
        <v>2.0945702980336893</v>
      </c>
      <c r="AE19" s="28">
        <f>IF(('Activity data'!AE6*EF!$H19)*kgtoGg=0,"NO",('Activity data'!AE6*EF!$H19)*kgtoGg)</f>
        <v>2.109955626380962</v>
      </c>
      <c r="AF19" s="28">
        <f>IF(('Activity data'!AF6*EF!$H19)*kgtoGg=0,"NO",('Activity data'!AF6*EF!$H19)*kgtoGg)</f>
        <v>2.1214810157691422</v>
      </c>
      <c r="AG19" s="28">
        <f>IF(('Activity data'!AG6*EF!$H19)*kgtoGg=0,"NO",('Activity data'!AG6*EF!$H19)*kgtoGg)</f>
        <v>2.1302863879269718</v>
      </c>
      <c r="AH19" s="28">
        <f>IF(('Activity data'!AH6*EF!$H19)*kgtoGg=0,"NO",('Activity data'!AH6*EF!$H19)*kgtoGg)</f>
        <v>2.1360867076762138</v>
      </c>
      <c r="AI19" s="28">
        <f>IF(('Activity data'!AI6*EF!$H19)*kgtoGg=0,"NO",('Activity data'!AI6*EF!$H19)*kgtoGg)</f>
        <v>2.1479444209722804</v>
      </c>
      <c r="AJ19" s="28">
        <f>IF(('Activity data'!AJ6*EF!$H19)*kgtoGg=0,"NO",('Activity data'!AJ6*EF!$H19)*kgtoGg)</f>
        <v>2.1593105971624849</v>
      </c>
      <c r="AK19" s="28">
        <f>IF(('Activity data'!AK6*EF!$H19)*kgtoGg=0,"NO",('Activity data'!AK6*EF!$H19)*kgtoGg)</f>
        <v>2.1708698050355419</v>
      </c>
      <c r="AL19" s="28">
        <f>IF(('Activity data'!AL6*EF!$H19)*kgtoGg=0,"NO",('Activity data'!AL6*EF!$H19)*kgtoGg)</f>
        <v>2.1019897150190707</v>
      </c>
      <c r="AM19" s="28">
        <f>IF(('Activity data'!AM6*EF!$H19)*kgtoGg=0,"NO",('Activity data'!AM6*EF!$H19)*kgtoGg)</f>
        <v>2.1213426667252069</v>
      </c>
      <c r="AN19" s="28">
        <f>IF(('Activity data'!AN6*EF!$H19)*kgtoGg=0,"NO",('Activity data'!AN6*EF!$H19)*kgtoGg)</f>
        <v>2.140102031224397</v>
      </c>
      <c r="AO19" s="28">
        <f>IF(('Activity data'!AO6*EF!$H19)*kgtoGg=0,"NO",('Activity data'!AO6*EF!$H19)*kgtoGg)</f>
        <v>2.159672534448327</v>
      </c>
      <c r="AP19" s="28">
        <f>IF(('Activity data'!AP6*EF!$H19)*kgtoGg=0,"NO",('Activity data'!AP6*EF!$H19)*kgtoGg)</f>
        <v>2.1810762509871835</v>
      </c>
      <c r="AQ19" s="28">
        <f>IF(('Activity data'!AQ6*EF!$H19)*kgtoGg=0,"NO",('Activity data'!AQ6*EF!$H19)*kgtoGg)</f>
        <v>2.2050438811890887</v>
      </c>
      <c r="AR19" s="28">
        <f>IF(('Activity data'!AR6*EF!$H19)*kgtoGg=0,"NO",('Activity data'!AR6*EF!$H19)*kgtoGg)</f>
        <v>2.2287428634769491</v>
      </c>
      <c r="AS19" s="28">
        <f>IF(('Activity data'!AS6*EF!$H19)*kgtoGg=0,"NO",('Activity data'!AS6*EF!$H19)*kgtoGg)</f>
        <v>2.2542594843870991</v>
      </c>
      <c r="AT19" s="28">
        <f>IF(('Activity data'!AT6*EF!$H19)*kgtoGg=0,"NO",('Activity data'!AT6*EF!$H19)*kgtoGg)</f>
        <v>2.2817588556861308</v>
      </c>
      <c r="AU19" s="28">
        <f>IF(('Activity data'!AU6*EF!$H19)*kgtoGg=0,"NO",('Activity data'!AU6*EF!$H19)*kgtoGg)</f>
        <v>2.312817242994841</v>
      </c>
      <c r="AV19" s="28">
        <f>IF(('Activity data'!AV6*EF!$H19)*kgtoGg=0,"NO",('Activity data'!AV6*EF!$H19)*kgtoGg)</f>
        <v>2.3439449037643807</v>
      </c>
      <c r="AW19" s="28">
        <f>IF(('Activity data'!AW6*EF!$H19)*kgtoGg=0,"NO",('Activity data'!AW6*EF!$H19)*kgtoGg)</f>
        <v>2.3790800562981813</v>
      </c>
      <c r="AX19" s="28">
        <f>IF(('Activity data'!AX6*EF!$H19)*kgtoGg=0,"NO",('Activity data'!AX6*EF!$H19)*kgtoGg)</f>
        <v>2.415669054055408</v>
      </c>
      <c r="AY19" s="28">
        <f>IF(('Activity data'!AY6*EF!$H19)*kgtoGg=0,"NO",('Activity data'!AY6*EF!$H19)*kgtoGg)</f>
        <v>2.4535544968001823</v>
      </c>
      <c r="AZ19" s="28">
        <f>IF(('Activity data'!AZ6*EF!$H19)*kgtoGg=0,"NO",('Activity data'!AZ6*EF!$H19)*kgtoGg)</f>
        <v>2.4925683545504072</v>
      </c>
      <c r="BA19" s="28">
        <f>IF(('Activity data'!BA6*EF!$H19)*kgtoGg=0,"NO",('Activity data'!BA6*EF!$H19)*kgtoGg)</f>
        <v>2.5291161258561741</v>
      </c>
      <c r="BB19" s="28">
        <f>IF(('Activity data'!BB6*EF!$H19)*kgtoGg=0,"NO",('Activity data'!BB6*EF!$H19)*kgtoGg)</f>
        <v>2.5662697690566194</v>
      </c>
      <c r="BC19" s="28">
        <f>IF(('Activity data'!BC6*EF!$H19)*kgtoGg=0,"NO",('Activity data'!BC6*EF!$H19)*kgtoGg)</f>
        <v>2.6061597806057644</v>
      </c>
      <c r="BD19" s="28">
        <f>IF(('Activity data'!BD6*EF!$H19)*kgtoGg=0,"NO",('Activity data'!BD6*EF!$H19)*kgtoGg)</f>
        <v>2.6480689810940214</v>
      </c>
      <c r="BE19" s="28">
        <f>IF(('Activity data'!BE6*EF!$H19)*kgtoGg=0,"NO",('Activity data'!BE6*EF!$H19)*kgtoGg)</f>
        <v>2.6893380934697739</v>
      </c>
      <c r="BF19" s="28">
        <f>IF(('Activity data'!BF6*EF!$H19)*kgtoGg=0,"NO",('Activity data'!BF6*EF!$H19)*kgtoGg)</f>
        <v>2.7314211160100972</v>
      </c>
      <c r="BG19" s="28">
        <f>IF(('Activity data'!BG6*EF!$H19)*kgtoGg=0,"NO",('Activity data'!BG6*EF!$H19)*kgtoGg)</f>
        <v>2.7741622947832467</v>
      </c>
      <c r="BH19" s="28">
        <f>IF(('Activity data'!BH6*EF!$H19)*kgtoGg=0,"NO",('Activity data'!BH6*EF!$H19)*kgtoGg)</f>
        <v>2.8191262559879546</v>
      </c>
      <c r="BI19" s="28">
        <f>IF(('Activity data'!BI6*EF!$H19)*kgtoGg=0,"NO",('Activity data'!BI6*EF!$H19)*kgtoGg)</f>
        <v>2.8668160010712738</v>
      </c>
      <c r="BJ19" s="28">
        <f>IF(('Activity data'!BJ6*EF!$H19)*kgtoGg=0,"NO",('Activity data'!BJ6*EF!$H19)*kgtoGg)</f>
        <v>2.9170463985336132</v>
      </c>
      <c r="BK19" s="28">
        <f>IF(('Activity data'!BK6*EF!$H19)*kgtoGg=0,"NO",('Activity data'!BK6*EF!$H19)*kgtoGg)</f>
        <v>2.9708775068759401</v>
      </c>
      <c r="BL19" s="28">
        <f>IF(('Activity data'!BL6*EF!$H19)*kgtoGg=0,"NO",('Activity data'!BL6*EF!$H19)*kgtoGg)</f>
        <v>3.0266918804964043</v>
      </c>
      <c r="BM19" s="28">
        <f>IF(('Activity data'!BM6*EF!$H19)*kgtoGg=0,"NO",('Activity data'!BM6*EF!$H19)*kgtoGg)</f>
        <v>3.0850865667336111</v>
      </c>
      <c r="BN19" s="28">
        <f>IF(('Activity data'!BN6*EF!$H19)*kgtoGg=0,"NO",('Activity data'!BN6*EF!$H19)*kgtoGg)</f>
        <v>3.1434095689148416</v>
      </c>
      <c r="BO19" s="28">
        <f>IF(('Activity data'!BO6*EF!$H19)*kgtoGg=0,"NO",('Activity data'!BO6*EF!$H19)*kgtoGg)</f>
        <v>3.2045504118364576</v>
      </c>
      <c r="BP19" s="28">
        <f>IF(('Activity data'!BP6*EF!$H19)*kgtoGg=0,"NO",('Activity data'!BP6*EF!$H19)*kgtoGg)</f>
        <v>3.269188449038412</v>
      </c>
    </row>
    <row r="20" spans="1:68" x14ac:dyDescent="0.25">
      <c r="A20" t="str">
        <f t="shared" si="1"/>
        <v>3A Livestock</v>
      </c>
      <c r="B20" t="str">
        <f t="shared" ref="B20:B35" si="8">B19</f>
        <v>3A2 Manure management (CH4)</v>
      </c>
      <c r="C20" t="str">
        <f>EF!C20</f>
        <v>3A1aii Other cattle</v>
      </c>
      <c r="D20" t="str">
        <f>EF!D20</f>
        <v>Non-lactating</v>
      </c>
      <c r="E20" t="str">
        <f>E19</f>
        <v>Manure management Emissions</v>
      </c>
      <c r="F20" t="str">
        <f t="shared" si="6"/>
        <v>CH4</v>
      </c>
      <c r="G20" t="str">
        <f t="shared" si="7"/>
        <v>Gg CH4</v>
      </c>
      <c r="H20" s="28">
        <f>IF(('Activity data'!H7*EF!$H20)*kgtoGg=0,"NO",('Activity data'!H7*EF!$H20)*kgtoGg)</f>
        <v>0.41752621472755574</v>
      </c>
      <c r="I20" s="28">
        <f>IF(('Activity data'!I7*EF!$H20)*kgtoGg=0,"NO",('Activity data'!I7*EF!$H20)*kgtoGg)</f>
        <v>0.47458519205570593</v>
      </c>
      <c r="J20" s="28">
        <f>IF(('Activity data'!J7*EF!$H20)*kgtoGg=0,"NO",('Activity data'!J7*EF!$H20)*kgtoGg)</f>
        <v>0.41051742697229299</v>
      </c>
      <c r="K20" s="28">
        <f>IF(('Activity data'!K7*EF!$H20)*kgtoGg=0,"NO",('Activity data'!K7*EF!$H20)*kgtoGg)</f>
        <v>0.42961947568884723</v>
      </c>
      <c r="L20" s="28">
        <f>IF(('Activity data'!L7*EF!$H20)*kgtoGg=0,"NO",('Activity data'!L7*EF!$H20)*kgtoGg)</f>
        <v>0.38248227595124251</v>
      </c>
      <c r="M20" s="28">
        <f>IF(('Activity data'!M7*EF!$H20)*kgtoGg=0,"NO",('Activity data'!M7*EF!$H20)*kgtoGg)</f>
        <v>0.41560190017832183</v>
      </c>
      <c r="N20" s="28">
        <f>IF(('Activity data'!N7*EF!$H20)*kgtoGg=0,"NO",('Activity data'!N7*EF!$H20)*kgtoGg)</f>
        <v>0.42261068793358447</v>
      </c>
      <c r="O20" s="28">
        <f>IF(('Activity data'!O7*EF!$H20)*kgtoGg=0,"NO",('Activity data'!O7*EF!$H20)*kgtoGg)</f>
        <v>0.40834594360154697</v>
      </c>
      <c r="P20" s="28">
        <f>IF(('Activity data'!P7*EF!$H20)*kgtoGg=0,"NO",('Activity data'!P7*EF!$H20)*kgtoGg)</f>
        <v>0.38731958033575903</v>
      </c>
      <c r="Q20" s="28">
        <f>IF(('Activity data'!Q7*EF!$H20)*kgtoGg=0,"NO",('Activity data'!Q7*EF!$H20)*kgtoGg)</f>
        <v>0.40809877478003481</v>
      </c>
      <c r="R20" s="28">
        <f>IF(('Activity data'!R7*EF!$H20)*kgtoGg=0,"NO",('Activity data'!R7*EF!$H20)*kgtoGg)</f>
        <v>0.50578050173355138</v>
      </c>
      <c r="S20" s="28">
        <f>IF(('Activity data'!S7*EF!$H20)*kgtoGg=0,"NO",('Activity data'!S7*EF!$H20)*kgtoGg)</f>
        <v>0.49877171397828873</v>
      </c>
      <c r="T20" s="28">
        <f>IF(('Activity data'!T7*EF!$H20)*kgtoGg=0,"NO",('Activity data'!T7*EF!$H20)*kgtoGg)</f>
        <v>0.45790179553141008</v>
      </c>
      <c r="U20" s="28">
        <f>IF(('Activity data'!U7*EF!$H20)*kgtoGg=0,"NO",('Activity data'!U7*EF!$H20)*kgtoGg)</f>
        <v>0.38731958033575903</v>
      </c>
      <c r="V20" s="28">
        <f>IF(('Activity data'!V7*EF!$H20)*kgtoGg=0,"NO",('Activity data'!V7*EF!$H20)*kgtoGg)</f>
        <v>0.36145591268545452</v>
      </c>
      <c r="W20" s="28">
        <f>IF(('Activity data'!W7*EF!$H20)*kgtoGg=0,"NO",('Activity data'!W7*EF!$H20)*kgtoGg)</f>
        <v>0.39457553691253394</v>
      </c>
      <c r="X20" s="28">
        <f>IF(('Activity data'!X7*EF!$H20)*kgtoGg=0,"NO",('Activity data'!X7*EF!$H20)*kgtoGg)</f>
        <v>0.38973823252801737</v>
      </c>
      <c r="Y20" s="28">
        <f>IF(('Activity data'!Y7*EF!$H20)*kgtoGg=0,"NO",('Activity data'!Y7*EF!$H20)*kgtoGg)</f>
        <v>0.39432836809102173</v>
      </c>
      <c r="Z20" s="28">
        <f>IF(('Activity data'!Z7*EF!$H20)*kgtoGg=0,"NO",('Activity data'!Z7*EF!$H20)*kgtoGg)</f>
        <v>0.46130912300971733</v>
      </c>
      <c r="AA20" s="28">
        <f>IF(('Activity data'!AA7*EF!$H20)*kgtoGg=0,"NO",('Activity data'!AA7*EF!$H20)*kgtoGg)</f>
        <v>0.48016400290475908</v>
      </c>
      <c r="AB20" s="28">
        <f>IF(('Activity data'!AB7*EF!$H20)*kgtoGg=0,"NO",('Activity data'!AB7*EF!$H20)*kgtoGg)</f>
        <v>0.48016400290475908</v>
      </c>
      <c r="AC20" s="28">
        <f>IF(('Activity data'!AC7*EF!$H20)*kgtoGg=0,"NO",('Activity data'!AC7*EF!$H20)*kgtoGg)</f>
        <v>0.45188168306219634</v>
      </c>
      <c r="AD20" s="28">
        <f>IF(('Activity data'!AD7*EF!$H20)*kgtoGg=0,"NO",('Activity data'!AD7*EF!$H20)*kgtoGg)</f>
        <v>0.43260880627208637</v>
      </c>
      <c r="AE20" s="28">
        <f>IF(('Activity data'!AE7*EF!$H20)*kgtoGg=0,"NO",('Activity data'!AE7*EF!$H20)*kgtoGg)</f>
        <v>0.43578646449471381</v>
      </c>
      <c r="AF20" s="28">
        <f>IF(('Activity data'!AF7*EF!$H20)*kgtoGg=0,"NO",('Activity data'!AF7*EF!$H20)*kgtoGg)</f>
        <v>0.43816689782260065</v>
      </c>
      <c r="AG20" s="28">
        <f>IF(('Activity data'!AG7*EF!$H20)*kgtoGg=0,"NO",('Activity data'!AG7*EF!$H20)*kgtoGg)</f>
        <v>0.43998554365251441</v>
      </c>
      <c r="AH20" s="28">
        <f>IF(('Activity data'!AH7*EF!$H20)*kgtoGg=0,"NO",('Activity data'!AH7*EF!$H20)*kgtoGg)</f>
        <v>0.44118353132811144</v>
      </c>
      <c r="AI20" s="28">
        <f>IF(('Activity data'!AI7*EF!$H20)*kgtoGg=0,"NO",('Activity data'!AI7*EF!$H20)*kgtoGg)</f>
        <v>0.44363260224205681</v>
      </c>
      <c r="AJ20" s="28">
        <f>IF(('Activity data'!AJ7*EF!$H20)*kgtoGg=0,"NO",('Activity data'!AJ7*EF!$H20)*kgtoGg)</f>
        <v>0.44598015196055452</v>
      </c>
      <c r="AK20" s="28">
        <f>IF(('Activity data'!AK7*EF!$H20)*kgtoGg=0,"NO",('Activity data'!AK7*EF!$H20)*kgtoGg)</f>
        <v>0.44836757009787293</v>
      </c>
      <c r="AL20" s="28">
        <f>IF(('Activity data'!AL7*EF!$H20)*kgtoGg=0,"NO",('Activity data'!AL7*EF!$H20)*kgtoGg)</f>
        <v>0.43414119939744189</v>
      </c>
      <c r="AM20" s="28">
        <f>IF(('Activity data'!AM7*EF!$H20)*kgtoGg=0,"NO",('Activity data'!AM7*EF!$H20)*kgtoGg)</f>
        <v>0.43813832345830178</v>
      </c>
      <c r="AN20" s="28">
        <f>IF(('Activity data'!AN7*EF!$H20)*kgtoGg=0,"NO",('Activity data'!AN7*EF!$H20)*kgtoGg)</f>
        <v>0.44201284907820398</v>
      </c>
      <c r="AO20" s="28">
        <f>IF(('Activity data'!AO7*EF!$H20)*kgtoGg=0,"NO",('Activity data'!AO7*EF!$H20)*kgtoGg)</f>
        <v>0.4460549058407754</v>
      </c>
      <c r="AP20" s="28">
        <f>IF(('Activity data'!AP7*EF!$H20)*kgtoGg=0,"NO",('Activity data'!AP7*EF!$H20)*kgtoGg)</f>
        <v>0.45047559120538377</v>
      </c>
      <c r="AQ20" s="28">
        <f>IF(('Activity data'!AQ7*EF!$H20)*kgtoGg=0,"NO",('Activity data'!AQ7*EF!$H20)*kgtoGg)</f>
        <v>0.45542582271613824</v>
      </c>
      <c r="AR20" s="28">
        <f>IF(('Activity data'!AR7*EF!$H20)*kgtoGg=0,"NO",('Activity data'!AR7*EF!$H20)*kgtoGg)</f>
        <v>0.46032056816681105</v>
      </c>
      <c r="AS20" s="28">
        <f>IF(('Activity data'!AS7*EF!$H20)*kgtoGg=0,"NO",('Activity data'!AS7*EF!$H20)*kgtoGg)</f>
        <v>0.46559072545033608</v>
      </c>
      <c r="AT20" s="28">
        <f>IF(('Activity data'!AT7*EF!$H20)*kgtoGg=0,"NO",('Activity data'!AT7*EF!$H20)*kgtoGg)</f>
        <v>0.47127039645592367</v>
      </c>
      <c r="AU20" s="28">
        <f>IF(('Activity data'!AU7*EF!$H20)*kgtoGg=0,"NO",('Activity data'!AU7*EF!$H20)*kgtoGg)</f>
        <v>0.47768514026804137</v>
      </c>
      <c r="AV20" s="28">
        <f>IF(('Activity data'!AV7*EF!$H20)*kgtoGg=0,"NO",('Activity data'!AV7*EF!$H20)*kgtoGg)</f>
        <v>0.48411419169696429</v>
      </c>
      <c r="AW20" s="28">
        <f>IF(('Activity data'!AW7*EF!$H20)*kgtoGg=0,"NO",('Activity data'!AW7*EF!$H20)*kgtoGg)</f>
        <v>0.49137094331332409</v>
      </c>
      <c r="AX20" s="28">
        <f>IF(('Activity data'!AX7*EF!$H20)*kgtoGg=0,"NO",('Activity data'!AX7*EF!$H20)*kgtoGg)</f>
        <v>0.49892796952404878</v>
      </c>
      <c r="AY20" s="28">
        <f>IF(('Activity data'!AY7*EF!$H20)*kgtoGg=0,"NO",('Activity data'!AY7*EF!$H20)*kgtoGg)</f>
        <v>0.50675276116570067</v>
      </c>
      <c r="AZ20" s="28">
        <f>IF(('Activity data'!AZ7*EF!$H20)*kgtoGg=0,"NO",('Activity data'!AZ7*EF!$H20)*kgtoGg)</f>
        <v>0.51481061362605385</v>
      </c>
      <c r="BA20" s="28">
        <f>IF(('Activity data'!BA7*EF!$H20)*kgtoGg=0,"NO",('Activity data'!BA7*EF!$H20)*kgtoGg)</f>
        <v>0.52235912499916748</v>
      </c>
      <c r="BB20" s="28">
        <f>IF(('Activity data'!BB7*EF!$H20)*kgtoGg=0,"NO",('Activity data'!BB7*EF!$H20)*kgtoGg)</f>
        <v>0.53003277207068966</v>
      </c>
      <c r="BC20" s="28">
        <f>IF(('Activity data'!BC7*EF!$H20)*kgtoGg=0,"NO",('Activity data'!BC7*EF!$H20)*kgtoGg)</f>
        <v>0.53827158377094875</v>
      </c>
      <c r="BD20" s="28">
        <f>IF(('Activity data'!BD7*EF!$H20)*kgtoGg=0,"NO",('Activity data'!BD7*EF!$H20)*kgtoGg)</f>
        <v>0.54692743514631803</v>
      </c>
      <c r="BE20" s="28">
        <f>IF(('Activity data'!BE7*EF!$H20)*kgtoGg=0,"NO",('Activity data'!BE7*EF!$H20)*kgtoGg)</f>
        <v>0.55545108386679443</v>
      </c>
      <c r="BF20" s="28">
        <f>IF(('Activity data'!BF7*EF!$H20)*kgtoGg=0,"NO",('Activity data'!BF7*EF!$H20)*kgtoGg)</f>
        <v>0.56414283613817018</v>
      </c>
      <c r="BG20" s="28">
        <f>IF(('Activity data'!BG7*EF!$H20)*kgtoGg=0,"NO",('Activity data'!BG7*EF!$H20)*kgtoGg)</f>
        <v>0.57297052282172156</v>
      </c>
      <c r="BH20" s="28">
        <f>IF(('Activity data'!BH7*EF!$H20)*kgtoGg=0,"NO",('Activity data'!BH7*EF!$H20)*kgtoGg)</f>
        <v>0.58225729901648271</v>
      </c>
      <c r="BI20" s="28">
        <f>IF(('Activity data'!BI7*EF!$H20)*kgtoGg=0,"NO",('Activity data'!BI7*EF!$H20)*kgtoGg)</f>
        <v>0.59210705374244366</v>
      </c>
      <c r="BJ20" s="28">
        <f>IF(('Activity data'!BJ7*EF!$H20)*kgtoGg=0,"NO",('Activity data'!BJ7*EF!$H20)*kgtoGg)</f>
        <v>0.60248155027051664</v>
      </c>
      <c r="BK20" s="28">
        <f>IF(('Activity data'!BK7*EF!$H20)*kgtoGg=0,"NO",('Activity data'!BK7*EF!$H20)*kgtoGg)</f>
        <v>0.6135997311891227</v>
      </c>
      <c r="BL20" s="28">
        <f>IF(('Activity data'!BL7*EF!$H20)*kgtoGg=0,"NO",('Activity data'!BL7*EF!$H20)*kgtoGg)</f>
        <v>0.62512753217409833</v>
      </c>
      <c r="BM20" s="28">
        <f>IF(('Activity data'!BM7*EF!$H20)*kgtoGg=0,"NO",('Activity data'!BM7*EF!$H20)*kgtoGg)</f>
        <v>0.63718826631581038</v>
      </c>
      <c r="BN20" s="28">
        <f>IF(('Activity data'!BN7*EF!$H20)*kgtoGg=0,"NO",('Activity data'!BN7*EF!$H20)*kgtoGg)</f>
        <v>0.64923419496070356</v>
      </c>
      <c r="BO20" s="28">
        <f>IF(('Activity data'!BO7*EF!$H20)*kgtoGg=0,"NO",('Activity data'!BO7*EF!$H20)*kgtoGg)</f>
        <v>0.66186211539651796</v>
      </c>
      <c r="BP20" s="28">
        <f>IF(('Activity data'!BP7*EF!$H20)*kgtoGg=0,"NO",('Activity data'!BP7*EF!$H20)*kgtoGg)</f>
        <v>0.67521234008936248</v>
      </c>
    </row>
    <row r="21" spans="1:68" x14ac:dyDescent="0.25">
      <c r="A21" t="str">
        <f t="shared" si="1"/>
        <v>3A Livestock</v>
      </c>
      <c r="B21" t="str">
        <f t="shared" si="8"/>
        <v>3A2 Manure management (CH4)</v>
      </c>
      <c r="C21" t="str">
        <f>EF!C21</f>
        <v>3A1aii Other cattle</v>
      </c>
      <c r="D21" t="str">
        <f>EF!D21</f>
        <v>Commercial</v>
      </c>
      <c r="E21" t="str">
        <f>E19</f>
        <v>Manure management Emissions</v>
      </c>
      <c r="F21" t="str">
        <f>F19</f>
        <v>CH4</v>
      </c>
      <c r="G21" t="str">
        <f>G19</f>
        <v>Gg CH4</v>
      </c>
      <c r="H21" s="28">
        <f>IF(('Activity data'!H8*EF!$H21)*kgtoGg=0,"NO",('Activity data'!H8*EF!$H21)*kgtoGg)</f>
        <v>0.10860830449259461</v>
      </c>
      <c r="I21" s="28">
        <f>IF(('Activity data'!I8*EF!$H21)*kgtoGg=0,"NO",('Activity data'!I8*EF!$H21)*kgtoGg)</f>
        <v>0.10392054759979548</v>
      </c>
      <c r="J21" s="28">
        <f>IF(('Activity data'!J8*EF!$H21)*kgtoGg=0,"NO",('Activity data'!J8*EF!$H21)*kgtoGg)</f>
        <v>0.10388278936218015</v>
      </c>
      <c r="K21" s="28">
        <f>IF(('Activity data'!K8*EF!$H21)*kgtoGg=0,"NO",('Activity data'!K8*EF!$H21)*kgtoGg)</f>
        <v>9.7186039320312306E-2</v>
      </c>
      <c r="L21" s="28">
        <f>IF(('Activity data'!L8*EF!$H21)*kgtoGg=0,"NO",('Activity data'!L8*EF!$H21)*kgtoGg)</f>
        <v>0.10011588737831177</v>
      </c>
      <c r="M21" s="28">
        <f>IF(('Activity data'!M8*EF!$H21)*kgtoGg=0,"NO",('Activity data'!M8*EF!$H21)*kgtoGg)</f>
        <v>0.10239221522239531</v>
      </c>
      <c r="N21" s="28">
        <f>IF(('Activity data'!N8*EF!$H21)*kgtoGg=0,"NO",('Activity data'!N8*EF!$H21)*kgtoGg)</f>
        <v>0.10663977797793223</v>
      </c>
      <c r="O21" s="28">
        <f>IF(('Activity data'!O8*EF!$H21)*kgtoGg=0,"NO",('Activity data'!O8*EF!$H21)*kgtoGg)</f>
        <v>0.11067943145039739</v>
      </c>
      <c r="P21" s="28">
        <f>IF(('Activity data'!P8*EF!$H21)*kgtoGg=0,"NO",('Activity data'!P8*EF!$H21)*kgtoGg)</f>
        <v>0.11163804459694349</v>
      </c>
      <c r="Q21" s="28">
        <f>IF(('Activity data'!Q8*EF!$H21)*kgtoGg=0,"NO",('Activity data'!Q8*EF!$H21)*kgtoGg)</f>
        <v>0.10983154393736459</v>
      </c>
      <c r="R21" s="28">
        <f>IF(('Activity data'!R8*EF!$H21)*kgtoGg=0,"NO",('Activity data'!R8*EF!$H21)*kgtoGg)</f>
        <v>0.10237054804806753</v>
      </c>
      <c r="S21" s="28">
        <f>IF(('Activity data'!S8*EF!$H21)*kgtoGg=0,"NO",('Activity data'!S8*EF!$H21)*kgtoGg)</f>
        <v>0.10290250904130627</v>
      </c>
      <c r="T21" s="28">
        <f>IF(('Activity data'!T8*EF!$H21)*kgtoGg=0,"NO",('Activity data'!T8*EF!$H21)*kgtoGg)</f>
        <v>9.5906082860390207E-2</v>
      </c>
      <c r="U21" s="28">
        <f>IF(('Activity data'!U8*EF!$H21)*kgtoGg=0,"NO",('Activity data'!U8*EF!$H21)*kgtoGg)</f>
        <v>9.8414695558664236E-2</v>
      </c>
      <c r="V21" s="28">
        <f>IF(('Activity data'!V8*EF!$H21)*kgtoGg=0,"NO",('Activity data'!V8*EF!$H21)*kgtoGg)</f>
        <v>9.9322008483640145E-2</v>
      </c>
      <c r="W21" s="28">
        <f>IF(('Activity data'!W8*EF!$H21)*kgtoGg=0,"NO",('Activity data'!W8*EF!$H21)*kgtoGg)</f>
        <v>0.100164479203091</v>
      </c>
      <c r="X21" s="28">
        <f>IF(('Activity data'!X8*EF!$H21)*kgtoGg=0,"NO",('Activity data'!X8*EF!$H21)*kgtoGg)</f>
        <v>9.7882734565425497E-2</v>
      </c>
      <c r="Y21" s="28">
        <f>IF(('Activity data'!Y8*EF!$H21)*kgtoGg=0,"NO",('Activity data'!Y8*EF!$H21)*kgtoGg)</f>
        <v>0.10075044881469088</v>
      </c>
      <c r="Z21" s="28">
        <f>IF(('Activity data'!Z8*EF!$H21)*kgtoGg=0,"NO",('Activity data'!Z8*EF!$H21)*kgtoGg)</f>
        <v>9.7950798966544531E-2</v>
      </c>
      <c r="AA21" s="28">
        <f>IF(('Activity data'!AA8*EF!$H21)*kgtoGg=0,"NO",('Activity data'!AA8*EF!$H21)*kgtoGg)</f>
        <v>9.6306138291681109E-2</v>
      </c>
      <c r="AB21" s="28">
        <f>IF(('Activity data'!AB8*EF!$H21)*kgtoGg=0,"NO",('Activity data'!AB8*EF!$H21)*kgtoGg)</f>
        <v>9.6003388653333327E-2</v>
      </c>
      <c r="AC21" s="28">
        <f>IF(('Activity data'!AC8*EF!$H21)*kgtoGg=0,"NO",('Activity data'!AC8*EF!$H21)*kgtoGg)</f>
        <v>9.5658660192370931E-2</v>
      </c>
      <c r="AD21" s="28">
        <f>IF(('Activity data'!AD8*EF!$H21)*kgtoGg=0,"NO",('Activity data'!AD8*EF!$H21)*kgtoGg)</f>
        <v>9.4891111610829817E-2</v>
      </c>
      <c r="AE21" s="28">
        <f>IF(('Activity data'!AE8*EF!$H21)*kgtoGg=0,"NO",('Activity data'!AE8*EF!$H21)*kgtoGg)</f>
        <v>9.4570947567624283E-2</v>
      </c>
      <c r="AF21" s="28">
        <f>IF(('Activity data'!AF8*EF!$H21)*kgtoGg=0,"NO",('Activity data'!AF8*EF!$H21)*kgtoGg)</f>
        <v>9.3564100975686487E-2</v>
      </c>
      <c r="AG21" s="28">
        <f>IF(('Activity data'!AG8*EF!$H21)*kgtoGg=0,"NO",('Activity data'!AG8*EF!$H21)*kgtoGg)</f>
        <v>9.2074959372401149E-2</v>
      </c>
      <c r="AH21" s="28">
        <f>IF(('Activity data'!AH8*EF!$H21)*kgtoGg=0,"NO",('Activity data'!AH8*EF!$H21)*kgtoGg)</f>
        <v>9.0107711458713172E-2</v>
      </c>
      <c r="AI21" s="28">
        <f>IF(('Activity data'!AI8*EF!$H21)*kgtoGg=0,"NO",('Activity data'!AI8*EF!$H21)*kgtoGg)</f>
        <v>8.8819637459711567E-2</v>
      </c>
      <c r="AJ21" s="28">
        <f>IF(('Activity data'!AJ8*EF!$H21)*kgtoGg=0,"NO",('Activity data'!AJ8*EF!$H21)*kgtoGg)</f>
        <v>8.7412201340587234E-2</v>
      </c>
      <c r="AK21" s="28">
        <f>IF(('Activity data'!AK8*EF!$H21)*kgtoGg=0,"NO",('Activity data'!AK8*EF!$H21)*kgtoGg)</f>
        <v>8.5972436155419649E-2</v>
      </c>
      <c r="AL21" s="28">
        <f>IF(('Activity data'!AL8*EF!$H21)*kgtoGg=0,"NO",('Activity data'!AL8*EF!$H21)*kgtoGg)</f>
        <v>7.5323659638422913E-2</v>
      </c>
      <c r="AM21" s="28">
        <f>IF(('Activity data'!AM8*EF!$H21)*kgtoGg=0,"NO",('Activity data'!AM8*EF!$H21)*kgtoGg)</f>
        <v>7.6218774223830971E-2</v>
      </c>
      <c r="AN21" s="28">
        <f>IF(('Activity data'!AN8*EF!$H21)*kgtoGg=0,"NO",('Activity data'!AN8*EF!$H21)*kgtoGg)</f>
        <v>7.6974152059327339E-2</v>
      </c>
      <c r="AO21" s="28">
        <f>IF(('Activity data'!AO8*EF!$H21)*kgtoGg=0,"NO",('Activity data'!AO8*EF!$H21)*kgtoGg)</f>
        <v>7.7750017349133671E-2</v>
      </c>
      <c r="AP21" s="28">
        <f>IF(('Activity data'!AP8*EF!$H21)*kgtoGg=0,"NO",('Activity data'!AP8*EF!$H21)*kgtoGg)</f>
        <v>7.8655933961596244E-2</v>
      </c>
      <c r="AQ21" s="28">
        <f>IF(('Activity data'!AQ8*EF!$H21)*kgtoGg=0,"NO",('Activity data'!AQ8*EF!$H21)*kgtoGg)</f>
        <v>7.9763989337811772E-2</v>
      </c>
      <c r="AR21" s="28">
        <f>IF(('Activity data'!AR8*EF!$H21)*kgtoGg=0,"NO",('Activity data'!AR8*EF!$H21)*kgtoGg)</f>
        <v>8.092221730072538E-2</v>
      </c>
      <c r="AS21" s="28">
        <f>IF(('Activity data'!AS8*EF!$H21)*kgtoGg=0,"NO",('Activity data'!AS8*EF!$H21)*kgtoGg)</f>
        <v>8.2195039343653131E-2</v>
      </c>
      <c r="AT21" s="28">
        <f>IF(('Activity data'!AT8*EF!$H21)*kgtoGg=0,"NO",('Activity data'!AT8*EF!$H21)*kgtoGg)</f>
        <v>8.3594111273091631E-2</v>
      </c>
      <c r="AU21" s="28">
        <f>IF(('Activity data'!AU8*EF!$H21)*kgtoGg=0,"NO",('Activity data'!AU8*EF!$H21)*kgtoGg)</f>
        <v>8.5270708418583141E-2</v>
      </c>
      <c r="AV21" s="28">
        <f>IF(('Activity data'!AV8*EF!$H21)*kgtoGg=0,"NO",('Activity data'!AV8*EF!$H21)*kgtoGg)</f>
        <v>8.6869732421153603E-2</v>
      </c>
      <c r="AW21" s="28">
        <f>IF(('Activity data'!AW8*EF!$H21)*kgtoGg=0,"NO",('Activity data'!AW8*EF!$H21)*kgtoGg)</f>
        <v>8.8141512538083736E-2</v>
      </c>
      <c r="AX21" s="28">
        <f>IF(('Activity data'!AX8*EF!$H21)*kgtoGg=0,"NO",('Activity data'!AX8*EF!$H21)*kgtoGg)</f>
        <v>8.9411961562702855E-2</v>
      </c>
      <c r="AY21" s="28">
        <f>IF(('Activity data'!AY8*EF!$H21)*kgtoGg=0,"NO",('Activity data'!AY8*EF!$H21)*kgtoGg)</f>
        <v>9.0661203126027309E-2</v>
      </c>
      <c r="AZ21" s="28">
        <f>IF(('Activity data'!AZ8*EF!$H21)*kgtoGg=0,"NO",('Activity data'!AZ8*EF!$H21)*kgtoGg)</f>
        <v>9.1869778551486592E-2</v>
      </c>
      <c r="BA21" s="28">
        <f>IF(('Activity data'!BA8*EF!$H21)*kgtoGg=0,"NO",('Activity data'!BA8*EF!$H21)*kgtoGg)</f>
        <v>9.2720447886333976E-2</v>
      </c>
      <c r="BB21" s="28">
        <f>IF(('Activity data'!BB8*EF!$H21)*kgtoGg=0,"NO",('Activity data'!BB8*EF!$H21)*kgtoGg)</f>
        <v>9.3588763785191778E-2</v>
      </c>
      <c r="BC21" s="28">
        <f>IF(('Activity data'!BC8*EF!$H21)*kgtoGg=0,"NO",('Activity data'!BC8*EF!$H21)*kgtoGg)</f>
        <v>9.4553054155484026E-2</v>
      </c>
      <c r="BD21" s="28">
        <f>IF(('Activity data'!BD8*EF!$H21)*kgtoGg=0,"NO",('Activity data'!BD8*EF!$H21)*kgtoGg)</f>
        <v>9.5541676396156447E-2</v>
      </c>
      <c r="BE21" s="28">
        <f>IF(('Activity data'!BE8*EF!$H21)*kgtoGg=0,"NO",('Activity data'!BE8*EF!$H21)*kgtoGg)</f>
        <v>9.6335275019273386E-2</v>
      </c>
      <c r="BF21" s="28">
        <f>IF(('Activity data'!BF8*EF!$H21)*kgtoGg=0,"NO",('Activity data'!BF8*EF!$H21)*kgtoGg)</f>
        <v>9.7053119433836987E-2</v>
      </c>
      <c r="BG21" s="28">
        <f>IF(('Activity data'!BG8*EF!$H21)*kgtoGg=0,"NO",('Activity data'!BG8*EF!$H21)*kgtoGg)</f>
        <v>9.8258396384070579E-2</v>
      </c>
      <c r="BH21" s="28">
        <f>IF(('Activity data'!BH8*EF!$H21)*kgtoGg=0,"NO",('Activity data'!BH8*EF!$H21)*kgtoGg)</f>
        <v>9.9513206371882545E-2</v>
      </c>
      <c r="BI21" s="28">
        <f>IF(('Activity data'!BI8*EF!$H21)*kgtoGg=0,"NO",('Activity data'!BI8*EF!$H21)*kgtoGg)</f>
        <v>0.10084624140757981</v>
      </c>
      <c r="BJ21" s="28">
        <f>IF(('Activity data'!BJ8*EF!$H21)*kgtoGg=0,"NO",('Activity data'!BJ8*EF!$H21)*kgtoGg)</f>
        <v>0.10223442381741166</v>
      </c>
      <c r="BK21" s="28">
        <f>IF(('Activity data'!BK8*EF!$H21)*kgtoGg=0,"NO",('Activity data'!BK8*EF!$H21)*kgtoGg)</f>
        <v>0.1037425097341137</v>
      </c>
      <c r="BL21" s="28">
        <f>IF(('Activity data'!BL8*EF!$H21)*kgtoGg=0,"NO",('Activity data'!BL8*EF!$H21)*kgtoGg)</f>
        <v>0.10531816167238142</v>
      </c>
      <c r="BM21" s="28">
        <f>IF(('Activity data'!BM8*EF!$H21)*kgtoGg=0,"NO",('Activity data'!BM8*EF!$H21)*kgtoGg)</f>
        <v>0.10692116385684124</v>
      </c>
      <c r="BN21" s="28">
        <f>IF(('Activity data'!BN8*EF!$H21)*kgtoGg=0,"NO",('Activity data'!BN8*EF!$H21)*kgtoGg)</f>
        <v>0.10837031421543254</v>
      </c>
      <c r="BO21" s="28">
        <f>IF(('Activity data'!BO8*EF!$H21)*kgtoGg=0,"NO",('Activity data'!BO8*EF!$H21)*kgtoGg)</f>
        <v>0.10985258645708244</v>
      </c>
      <c r="BP21" s="28">
        <f>IF(('Activity data'!BP8*EF!$H21)*kgtoGg=0,"NO",('Activity data'!BP8*EF!$H21)*kgtoGg)</f>
        <v>0.11140088309259086</v>
      </c>
    </row>
    <row r="22" spans="1:68" x14ac:dyDescent="0.25">
      <c r="A22" t="str">
        <f t="shared" si="1"/>
        <v>3A Livestock</v>
      </c>
      <c r="B22" t="str">
        <f t="shared" si="8"/>
        <v>3A2 Manure management (CH4)</v>
      </c>
      <c r="C22" t="str">
        <f>EF!C22</f>
        <v>3A1aii Other cattle</v>
      </c>
      <c r="D22" t="str">
        <f>EF!D22</f>
        <v>Subsistence</v>
      </c>
      <c r="E22" t="str">
        <f t="shared" ref="E22:E53" si="9">E21</f>
        <v>Manure management Emissions</v>
      </c>
      <c r="F22" t="str">
        <f t="shared" si="6"/>
        <v>CH4</v>
      </c>
      <c r="G22" t="str">
        <f t="shared" si="7"/>
        <v>Gg CH4</v>
      </c>
      <c r="H22" s="28">
        <f>IF(('Activity data'!H9*EF!$H22)*kgtoGg=0,"NO",('Activity data'!H9*EF!$H22)*kgtoGg)</f>
        <v>6.0573784267535902E-2</v>
      </c>
      <c r="I22" s="28">
        <f>IF(('Activity data'!I9*EF!$H22)*kgtoGg=0,"NO",('Activity data'!I9*EF!$H22)*kgtoGg)</f>
        <v>6.4268917076884494E-2</v>
      </c>
      <c r="J22" s="28">
        <f>IF(('Activity data'!J9*EF!$H22)*kgtoGg=0,"NO",('Activity data'!J9*EF!$H22)*kgtoGg)</f>
        <v>6.7304204741706564E-2</v>
      </c>
      <c r="K22" s="28">
        <f>IF(('Activity data'!K9*EF!$H22)*kgtoGg=0,"NO",('Activity data'!K9*EF!$H22)*kgtoGg)</f>
        <v>6.651239056827471E-2</v>
      </c>
      <c r="L22" s="28">
        <f>IF(('Activity data'!L9*EF!$H22)*kgtoGg=0,"NO",('Activity data'!L9*EF!$H22)*kgtoGg)</f>
        <v>5.7934403689429759E-2</v>
      </c>
      <c r="M22" s="28">
        <f>IF(('Activity data'!M9*EF!$H22)*kgtoGg=0,"NO",('Activity data'!M9*EF!$H22)*kgtoGg)</f>
        <v>5.5954868255850158E-2</v>
      </c>
      <c r="N22" s="28">
        <f>IF(('Activity data'!N9*EF!$H22)*kgtoGg=0,"NO",('Activity data'!N9*EF!$H22)*kgtoGg)</f>
        <v>5.7538496602713839E-2</v>
      </c>
      <c r="O22" s="28">
        <f>IF(('Activity data'!O9*EF!$H22)*kgtoGg=0,"NO",('Activity data'!O9*EF!$H22)*kgtoGg)</f>
        <v>6.0177877180819982E-2</v>
      </c>
      <c r="P22" s="28">
        <f>IF(('Activity data'!P9*EF!$H22)*kgtoGg=0,"NO",('Activity data'!P9*EF!$H22)*kgtoGg)</f>
        <v>6.3873009990168567E-2</v>
      </c>
      <c r="Q22" s="28">
        <f>IF(('Activity data'!Q9*EF!$H22)*kgtoGg=0,"NO",('Activity data'!Q9*EF!$H22)*kgtoGg)</f>
        <v>6.651239056827471E-2</v>
      </c>
      <c r="R22" s="28">
        <f>IF(('Activity data'!R9*EF!$H22)*kgtoGg=0,"NO",('Activity data'!R9*EF!$H22)*kgtoGg)</f>
        <v>6.4928762221411029E-2</v>
      </c>
      <c r="S22" s="28">
        <f>IF(('Activity data'!S9*EF!$H22)*kgtoGg=0,"NO",('Activity data'!S9*EF!$H22)*kgtoGg)</f>
        <v>6.3345133874547349E-2</v>
      </c>
      <c r="T22" s="28">
        <f>IF(('Activity data'!T9*EF!$H22)*kgtoGg=0,"NO",('Activity data'!T9*EF!$H22)*kgtoGg)</f>
        <v>7.1791151724486982E-2</v>
      </c>
      <c r="U22" s="28">
        <f>IF(('Activity data'!U9*EF!$H22)*kgtoGg=0,"NO",('Activity data'!U9*EF!$H22)*kgtoGg)</f>
        <v>7.350674910025598E-2</v>
      </c>
      <c r="V22" s="28">
        <f>IF(('Activity data'!V9*EF!$H22)*kgtoGg=0,"NO",('Activity data'!V9*EF!$H22)*kgtoGg)</f>
        <v>7.2319027840108213E-2</v>
      </c>
      <c r="W22" s="28">
        <f>IF(('Activity data'!W9*EF!$H22)*kgtoGg=0,"NO",('Activity data'!W9*EF!$H22)*kgtoGg)</f>
        <v>7.0207523377623302E-2</v>
      </c>
      <c r="X22" s="28">
        <f>IF(('Activity data'!X9*EF!$H22)*kgtoGg=0,"NO",('Activity data'!X9*EF!$H22)*kgtoGg)</f>
        <v>7.2450996869013531E-2</v>
      </c>
      <c r="Y22" s="28">
        <f>IF(('Activity data'!Y9*EF!$H22)*kgtoGg=0,"NO",('Activity data'!Y9*EF!$H22)*kgtoGg)</f>
        <v>7.5354315504930283E-2</v>
      </c>
      <c r="Z22" s="28">
        <f>IF(('Activity data'!Z9*EF!$H22)*kgtoGg=0,"NO",('Activity data'!Z9*EF!$H22)*kgtoGg)</f>
        <v>7.4166594244782516E-2</v>
      </c>
      <c r="AA22" s="28">
        <f>IF(('Activity data'!AA9*EF!$H22)*kgtoGg=0,"NO",('Activity data'!AA9*EF!$H22)*kgtoGg)</f>
        <v>7.3374780071350676E-2</v>
      </c>
      <c r="AB22" s="28">
        <f>IF(('Activity data'!AB9*EF!$H22)*kgtoGg=0,"NO",('Activity data'!AB9*EF!$H22)*kgtoGg)</f>
        <v>7.2319027840108213E-2</v>
      </c>
      <c r="AC22" s="28">
        <f>IF(('Activity data'!AC9*EF!$H22)*kgtoGg=0,"NO",('Activity data'!AC9*EF!$H22)*kgtoGg)</f>
        <v>7.2846903955729445E-2</v>
      </c>
      <c r="AD22" s="28">
        <f>IF(('Activity data'!AD9*EF!$H22)*kgtoGg=0,"NO",('Activity data'!AD9*EF!$H22)*kgtoGg)</f>
        <v>6.9703754971087967E-2</v>
      </c>
      <c r="AE22" s="28">
        <f>IF(('Activity data'!AE9*EF!$H22)*kgtoGg=0,"NO",('Activity data'!AE9*EF!$H22)*kgtoGg)</f>
        <v>6.9468573449454243E-2</v>
      </c>
      <c r="AF22" s="28">
        <f>IF(('Activity data'!AF9*EF!$H22)*kgtoGg=0,"NO",('Activity data'!AF9*EF!$H22)*kgtoGg)</f>
        <v>6.8728978486906706E-2</v>
      </c>
      <c r="AG22" s="28">
        <f>IF(('Activity data'!AG9*EF!$H22)*kgtoGg=0,"NO",('Activity data'!AG9*EF!$H22)*kgtoGg)</f>
        <v>6.7635106156078109E-2</v>
      </c>
      <c r="AH22" s="28">
        <f>IF(('Activity data'!AH9*EF!$H22)*kgtoGg=0,"NO",('Activity data'!AH9*EF!$H22)*kgtoGg)</f>
        <v>6.6190033332972506E-2</v>
      </c>
      <c r="AI22" s="28">
        <f>IF(('Activity data'!AI9*EF!$H22)*kgtoGg=0,"NO",('Activity data'!AI9*EF!$H22)*kgtoGg)</f>
        <v>6.5243858365824248E-2</v>
      </c>
      <c r="AJ22" s="28">
        <f>IF(('Activity data'!AJ9*EF!$H22)*kgtoGg=0,"NO",('Activity data'!AJ9*EF!$H22)*kgtoGg)</f>
        <v>6.4210004080427679E-2</v>
      </c>
      <c r="AK22" s="28">
        <f>IF(('Activity data'!AK9*EF!$H22)*kgtoGg=0,"NO",('Activity data'!AK9*EF!$H22)*kgtoGg)</f>
        <v>6.3152401972293326E-2</v>
      </c>
      <c r="AL22" s="28">
        <f>IF(('Activity data'!AL9*EF!$H22)*kgtoGg=0,"NO",('Activity data'!AL9*EF!$H22)*kgtoGg)</f>
        <v>5.5330176091677744E-2</v>
      </c>
      <c r="AM22" s="28">
        <f>IF(('Activity data'!AM9*EF!$H22)*kgtoGg=0,"NO",('Activity data'!AM9*EF!$H22)*kgtoGg)</f>
        <v>5.5987696555640863E-2</v>
      </c>
      <c r="AN22" s="28">
        <f>IF(('Activity data'!AN9*EF!$H22)*kgtoGg=0,"NO",('Activity data'!AN9*EF!$H22)*kgtoGg)</f>
        <v>5.6542571197345674E-2</v>
      </c>
      <c r="AO22" s="28">
        <f>IF(('Activity data'!AO9*EF!$H22)*kgtoGg=0,"NO",('Activity data'!AO9*EF!$H22)*kgtoGg)</f>
        <v>5.7112495220082701E-2</v>
      </c>
      <c r="AP22" s="28">
        <f>IF(('Activity data'!AP9*EF!$H22)*kgtoGg=0,"NO",('Activity data'!AP9*EF!$H22)*kgtoGg)</f>
        <v>5.7777950482513447E-2</v>
      </c>
      <c r="AQ22" s="28">
        <f>IF(('Activity data'!AQ9*EF!$H22)*kgtoGg=0,"NO",('Activity data'!AQ9*EF!$H22)*kgtoGg)</f>
        <v>5.8591889945620215E-2</v>
      </c>
      <c r="AR22" s="28">
        <f>IF(('Activity data'!AR9*EF!$H22)*kgtoGg=0,"NO",('Activity data'!AR9*EF!$H22)*kgtoGg)</f>
        <v>5.9442684469544635E-2</v>
      </c>
      <c r="AS22" s="28">
        <f>IF(('Activity data'!AS9*EF!$H22)*kgtoGg=0,"NO",('Activity data'!AS9*EF!$H22)*kgtoGg)</f>
        <v>6.0377655873040219E-2</v>
      </c>
      <c r="AT22" s="28">
        <f>IF(('Activity data'!AT9*EF!$H22)*kgtoGg=0,"NO",('Activity data'!AT9*EF!$H22)*kgtoGg)</f>
        <v>6.1405366111660489E-2</v>
      </c>
      <c r="AU22" s="28">
        <f>IF(('Activity data'!AU9*EF!$H22)*kgtoGg=0,"NO",('Activity data'!AU9*EF!$H22)*kgtoGg)</f>
        <v>6.2636936852383363E-2</v>
      </c>
      <c r="AV22" s="28">
        <f>IF(('Activity data'!AV9*EF!$H22)*kgtoGg=0,"NO",('Activity data'!AV9*EF!$H22)*kgtoGg)</f>
        <v>6.3811525023772617E-2</v>
      </c>
      <c r="AW22" s="28">
        <f>IF(('Activity data'!AW9*EF!$H22)*kgtoGg=0,"NO",('Activity data'!AW9*EF!$H22)*kgtoGg)</f>
        <v>6.4745731064177817E-2</v>
      </c>
      <c r="AX22" s="28">
        <f>IF(('Activity data'!AX9*EF!$H22)*kgtoGg=0,"NO",('Activity data'!AX9*EF!$H22)*kgtoGg)</f>
        <v>6.5678959329839734E-2</v>
      </c>
      <c r="AY22" s="28">
        <f>IF(('Activity data'!AY9*EF!$H22)*kgtoGg=0,"NO",('Activity data'!AY9*EF!$H22)*kgtoGg)</f>
        <v>6.6596609322041228E-2</v>
      </c>
      <c r="AZ22" s="28">
        <f>IF(('Activity data'!AZ9*EF!$H22)*kgtoGg=0,"NO",('Activity data'!AZ9*EF!$H22)*kgtoGg)</f>
        <v>6.748438736458108E-2</v>
      </c>
      <c r="BA22" s="28">
        <f>IF(('Activity data'!BA9*EF!$H22)*kgtoGg=0,"NO",('Activity data'!BA9*EF!$H22)*kgtoGg)</f>
        <v>6.8109259872354E-2</v>
      </c>
      <c r="BB22" s="28">
        <f>IF(('Activity data'!BB9*EF!$H22)*kgtoGg=0,"NO",('Activity data'!BB9*EF!$H22)*kgtoGg)</f>
        <v>6.8747094940613179E-2</v>
      </c>
      <c r="BC22" s="28">
        <f>IF(('Activity data'!BC9*EF!$H22)*kgtoGg=0,"NO",('Activity data'!BC9*EF!$H22)*kgtoGg)</f>
        <v>6.9455429562800916E-2</v>
      </c>
      <c r="BD22" s="28">
        <f>IF(('Activity data'!BD9*EF!$H22)*kgtoGg=0,"NO",('Activity data'!BD9*EF!$H22)*kgtoGg)</f>
        <v>7.0181637542168024E-2</v>
      </c>
      <c r="BE22" s="28">
        <f>IF(('Activity data'!BE9*EF!$H22)*kgtoGg=0,"NO",('Activity data'!BE9*EF!$H22)*kgtoGg)</f>
        <v>7.0764587863142256E-2</v>
      </c>
      <c r="BF22" s="28">
        <f>IF(('Activity data'!BF9*EF!$H22)*kgtoGg=0,"NO",('Activity data'!BF9*EF!$H22)*kgtoGg)</f>
        <v>7.1291891741563626E-2</v>
      </c>
      <c r="BG22" s="28">
        <f>IF(('Activity data'!BG9*EF!$H22)*kgtoGg=0,"NO",('Activity data'!BG9*EF!$H22)*kgtoGg)</f>
        <v>7.2177246837370021E-2</v>
      </c>
      <c r="BH22" s="28">
        <f>IF(('Activity data'!BH9*EF!$H22)*kgtoGg=0,"NO",('Activity data'!BH9*EF!$H22)*kgtoGg)</f>
        <v>7.3098987203152999E-2</v>
      </c>
      <c r="BI22" s="28">
        <f>IF(('Activity data'!BI9*EF!$H22)*kgtoGg=0,"NO",('Activity data'!BI9*EF!$H22)*kgtoGg)</f>
        <v>7.4078189005290077E-2</v>
      </c>
      <c r="BJ22" s="28">
        <f>IF(('Activity data'!BJ9*EF!$H22)*kgtoGg=0,"NO",('Activity data'!BJ9*EF!$H22)*kgtoGg)</f>
        <v>7.5097900176415752E-2</v>
      </c>
      <c r="BK22" s="28">
        <f>IF(('Activity data'!BK9*EF!$H22)*kgtoGg=0,"NO",('Activity data'!BK9*EF!$H22)*kgtoGg)</f>
        <v>7.6205688349919989E-2</v>
      </c>
      <c r="BL22" s="28">
        <f>IF(('Activity data'!BL9*EF!$H22)*kgtoGg=0,"NO",('Activity data'!BL9*EF!$H22)*kgtoGg)</f>
        <v>7.7363108204744374E-2</v>
      </c>
      <c r="BM22" s="28">
        <f>IF(('Activity data'!BM9*EF!$H22)*kgtoGg=0,"NO",('Activity data'!BM9*EF!$H22)*kgtoGg)</f>
        <v>7.8540618612062171E-2</v>
      </c>
      <c r="BN22" s="28">
        <f>IF(('Activity data'!BN9*EF!$H22)*kgtoGg=0,"NO",('Activity data'!BN9*EF!$H22)*kgtoGg)</f>
        <v>7.9605114746597747E-2</v>
      </c>
      <c r="BO22" s="28">
        <f>IF(('Activity data'!BO9*EF!$H22)*kgtoGg=0,"NO",('Activity data'!BO9*EF!$H22)*kgtoGg)</f>
        <v>8.0693941080049805E-2</v>
      </c>
      <c r="BP22" s="28">
        <f>IF(('Activity data'!BP9*EF!$H22)*kgtoGg=0,"NO",('Activity data'!BP9*EF!$H22)*kgtoGg)</f>
        <v>8.1831266668000058E-2</v>
      </c>
    </row>
    <row r="23" spans="1:68" x14ac:dyDescent="0.25">
      <c r="A23" t="str">
        <f t="shared" si="1"/>
        <v>3A Livestock</v>
      </c>
      <c r="B23" t="str">
        <f t="shared" si="8"/>
        <v>3A2 Manure management (CH4)</v>
      </c>
      <c r="C23" t="str">
        <f>EF!C23</f>
        <v>3A1aii Other cattle</v>
      </c>
      <c r="D23" t="str">
        <f>EF!D23</f>
        <v>Feedlot</v>
      </c>
      <c r="E23" t="str">
        <f t="shared" si="9"/>
        <v>Manure management Emissions</v>
      </c>
      <c r="F23" t="str">
        <f t="shared" si="6"/>
        <v>CH4</v>
      </c>
      <c r="G23" t="str">
        <f t="shared" si="7"/>
        <v>Gg CH4</v>
      </c>
      <c r="H23" s="28">
        <f>IF(('Activity data'!H10*EF!$H23)*kgtoGg=0,"NO",('Activity data'!H10*EF!$H23)*kgtoGg)</f>
        <v>0.3654</v>
      </c>
      <c r="I23" s="28">
        <f>IF(('Activity data'!I10*EF!$H23)*kgtoGg=0,"NO",('Activity data'!I10*EF!$H23)*kgtoGg)</f>
        <v>0.3654</v>
      </c>
      <c r="J23" s="28">
        <f>IF(('Activity data'!J10*EF!$H23)*kgtoGg=0,"NO",('Activity data'!J10*EF!$H23)*kgtoGg)</f>
        <v>0.3654</v>
      </c>
      <c r="K23" s="28">
        <f>IF(('Activity data'!K10*EF!$H23)*kgtoGg=0,"NO",('Activity data'!K10*EF!$H23)*kgtoGg)</f>
        <v>0.3654</v>
      </c>
      <c r="L23" s="28">
        <f>IF(('Activity data'!L10*EF!$H23)*kgtoGg=0,"NO",('Activity data'!L10*EF!$H23)*kgtoGg)</f>
        <v>0.3654</v>
      </c>
      <c r="M23" s="28">
        <f>IF(('Activity data'!M10*EF!$H23)*kgtoGg=0,"NO",('Activity data'!M10*EF!$H23)*kgtoGg)</f>
        <v>0.3654</v>
      </c>
      <c r="N23" s="28">
        <f>IF(('Activity data'!N10*EF!$H23)*kgtoGg=0,"NO",('Activity data'!N10*EF!$H23)*kgtoGg)</f>
        <v>0.3654</v>
      </c>
      <c r="O23" s="28">
        <f>IF(('Activity data'!O10*EF!$H23)*kgtoGg=0,"NO",('Activity data'!O10*EF!$H23)*kgtoGg)</f>
        <v>0.3654</v>
      </c>
      <c r="P23" s="28">
        <f>IF(('Activity data'!P10*EF!$H23)*kgtoGg=0,"NO",('Activity data'!P10*EF!$H23)*kgtoGg)</f>
        <v>0.3654</v>
      </c>
      <c r="Q23" s="28">
        <f>IF(('Activity data'!Q10*EF!$H23)*kgtoGg=0,"NO",('Activity data'!Q10*EF!$H23)*kgtoGg)</f>
        <v>0.3654</v>
      </c>
      <c r="R23" s="28">
        <f>IF(('Activity data'!R10*EF!$H23)*kgtoGg=0,"NO",('Activity data'!R10*EF!$H23)*kgtoGg)</f>
        <v>0.3654</v>
      </c>
      <c r="S23" s="28">
        <f>IF(('Activity data'!S10*EF!$H23)*kgtoGg=0,"NO",('Activity data'!S10*EF!$H23)*kgtoGg)</f>
        <v>0.3654</v>
      </c>
      <c r="T23" s="28">
        <f>IF(('Activity data'!T10*EF!$H23)*kgtoGg=0,"NO",('Activity data'!T10*EF!$H23)*kgtoGg)</f>
        <v>0.3654</v>
      </c>
      <c r="U23" s="28">
        <f>IF(('Activity data'!U10*EF!$H23)*kgtoGg=0,"NO",('Activity data'!U10*EF!$H23)*kgtoGg)</f>
        <v>0.3654</v>
      </c>
      <c r="V23" s="28">
        <f>IF(('Activity data'!V10*EF!$H23)*kgtoGg=0,"NO",('Activity data'!V10*EF!$H23)*kgtoGg)</f>
        <v>0.3654</v>
      </c>
      <c r="W23" s="28">
        <f>IF(('Activity data'!W10*EF!$H23)*kgtoGg=0,"NO",('Activity data'!W10*EF!$H23)*kgtoGg)</f>
        <v>0.3654</v>
      </c>
      <c r="X23" s="28">
        <f>IF(('Activity data'!X10*EF!$H23)*kgtoGg=0,"NO",('Activity data'!X10*EF!$H23)*kgtoGg)</f>
        <v>0.3654</v>
      </c>
      <c r="Y23" s="28">
        <f>IF(('Activity data'!Y10*EF!$H23)*kgtoGg=0,"NO",('Activity data'!Y10*EF!$H23)*kgtoGg)</f>
        <v>0.3654</v>
      </c>
      <c r="Z23" s="28">
        <f>IF(('Activity data'!Z10*EF!$H23)*kgtoGg=0,"NO",('Activity data'!Z10*EF!$H23)*kgtoGg)</f>
        <v>0.34029854249999997</v>
      </c>
      <c r="AA23" s="28">
        <f>IF(('Activity data'!AA10*EF!$H23)*kgtoGg=0,"NO",('Activity data'!AA10*EF!$H23)*kgtoGg)</f>
        <v>0.34871289249999998</v>
      </c>
      <c r="AB23" s="28">
        <f>IF(('Activity data'!AB10*EF!$H23)*kgtoGg=0,"NO",('Activity data'!AB10*EF!$H23)*kgtoGg)</f>
        <v>0.34784542999999996</v>
      </c>
      <c r="AC23" s="28">
        <f>IF(('Activity data'!AC10*EF!$H23)*kgtoGg=0,"NO",('Activity data'!AC10*EF!$H23)*kgtoGg)</f>
        <v>0.40176614500000002</v>
      </c>
      <c r="AD23" s="28">
        <f>IF(('Activity data'!AD10*EF!$H23)*kgtoGg=0,"NO",('Activity data'!AD10*EF!$H23)*kgtoGg)</f>
        <v>0.47102314697854997</v>
      </c>
      <c r="AE23" s="28">
        <f>IF(('Activity data'!AE10*EF!$H23)*kgtoGg=0,"NO",('Activity data'!AE10*EF!$H23)*kgtoGg)</f>
        <v>0.48949755557745611</v>
      </c>
      <c r="AF23" s="28">
        <f>IF(('Activity data'!AF10*EF!$H23)*kgtoGg=0,"NO",('Activity data'!AF10*EF!$H23)*kgtoGg)</f>
        <v>0.50470574146190339</v>
      </c>
      <c r="AG23" s="28">
        <f>IF(('Activity data'!AG10*EF!$H23)*kgtoGg=0,"NO",('Activity data'!AG10*EF!$H23)*kgtoGg)</f>
        <v>0.51737752574105089</v>
      </c>
      <c r="AH23" s="28">
        <f>IF(('Activity data'!AH10*EF!$H23)*kgtoGg=0,"NO",('Activity data'!AH10*EF!$H23)*kgtoGg)</f>
        <v>0.52723130306575106</v>
      </c>
      <c r="AI23" s="28">
        <f>IF(('Activity data'!AI10*EF!$H23)*kgtoGg=0,"NO",('Activity data'!AI10*EF!$H23)*kgtoGg)</f>
        <v>0.54098940137333862</v>
      </c>
      <c r="AJ23" s="28">
        <f>IF(('Activity data'!AJ10*EF!$H23)*kgtoGg=0,"NO",('Activity data'!AJ10*EF!$H23)*kgtoGg)</f>
        <v>0.55409914466219945</v>
      </c>
      <c r="AK23" s="28">
        <f>IF(('Activity data'!AK10*EF!$H23)*kgtoGg=0,"NO",('Activity data'!AK10*EF!$H23)*kgtoGg)</f>
        <v>0.56706202166590858</v>
      </c>
      <c r="AL23" s="28">
        <f>IF(('Activity data'!AL10*EF!$H23)*kgtoGg=0,"NO",('Activity data'!AL10*EF!$H23)*kgtoGg)</f>
        <v>0.51689443017476266</v>
      </c>
      <c r="AM23" s="28">
        <f>IF(('Activity data'!AM10*EF!$H23)*kgtoGg=0,"NO",('Activity data'!AM10*EF!$H23)*kgtoGg)</f>
        <v>0.53562896755380351</v>
      </c>
      <c r="AN23" s="28">
        <f>IF(('Activity data'!AN10*EF!$H23)*kgtoGg=0,"NO",('Activity data'!AN10*EF!$H23)*kgtoGg)</f>
        <v>0.55378151781702101</v>
      </c>
      <c r="AO23" s="28">
        <f>IF(('Activity data'!AO10*EF!$H23)*kgtoGg=0,"NO",('Activity data'!AO10*EF!$H23)*kgtoGg)</f>
        <v>0.57247623001792791</v>
      </c>
      <c r="AP23" s="28">
        <f>IF(('Activity data'!AP10*EF!$H23)*kgtoGg=0,"NO",('Activity data'!AP10*EF!$H23)*kgtoGg)</f>
        <v>0.5925633461898151</v>
      </c>
      <c r="AQ23" s="28">
        <f>IF(('Activity data'!AQ10*EF!$H23)*kgtoGg=0,"NO",('Activity data'!AQ10*EF!$H23)*kgtoGg)</f>
        <v>0.61468024638127272</v>
      </c>
      <c r="AR23" s="28">
        <f>IF(('Activity data'!AR10*EF!$H23)*kgtoGg=0,"NO",('Activity data'!AR10*EF!$H23)*kgtoGg)</f>
        <v>0.63775073976222751</v>
      </c>
      <c r="AS23" s="28">
        <f>IF(('Activity data'!AS10*EF!$H23)*kgtoGg=0,"NO",('Activity data'!AS10*EF!$H23)*kgtoGg)</f>
        <v>0.66233767065543259</v>
      </c>
      <c r="AT23" s="28">
        <f>IF(('Activity data'!AT10*EF!$H23)*kgtoGg=0,"NO",('Activity data'!AT10*EF!$H23)*kgtoGg)</f>
        <v>0.68861656539122451</v>
      </c>
      <c r="AU23" s="28">
        <f>IF(('Activity data'!AU10*EF!$H23)*kgtoGg=0,"NO",('Activity data'!AU10*EF!$H23)*kgtoGg)</f>
        <v>0.71794915307659379</v>
      </c>
      <c r="AV23" s="28">
        <f>IF(('Activity data'!AV10*EF!$H23)*kgtoGg=0,"NO",('Activity data'!AV10*EF!$H23)*kgtoGg)</f>
        <v>0.74745443475241513</v>
      </c>
      <c r="AW23" s="28">
        <f>IF(('Activity data'!AW10*EF!$H23)*kgtoGg=0,"NO",('Activity data'!AW10*EF!$H23)*kgtoGg)</f>
        <v>0.78353553565744793</v>
      </c>
      <c r="AX23" s="28">
        <f>IF(('Activity data'!AX10*EF!$H23)*kgtoGg=0,"NO",('Activity data'!AX10*EF!$H23)*kgtoGg)</f>
        <v>0.82122575613901105</v>
      </c>
      <c r="AY23" s="28">
        <f>IF(('Activity data'!AY10*EF!$H23)*kgtoGg=0,"NO",('Activity data'!AY10*EF!$H23)*kgtoGg)</f>
        <v>0.860424717775646</v>
      </c>
      <c r="AZ23" s="28">
        <f>IF(('Activity data'!AZ10*EF!$H23)*kgtoGg=0,"NO",('Activity data'!AZ10*EF!$H23)*kgtoGg)</f>
        <v>0.90101718600353142</v>
      </c>
      <c r="BA23" s="28">
        <f>IF(('Activity data'!BA10*EF!$H23)*kgtoGg=0,"NO",('Activity data'!BA10*EF!$H23)*kgtoGg)</f>
        <v>0.93984932498467866</v>
      </c>
      <c r="BB23" s="28">
        <f>IF(('Activity data'!BB10*EF!$H23)*kgtoGg=0,"NO",('Activity data'!BB10*EF!$H23)*kgtoGg)</f>
        <v>0.98059748691014459</v>
      </c>
      <c r="BC23" s="28">
        <f>IF(('Activity data'!BC10*EF!$H23)*kgtoGg=0,"NO",('Activity data'!BC10*EF!$H23)*kgtoGg)</f>
        <v>1.0242307164306579</v>
      </c>
      <c r="BD23" s="28">
        <f>IF(('Activity data'!BD10*EF!$H23)*kgtoGg=0,"NO",('Activity data'!BD10*EF!$H23)*kgtoGg)</f>
        <v>1.0701629903338636</v>
      </c>
      <c r="BE23" s="28">
        <f>IF(('Activity data'!BE10*EF!$H23)*kgtoGg=0,"NO",('Activity data'!BE10*EF!$H23)*kgtoGg)</f>
        <v>1.1160043435178597</v>
      </c>
      <c r="BF23" s="28">
        <f>IF(('Activity data'!BF10*EF!$H23)*kgtoGg=0,"NO",('Activity data'!BF10*EF!$H23)*kgtoGg)</f>
        <v>1.163084557041195</v>
      </c>
      <c r="BG23" s="28">
        <f>IF(('Activity data'!BG10*EF!$H23)*kgtoGg=0,"NO",('Activity data'!BG10*EF!$H23)*kgtoGg)</f>
        <v>1.2107352158500295</v>
      </c>
      <c r="BH23" s="28">
        <f>IF(('Activity data'!BH10*EF!$H23)*kgtoGg=0,"NO",('Activity data'!BH10*EF!$H23)*kgtoGg)</f>
        <v>1.2608956931712658</v>
      </c>
      <c r="BI23" s="28">
        <f>IF(('Activity data'!BI10*EF!$H23)*kgtoGg=0,"NO",('Activity data'!BI10*EF!$H23)*kgtoGg)</f>
        <v>1.3140857279943075</v>
      </c>
      <c r="BJ23" s="28">
        <f>IF(('Activity data'!BJ10*EF!$H23)*kgtoGg=0,"NO",('Activity data'!BJ10*EF!$H23)*kgtoGg)</f>
        <v>1.3701832955311604</v>
      </c>
      <c r="BK23" s="28">
        <f>IF(('Activity data'!BK10*EF!$H23)*kgtoGg=0,"NO",('Activity data'!BK10*EF!$H23)*kgtoGg)</f>
        <v>1.4302541538625793</v>
      </c>
      <c r="BL23" s="28">
        <f>IF(('Activity data'!BL10*EF!$H23)*kgtoGg=0,"NO",('Activity data'!BL10*EF!$H23)*kgtoGg)</f>
        <v>1.4938176764422528</v>
      </c>
      <c r="BM23" s="28">
        <f>IF(('Activity data'!BM10*EF!$H23)*kgtoGg=0,"NO",('Activity data'!BM10*EF!$H23)*kgtoGg)</f>
        <v>1.560501977199001</v>
      </c>
      <c r="BN23" s="28">
        <f>IF(('Activity data'!BN10*EF!$H23)*kgtoGg=0,"NO",('Activity data'!BN10*EF!$H23)*kgtoGg)</f>
        <v>1.6277639348004396</v>
      </c>
      <c r="BO23" s="28">
        <f>IF(('Activity data'!BO10*EF!$H23)*kgtoGg=0,"NO",('Activity data'!BO10*EF!$H23)*kgtoGg)</f>
        <v>1.6984458913830751</v>
      </c>
      <c r="BP23" s="28">
        <f>IF(('Activity data'!BP10*EF!$H23)*kgtoGg=0,"NO",('Activity data'!BP10*EF!$H23)*kgtoGg)</f>
        <v>1.7732754863852636</v>
      </c>
    </row>
    <row r="24" spans="1:68" x14ac:dyDescent="0.25">
      <c r="A24" t="str">
        <f t="shared" si="1"/>
        <v>3A Livestock</v>
      </c>
      <c r="B24" t="str">
        <f t="shared" si="8"/>
        <v>3A2 Manure management (CH4)</v>
      </c>
      <c r="C24" t="str">
        <f>EF!C24</f>
        <v>3A1c Sheep</v>
      </c>
      <c r="D24" t="str">
        <f>EF!D24</f>
        <v>Commercial</v>
      </c>
      <c r="E24" t="str">
        <f t="shared" si="9"/>
        <v>Manure management Emissions</v>
      </c>
      <c r="F24" t="str">
        <f t="shared" si="6"/>
        <v>CH4</v>
      </c>
      <c r="G24" t="str">
        <f t="shared" si="7"/>
        <v>Gg CH4</v>
      </c>
      <c r="H24" s="28">
        <f>IF(('Activity data'!H11*EF!$H24)*kgtoGg=0,"NO",('Activity data'!H11*EF!$H24)*kgtoGg)</f>
        <v>5.683257382813009E-2</v>
      </c>
      <c r="I24" s="28">
        <f>IF(('Activity data'!I11*EF!$H24)*kgtoGg=0,"NO",('Activity data'!I11*EF!$H24)*kgtoGg)</f>
        <v>5.427710801805239E-2</v>
      </c>
      <c r="J24" s="28">
        <f>IF(('Activity data'!J11*EF!$H24)*kgtoGg=0,"NO",('Activity data'!J11*EF!$H24)*kgtoGg)</f>
        <v>5.2034440322709721E-2</v>
      </c>
      <c r="K24" s="28">
        <f>IF(('Activity data'!K11*EF!$H24)*kgtoGg=0,"NO",('Activity data'!K11*EF!$H24)*kgtoGg)</f>
        <v>4.8663803668171031E-2</v>
      </c>
      <c r="L24" s="28">
        <f>IF(('Activity data'!L11*EF!$H24)*kgtoGg=0,"NO",('Activity data'!L11*EF!$H24)*kgtoGg)</f>
        <v>4.9006933721304616E-2</v>
      </c>
      <c r="M24" s="28">
        <f>IF(('Activity data'!M11*EF!$H24)*kgtoGg=0,"NO",('Activity data'!M11*EF!$H24)*kgtoGg)</f>
        <v>4.8305507645838179E-2</v>
      </c>
      <c r="N24" s="28">
        <f>IF(('Activity data'!N11*EF!$H24)*kgtoGg=0,"NO",('Activity data'!N11*EF!$H24)*kgtoGg)</f>
        <v>4.846664606858047E-2</v>
      </c>
      <c r="O24" s="28">
        <f>IF(('Activity data'!O11*EF!$H24)*kgtoGg=0,"NO",('Activity data'!O11*EF!$H24)*kgtoGg)</f>
        <v>4.7412611209230918E-2</v>
      </c>
      <c r="P24" s="28">
        <f>IF(('Activity data'!P11*EF!$H24)*kgtoGg=0,"NO",('Activity data'!P11*EF!$H24)*kgtoGg)</f>
        <v>4.7543417693574654E-2</v>
      </c>
      <c r="Q24" s="28">
        <f>IF(('Activity data'!Q11*EF!$H24)*kgtoGg=0,"NO",('Activity data'!Q11*EF!$H24)*kgtoGg)</f>
        <v>4.637563806523054E-2</v>
      </c>
      <c r="R24" s="28">
        <f>IF(('Activity data'!R11*EF!$H24)*kgtoGg=0,"NO",('Activity data'!R11*EF!$H24)*kgtoGg)</f>
        <v>4.4713068691760109E-2</v>
      </c>
      <c r="S24" s="28">
        <f>IF(('Activity data'!S11*EF!$H24)*kgtoGg=0,"NO",('Activity data'!S11*EF!$H24)*kgtoGg)</f>
        <v>4.3598369955613454E-2</v>
      </c>
      <c r="T24" s="28">
        <f>IF(('Activity data'!T11*EF!$H24)*kgtoGg=0,"NO",('Activity data'!T11*EF!$H24)*kgtoGg)</f>
        <v>4.2870403434048299E-2</v>
      </c>
      <c r="U24" s="28">
        <f>IF(('Activity data'!U11*EF!$H24)*kgtoGg=0,"NO",('Activity data'!U11*EF!$H24)*kgtoGg)</f>
        <v>4.3020167379891124E-2</v>
      </c>
      <c r="V24" s="28">
        <f>IF(('Activity data'!V11*EF!$H24)*kgtoGg=0,"NO",('Activity data'!V11*EF!$H24)*kgtoGg)</f>
        <v>4.2254285935327783E-2</v>
      </c>
      <c r="W24" s="28">
        <f>IF(('Activity data'!W11*EF!$H24)*kgtoGg=0,"NO",('Activity data'!W11*EF!$H24)*kgtoGg)</f>
        <v>4.2153811389382595E-2</v>
      </c>
      <c r="X24" s="28">
        <f>IF(('Activity data'!X11*EF!$H24)*kgtoGg=0,"NO",('Activity data'!X11*EF!$H24)*kgtoGg)</f>
        <v>4.1602149259758997E-2</v>
      </c>
      <c r="Y24" s="28">
        <f>IF(('Activity data'!Y11*EF!$H24)*kgtoGg=0,"NO",('Activity data'!Y11*EF!$H24)*kgtoGg)</f>
        <v>4.1562338590610905E-2</v>
      </c>
      <c r="Z24" s="28">
        <f>IF(('Activity data'!Z11*EF!$H24)*kgtoGg=0,"NO",('Activity data'!Z11*EF!$H24)*kgtoGg)</f>
        <v>4.1696936567254456E-2</v>
      </c>
      <c r="AA24" s="28">
        <f>IF(('Activity data'!AA11*EF!$H24)*kgtoGg=0,"NO",('Activity data'!AA11*EF!$H24)*kgtoGg)</f>
        <v>4.1549068367561531E-2</v>
      </c>
      <c r="AB24" s="28">
        <f>IF(('Activity data'!AB11*EF!$H24)*kgtoGg=0,"NO",('Activity data'!AB11*EF!$H24)*kgtoGg)</f>
        <v>4.0745272000000006E-2</v>
      </c>
      <c r="AC24" s="28">
        <f>IF(('Activity data'!AC11*EF!$H24)*kgtoGg=0,"NO",('Activity data'!AC11*EF!$H24)*kgtoGg)</f>
        <v>4.042678664681524E-2</v>
      </c>
      <c r="AD24" s="28">
        <f>IF(('Activity data'!AD11*EF!$H24)*kgtoGg=0,"NO",('Activity data'!AD11*EF!$H24)*kgtoGg)</f>
        <v>3.6047757895254801E-2</v>
      </c>
      <c r="AE24" s="28">
        <f>IF(('Activity data'!AE11*EF!$H24)*kgtoGg=0,"NO",('Activity data'!AE11*EF!$H24)*kgtoGg)</f>
        <v>3.6067291583245516E-2</v>
      </c>
      <c r="AF24" s="28">
        <f>IF(('Activity data'!AF11*EF!$H24)*kgtoGg=0,"NO",('Activity data'!AF11*EF!$H24)*kgtoGg)</f>
        <v>3.6111722174836193E-2</v>
      </c>
      <c r="AG24" s="28">
        <f>IF(('Activity data'!AG11*EF!$H24)*kgtoGg=0,"NO",('Activity data'!AG11*EF!$H24)*kgtoGg)</f>
        <v>3.6179763603932498E-2</v>
      </c>
      <c r="AH24" s="28">
        <f>IF(('Activity data'!AH11*EF!$H24)*kgtoGg=0,"NO",('Activity data'!AH11*EF!$H24)*kgtoGg)</f>
        <v>3.6270155431398748E-2</v>
      </c>
      <c r="AI24" s="28">
        <f>IF(('Activity data'!AI11*EF!$H24)*kgtoGg=0,"NO",('Activity data'!AI11*EF!$H24)*kgtoGg)</f>
        <v>3.6383863460827365E-2</v>
      </c>
      <c r="AJ24" s="28">
        <f>IF(('Activity data'!AJ11*EF!$H24)*kgtoGg=0,"NO",('Activity data'!AJ11*EF!$H24)*kgtoGg)</f>
        <v>3.6509893421042272E-2</v>
      </c>
      <c r="AK24" s="28">
        <f>IF(('Activity data'!AK11*EF!$H24)*kgtoGg=0,"NO",('Activity data'!AK11*EF!$H24)*kgtoGg)</f>
        <v>3.6648580972783479E-2</v>
      </c>
      <c r="AL24" s="28">
        <f>IF(('Activity data'!AL11*EF!$H24)*kgtoGg=0,"NO",('Activity data'!AL11*EF!$H24)*kgtoGg)</f>
        <v>3.6782285350703527E-2</v>
      </c>
      <c r="AM24" s="28">
        <f>IF(('Activity data'!AM11*EF!$H24)*kgtoGg=0,"NO",('Activity data'!AM11*EF!$H24)*kgtoGg)</f>
        <v>3.6835288480249494E-2</v>
      </c>
      <c r="AN24" s="28">
        <f>IF(('Activity data'!AN11*EF!$H24)*kgtoGg=0,"NO",('Activity data'!AN11*EF!$H24)*kgtoGg)</f>
        <v>3.6897193823225857E-2</v>
      </c>
      <c r="AO24" s="28">
        <f>IF(('Activity data'!AO11*EF!$H24)*kgtoGg=0,"NO",('Activity data'!AO11*EF!$H24)*kgtoGg)</f>
        <v>3.6967751087271364E-2</v>
      </c>
      <c r="AP24" s="28">
        <f>IF(('Activity data'!AP11*EF!$H24)*kgtoGg=0,"NO",('Activity data'!AP11*EF!$H24)*kgtoGg)</f>
        <v>3.7046695218734382E-2</v>
      </c>
      <c r="AQ24" s="28">
        <f>IF(('Activity data'!AQ11*EF!$H24)*kgtoGg=0,"NO",('Activity data'!AQ11*EF!$H24)*kgtoGg)</f>
        <v>3.7133756014855676E-2</v>
      </c>
      <c r="AR24" s="28">
        <f>IF(('Activity data'!AR11*EF!$H24)*kgtoGg=0,"NO",('Activity data'!AR11*EF!$H24)*kgtoGg)</f>
        <v>3.7187220441126746E-2</v>
      </c>
      <c r="AS24" s="28">
        <f>IF(('Activity data'!AS11*EF!$H24)*kgtoGg=0,"NO",('Activity data'!AS11*EF!$H24)*kgtoGg)</f>
        <v>3.7247484931444599E-2</v>
      </c>
      <c r="AT24" s="28">
        <f>IF(('Activity data'!AT11*EF!$H24)*kgtoGg=0,"NO",('Activity data'!AT11*EF!$H24)*kgtoGg)</f>
        <v>3.7314265310435933E-2</v>
      </c>
      <c r="AU24" s="28">
        <f>IF(('Activity data'!AU11*EF!$H24)*kgtoGg=0,"NO",('Activity data'!AU11*EF!$H24)*kgtoGg)</f>
        <v>3.7387605367199143E-2</v>
      </c>
      <c r="AV24" s="28">
        <f>IF(('Activity data'!AV11*EF!$H24)*kgtoGg=0,"NO",('Activity data'!AV11*EF!$H24)*kgtoGg)</f>
        <v>3.7466516494154237E-2</v>
      </c>
      <c r="AW24" s="28">
        <f>IF(('Activity data'!AW11*EF!$H24)*kgtoGg=0,"NO",('Activity data'!AW11*EF!$H24)*kgtoGg)</f>
        <v>3.7518726000531182E-2</v>
      </c>
      <c r="AX24" s="28">
        <f>IF(('Activity data'!AX11*EF!$H24)*kgtoGg=0,"NO",('Activity data'!AX11*EF!$H24)*kgtoGg)</f>
        <v>3.7576044392654259E-2</v>
      </c>
      <c r="AY24" s="28">
        <f>IF(('Activity data'!AY11*EF!$H24)*kgtoGg=0,"NO",('Activity data'!AY11*EF!$H24)*kgtoGg)</f>
        <v>3.7638235005335301E-2</v>
      </c>
      <c r="AZ24" s="28">
        <f>IF(('Activity data'!AZ11*EF!$H24)*kgtoGg=0,"NO",('Activity data'!AZ11*EF!$H24)*kgtoGg)</f>
        <v>3.7705076942784459E-2</v>
      </c>
      <c r="BA24" s="28">
        <f>IF(('Activity data'!BA11*EF!$H24)*kgtoGg=0,"NO",('Activity data'!BA11*EF!$H24)*kgtoGg)</f>
        <v>3.7775648773659146E-2</v>
      </c>
      <c r="BB24" s="28">
        <f>IF(('Activity data'!BB11*EF!$H24)*kgtoGg=0,"NO",('Activity data'!BB11*EF!$H24)*kgtoGg)</f>
        <v>3.7819403818884594E-2</v>
      </c>
      <c r="BC24" s="28">
        <f>IF(('Activity data'!BC11*EF!$H24)*kgtoGg=0,"NO",('Activity data'!BC11*EF!$H24)*kgtoGg)</f>
        <v>3.7867435672678473E-2</v>
      </c>
      <c r="BD24" s="28">
        <f>IF(('Activity data'!BD11*EF!$H24)*kgtoGg=0,"NO",('Activity data'!BD11*EF!$H24)*kgtoGg)</f>
        <v>3.7919454168879069E-2</v>
      </c>
      <c r="BE24" s="28">
        <f>IF(('Activity data'!BE11*EF!$H24)*kgtoGg=0,"NO",('Activity data'!BE11*EF!$H24)*kgtoGg)</f>
        <v>3.7974774228950153E-2</v>
      </c>
      <c r="BF24" s="28">
        <f>IF(('Activity data'!BF11*EF!$H24)*kgtoGg=0,"NO",('Activity data'!BF11*EF!$H24)*kgtoGg)</f>
        <v>3.8033580401301087E-2</v>
      </c>
      <c r="BG24" s="28">
        <f>IF(('Activity data'!BG11*EF!$H24)*kgtoGg=0,"NO",('Activity data'!BG11*EF!$H24)*kgtoGg)</f>
        <v>3.8066830178546902E-2</v>
      </c>
      <c r="BH24" s="28">
        <f>IF(('Activity data'!BH11*EF!$H24)*kgtoGg=0,"NO",('Activity data'!BH11*EF!$H24)*kgtoGg)</f>
        <v>3.810346545394442E-2</v>
      </c>
      <c r="BI24" s="28">
        <f>IF(('Activity data'!BI11*EF!$H24)*kgtoGg=0,"NO",('Activity data'!BI11*EF!$H24)*kgtoGg)</f>
        <v>3.8143489358000611E-2</v>
      </c>
      <c r="BJ24" s="28">
        <f>IF(('Activity data'!BJ11*EF!$H24)*kgtoGg=0,"NO",('Activity data'!BJ11*EF!$H24)*kgtoGg)</f>
        <v>3.8186768239796914E-2</v>
      </c>
      <c r="BK24" s="28">
        <f>IF(('Activity data'!BK11*EF!$H24)*kgtoGg=0,"NO",('Activity data'!BK11*EF!$H24)*kgtoGg)</f>
        <v>3.823343479359697E-2</v>
      </c>
      <c r="BL24" s="28">
        <f>IF(('Activity data'!BL11*EF!$H24)*kgtoGg=0,"NO",('Activity data'!BL11*EF!$H24)*kgtoGg)</f>
        <v>3.8253882754902956E-2</v>
      </c>
      <c r="BM24" s="28">
        <f>IF(('Activity data'!BM11*EF!$H24)*kgtoGg=0,"NO",('Activity data'!BM11*EF!$H24)*kgtoGg)</f>
        <v>3.8277207945302871E-2</v>
      </c>
      <c r="BN24" s="28">
        <f>IF(('Activity data'!BN11*EF!$H24)*kgtoGg=0,"NO",('Activity data'!BN11*EF!$H24)*kgtoGg)</f>
        <v>3.8302779267217847E-2</v>
      </c>
      <c r="BO24" s="28">
        <f>IF(('Activity data'!BO11*EF!$H24)*kgtoGg=0,"NO",('Activity data'!BO11*EF!$H24)*kgtoGg)</f>
        <v>3.833112679260791E-2</v>
      </c>
      <c r="BP24" s="28">
        <f>IF(('Activity data'!BP11*EF!$H24)*kgtoGg=0,"NO",('Activity data'!BP11*EF!$H24)*kgtoGg)</f>
        <v>3.836232356694419E-2</v>
      </c>
    </row>
    <row r="25" spans="1:68" x14ac:dyDescent="0.25">
      <c r="A25" t="str">
        <f t="shared" si="1"/>
        <v>3A Livestock</v>
      </c>
      <c r="B25" t="str">
        <f t="shared" si="8"/>
        <v>3A2 Manure management (CH4)</v>
      </c>
      <c r="C25" t="str">
        <f>EF!C25</f>
        <v>3A1c Sheep</v>
      </c>
      <c r="D25" t="str">
        <f>EF!D25</f>
        <v>Subsistence</v>
      </c>
      <c r="E25" t="str">
        <f t="shared" si="9"/>
        <v>Manure management Emissions</v>
      </c>
      <c r="F25" t="str">
        <f t="shared" si="6"/>
        <v>CH4</v>
      </c>
      <c r="G25" t="str">
        <f t="shared" si="7"/>
        <v>Gg CH4</v>
      </c>
      <c r="H25" s="28">
        <f>IF(('Activity data'!H12*EF!$H25)*kgtoGg=0,"NO",('Activity data'!H12*EF!$H25)*kgtoGg)</f>
        <v>6.0620252936525133E-3</v>
      </c>
      <c r="I25" s="28">
        <f>IF(('Activity data'!I12*EF!$H25)*kgtoGg=0,"NO",('Activity data'!I12*EF!$H25)*kgtoGg)</f>
        <v>5.7894474859923658E-3</v>
      </c>
      <c r="J25" s="28">
        <f>IF(('Activity data'!J12*EF!$H25)*kgtoGg=0,"NO",('Activity data'!J12*EF!$H25)*kgtoGg)</f>
        <v>5.550234172593288E-3</v>
      </c>
      <c r="K25" s="28">
        <f>IF(('Activity data'!K12*EF!$H25)*kgtoGg=0,"NO",('Activity data'!K12*EF!$H25)*kgtoGg)</f>
        <v>5.1907064707982266E-3</v>
      </c>
      <c r="L25" s="28">
        <f>IF(('Activity data'!L12*EF!$H25)*kgtoGg=0,"NO",('Activity data'!L12*EF!$H25)*kgtoGg)</f>
        <v>5.2273063099573412E-3</v>
      </c>
      <c r="M25" s="28">
        <f>IF(('Activity data'!M12*EF!$H25)*kgtoGg=0,"NO",('Activity data'!M12*EF!$H25)*kgtoGg)</f>
        <v>5.1524889591900904E-3</v>
      </c>
      <c r="N25" s="28">
        <f>IF(('Activity data'!N12*EF!$H25)*kgtoGg=0,"NO",('Activity data'!N12*EF!$H25)*kgtoGg)</f>
        <v>5.1696767289609452E-3</v>
      </c>
      <c r="O25" s="28">
        <f>IF(('Activity data'!O12*EF!$H25)*kgtoGg=0,"NO",('Activity data'!O12*EF!$H25)*kgtoGg)</f>
        <v>5.0572484937539399E-3</v>
      </c>
      <c r="P25" s="28">
        <f>IF(('Activity data'!P12*EF!$H25)*kgtoGg=0,"NO",('Activity data'!P12*EF!$H25)*kgtoGg)</f>
        <v>5.0712009186267681E-3</v>
      </c>
      <c r="Q25" s="28">
        <f>IF(('Activity data'!Q12*EF!$H25)*kgtoGg=0,"NO",('Activity data'!Q12*EF!$H25)*kgtoGg)</f>
        <v>4.9466401400521005E-3</v>
      </c>
      <c r="R25" s="28">
        <f>IF(('Activity data'!R12*EF!$H25)*kgtoGg=0,"NO",('Activity data'!R12*EF!$H25)*kgtoGg)</f>
        <v>4.7693027978281018E-3</v>
      </c>
      <c r="S25" s="28">
        <f>IF(('Activity data'!S12*EF!$H25)*kgtoGg=0,"NO",('Activity data'!S12*EF!$H25)*kgtoGg)</f>
        <v>4.6504038728250093E-3</v>
      </c>
      <c r="T25" s="28">
        <f>IF(('Activity data'!T12*EF!$H25)*kgtoGg=0,"NO",('Activity data'!T12*EF!$H25)*kgtoGg)</f>
        <v>4.5727555952719701E-3</v>
      </c>
      <c r="U25" s="28">
        <f>IF(('Activity data'!U12*EF!$H25)*kgtoGg=0,"NO",('Activity data'!U12*EF!$H25)*kgtoGg)</f>
        <v>4.588730110706059E-3</v>
      </c>
      <c r="V25" s="28">
        <f>IF(('Activity data'!V12*EF!$H25)*kgtoGg=0,"NO",('Activity data'!V12*EF!$H25)*kgtoGg)</f>
        <v>4.5070376520304645E-3</v>
      </c>
      <c r="W25" s="28">
        <f>IF(('Activity data'!W12*EF!$H25)*kgtoGg=0,"NO",('Activity data'!W12*EF!$H25)*kgtoGg)</f>
        <v>4.4963205720556969E-3</v>
      </c>
      <c r="X25" s="28">
        <f>IF(('Activity data'!X12*EF!$H25)*kgtoGg=0,"NO",('Activity data'!X12*EF!$H25)*kgtoGg)</f>
        <v>4.4374777367225341E-3</v>
      </c>
      <c r="Y25" s="28">
        <f>IF(('Activity data'!Y12*EF!$H25)*kgtoGg=0,"NO",('Activity data'!Y12*EF!$H25)*kgtoGg)</f>
        <v>4.4332313465438519E-3</v>
      </c>
      <c r="Z25" s="28">
        <f>IF(('Activity data'!Z12*EF!$H25)*kgtoGg=0,"NO",('Activity data'!Z12*EF!$H25)*kgtoGg)</f>
        <v>4.4475881895289192E-3</v>
      </c>
      <c r="AA25" s="28">
        <f>IF(('Activity data'!AA12*EF!$H25)*kgtoGg=0,"NO",('Activity data'!AA12*EF!$H25)*kgtoGg)</f>
        <v>4.4318158831509582E-3</v>
      </c>
      <c r="AB25" s="28">
        <f>IF(('Activity data'!AB12*EF!$H25)*kgtoGg=0,"NO",('Activity data'!AB12*EF!$H25)*kgtoGg)</f>
        <v>4.3460792433528102E-3</v>
      </c>
      <c r="AC25" s="28">
        <f>IF(('Activity data'!AC12*EF!$H25)*kgtoGg=0,"NO",('Activity data'!AC12*EF!$H25)*kgtoGg)</f>
        <v>4.3121081219233554E-3</v>
      </c>
      <c r="AD25" s="28">
        <f>IF(('Activity data'!AD12*EF!$H25)*kgtoGg=0,"NO",('Activity data'!AD12*EF!$H25)*kgtoGg)</f>
        <v>4.1168257742697067E-3</v>
      </c>
      <c r="AE25" s="28">
        <f>IF(('Activity data'!AE12*EF!$H25)*kgtoGg=0,"NO",('Activity data'!AE12*EF!$H25)*kgtoGg)</f>
        <v>4.1190566145461096E-3</v>
      </c>
      <c r="AF25" s="28">
        <f>IF(('Activity data'!AF12*EF!$H25)*kgtoGg=0,"NO",('Activity data'!AF12*EF!$H25)*kgtoGg)</f>
        <v>4.1241307998854037E-3</v>
      </c>
      <c r="AG25" s="28">
        <f>IF(('Activity data'!AG12*EF!$H25)*kgtoGg=0,"NO",('Activity data'!AG12*EF!$H25)*kgtoGg)</f>
        <v>4.1319014554095489E-3</v>
      </c>
      <c r="AH25" s="28">
        <f>IF(('Activity data'!AH12*EF!$H25)*kgtoGg=0,"NO",('Activity data'!AH12*EF!$H25)*kgtoGg)</f>
        <v>4.1422246329613326E-3</v>
      </c>
      <c r="AI25" s="28">
        <f>IF(('Activity data'!AI12*EF!$H25)*kgtoGg=0,"NO",('Activity data'!AI12*EF!$H25)*kgtoGg)</f>
        <v>4.1552106319145366E-3</v>
      </c>
      <c r="AJ25" s="28">
        <f>IF(('Activity data'!AJ12*EF!$H25)*kgtoGg=0,"NO",('Activity data'!AJ12*EF!$H25)*kgtoGg)</f>
        <v>4.1696038540963579E-3</v>
      </c>
      <c r="AK25" s="28">
        <f>IF(('Activity data'!AK12*EF!$H25)*kgtoGg=0,"NO",('Activity data'!AK12*EF!$H25)*kgtoGg)</f>
        <v>4.185442633563242E-3</v>
      </c>
      <c r="AL25" s="28">
        <f>IF(('Activity data'!AL12*EF!$H25)*kgtoGg=0,"NO",('Activity data'!AL12*EF!$H25)*kgtoGg)</f>
        <v>4.2007123108273141E-3</v>
      </c>
      <c r="AM25" s="28">
        <f>IF(('Activity data'!AM12*EF!$H25)*kgtoGg=0,"NO",('Activity data'!AM12*EF!$H25)*kgtoGg)</f>
        <v>4.2067655208623414E-3</v>
      </c>
      <c r="AN25" s="28">
        <f>IF(('Activity data'!AN12*EF!$H25)*kgtoGg=0,"NO",('Activity data'!AN12*EF!$H25)*kgtoGg)</f>
        <v>4.2138354061037669E-3</v>
      </c>
      <c r="AO25" s="28">
        <f>IF(('Activity data'!AO12*EF!$H25)*kgtoGg=0,"NO",('Activity data'!AO12*EF!$H25)*kgtoGg)</f>
        <v>4.2218933819709063E-3</v>
      </c>
      <c r="AP25" s="28">
        <f>IF(('Activity data'!AP12*EF!$H25)*kgtoGg=0,"NO",('Activity data'!AP12*EF!$H25)*kgtoGg)</f>
        <v>4.2309091780733631E-3</v>
      </c>
      <c r="AQ25" s="28">
        <f>IF(('Activity data'!AQ12*EF!$H25)*kgtoGg=0,"NO",('Activity data'!AQ12*EF!$H25)*kgtoGg)</f>
        <v>4.2408519359680985E-3</v>
      </c>
      <c r="AR25" s="28">
        <f>IF(('Activity data'!AR12*EF!$H25)*kgtoGg=0,"NO",('Activity data'!AR12*EF!$H25)*kgtoGg)</f>
        <v>4.2469578282879157E-3</v>
      </c>
      <c r="AS25" s="28">
        <f>IF(('Activity data'!AS12*EF!$H25)*kgtoGg=0,"NO",('Activity data'!AS12*EF!$H25)*kgtoGg)</f>
        <v>4.2538403203345688E-3</v>
      </c>
      <c r="AT25" s="28">
        <f>IF(('Activity data'!AT12*EF!$H25)*kgtoGg=0,"NO",('Activity data'!AT12*EF!$H25)*kgtoGg)</f>
        <v>4.2614669579258951E-3</v>
      </c>
      <c r="AU25" s="28">
        <f>IF(('Activity data'!AU12*EF!$H25)*kgtoGg=0,"NO",('Activity data'!AU12*EF!$H25)*kgtoGg)</f>
        <v>4.2698427419856572E-3</v>
      </c>
      <c r="AV25" s="28">
        <f>IF(('Activity data'!AV12*EF!$H25)*kgtoGg=0,"NO",('Activity data'!AV12*EF!$H25)*kgtoGg)</f>
        <v>4.2788547688159904E-3</v>
      </c>
      <c r="AW25" s="28">
        <f>IF(('Activity data'!AW12*EF!$H25)*kgtoGg=0,"NO",('Activity data'!AW12*EF!$H25)*kgtoGg)</f>
        <v>4.2848173433022892E-3</v>
      </c>
      <c r="AX25" s="28">
        <f>IF(('Activity data'!AX12*EF!$H25)*kgtoGg=0,"NO",('Activity data'!AX12*EF!$H25)*kgtoGg)</f>
        <v>4.2913633768924403E-3</v>
      </c>
      <c r="AY25" s="28">
        <f>IF(('Activity data'!AY12*EF!$H25)*kgtoGg=0,"NO",('Activity data'!AY12*EF!$H25)*kgtoGg)</f>
        <v>4.2984658412938848E-3</v>
      </c>
      <c r="AZ25" s="28">
        <f>IF(('Activity data'!AZ12*EF!$H25)*kgtoGg=0,"NO",('Activity data'!AZ12*EF!$H25)*kgtoGg)</f>
        <v>4.3060995091545153E-3</v>
      </c>
      <c r="BA25" s="28">
        <f>IF(('Activity data'!BA12*EF!$H25)*kgtoGg=0,"NO",('Activity data'!BA12*EF!$H25)*kgtoGg)</f>
        <v>4.3141591486229817E-3</v>
      </c>
      <c r="BB25" s="28">
        <f>IF(('Activity data'!BB12*EF!$H25)*kgtoGg=0,"NO",('Activity data'!BB12*EF!$H25)*kgtoGg)</f>
        <v>4.3191561833473575E-3</v>
      </c>
      <c r="BC25" s="28">
        <f>IF(('Activity data'!BC12*EF!$H25)*kgtoGg=0,"NO",('Activity data'!BC12*EF!$H25)*kgtoGg)</f>
        <v>4.3246416499957731E-3</v>
      </c>
      <c r="BD25" s="28">
        <f>IF(('Activity data'!BD12*EF!$H25)*kgtoGg=0,"NO",('Activity data'!BD12*EF!$H25)*kgtoGg)</f>
        <v>4.3305824102094761E-3</v>
      </c>
      <c r="BE25" s="28">
        <f>IF(('Activity data'!BE12*EF!$H25)*kgtoGg=0,"NO",('Activity data'!BE12*EF!$H25)*kgtoGg)</f>
        <v>4.3369002247541852E-3</v>
      </c>
      <c r="BF25" s="28">
        <f>IF(('Activity data'!BF12*EF!$H25)*kgtoGg=0,"NO",('Activity data'!BF12*EF!$H25)*kgtoGg)</f>
        <v>4.3436161699379047E-3</v>
      </c>
      <c r="BG25" s="28">
        <f>IF(('Activity data'!BG12*EF!$H25)*kgtoGg=0,"NO",('Activity data'!BG12*EF!$H25)*kgtoGg)</f>
        <v>4.3474134529853563E-3</v>
      </c>
      <c r="BH25" s="28">
        <f>IF(('Activity data'!BH12*EF!$H25)*kgtoGg=0,"NO",('Activity data'!BH12*EF!$H25)*kgtoGg)</f>
        <v>4.3515973760588026E-3</v>
      </c>
      <c r="BI25" s="28">
        <f>IF(('Activity data'!BI12*EF!$H25)*kgtoGg=0,"NO",('Activity data'!BI12*EF!$H25)*kgtoGg)</f>
        <v>4.3561682966770611E-3</v>
      </c>
      <c r="BJ25" s="28">
        <f>IF(('Activity data'!BJ12*EF!$H25)*kgtoGg=0,"NO",('Activity data'!BJ12*EF!$H25)*kgtoGg)</f>
        <v>4.3611109512681819E-3</v>
      </c>
      <c r="BK25" s="28">
        <f>IF(('Activity data'!BK12*EF!$H25)*kgtoGg=0,"NO",('Activity data'!BK12*EF!$H25)*kgtoGg)</f>
        <v>4.3664404941495642E-3</v>
      </c>
      <c r="BL25" s="28">
        <f>IF(('Activity data'!BL12*EF!$H25)*kgtoGg=0,"NO",('Activity data'!BL12*EF!$H25)*kgtoGg)</f>
        <v>4.3687757487964789E-3</v>
      </c>
      <c r="BM25" s="28">
        <f>IF(('Activity data'!BM12*EF!$H25)*kgtoGg=0,"NO",('Activity data'!BM12*EF!$H25)*kgtoGg)</f>
        <v>4.3714395967203107E-3</v>
      </c>
      <c r="BN25" s="28">
        <f>IF(('Activity data'!BN12*EF!$H25)*kgtoGg=0,"NO",('Activity data'!BN12*EF!$H25)*kgtoGg)</f>
        <v>4.3743599635694122E-3</v>
      </c>
      <c r="BO25" s="28">
        <f>IF(('Activity data'!BO12*EF!$H25)*kgtoGg=0,"NO",('Activity data'!BO12*EF!$H25)*kgtoGg)</f>
        <v>4.3775973860882191E-3</v>
      </c>
      <c r="BP25" s="28">
        <f>IF(('Activity data'!BP12*EF!$H25)*kgtoGg=0,"NO",('Activity data'!BP12*EF!$H25)*kgtoGg)</f>
        <v>4.381160206417707E-3</v>
      </c>
    </row>
    <row r="26" spans="1:68" x14ac:dyDescent="0.25">
      <c r="A26" t="str">
        <f t="shared" si="1"/>
        <v>3A Livestock</v>
      </c>
      <c r="B26" t="str">
        <f t="shared" si="8"/>
        <v>3A2 Manure management (CH4)</v>
      </c>
      <c r="C26" t="str">
        <f>EF!C26</f>
        <v>3A1d Goats</v>
      </c>
      <c r="D26" t="str">
        <f>EF!D26</f>
        <v>Commercial</v>
      </c>
      <c r="E26" t="str">
        <f t="shared" si="9"/>
        <v>Manure management Emissions</v>
      </c>
      <c r="F26" t="str">
        <f t="shared" si="6"/>
        <v>CH4</v>
      </c>
      <c r="G26" t="str">
        <f t="shared" si="7"/>
        <v>Gg CH4</v>
      </c>
      <c r="H26" s="28">
        <f>IF(('Activity data'!H13*EF!$H26)*kgtoGg=0,"NO",('Activity data'!H13*EF!$H26)*kgtoGg)</f>
        <v>2.1179239085185406E-2</v>
      </c>
      <c r="I26" s="28">
        <f>IF(('Activity data'!I13*EF!$H26)*kgtoGg=0,"NO",('Activity data'!I13*EF!$H26)*kgtoGg)</f>
        <v>1.872843312038926E-2</v>
      </c>
      <c r="J26" s="28">
        <f>IF(('Activity data'!J13*EF!$H26)*kgtoGg=0,"NO",('Activity data'!J13*EF!$H26)*kgtoGg)</f>
        <v>1.7445768316383788E-2</v>
      </c>
      <c r="K26" s="28">
        <f>IF(('Activity data'!K13*EF!$H26)*kgtoGg=0,"NO",('Activity data'!K13*EF!$H26)*kgtoGg)</f>
        <v>1.6483769713379698E-2</v>
      </c>
      <c r="L26" s="28">
        <f>IF(('Activity data'!L13*EF!$H26)*kgtoGg=0,"NO",('Activity data'!L13*EF!$H26)*kgtoGg)</f>
        <v>1.7842783612861672E-2</v>
      </c>
      <c r="M26" s="28">
        <f>IF(('Activity data'!M13*EF!$H26)*kgtoGg=0,"NO",('Activity data'!M13*EF!$H26)*kgtoGg)</f>
        <v>1.8087100718386526E-2</v>
      </c>
      <c r="N26" s="28">
        <f>IF(('Activity data'!N13*EF!$H26)*kgtoGg=0,"NO",('Activity data'!N13*EF!$H26)*kgtoGg)</f>
        <v>1.8369592371649628E-2</v>
      </c>
      <c r="O26" s="28">
        <f>IF(('Activity data'!O13*EF!$H26)*kgtoGg=0,"NO",('Activity data'!O13*EF!$H26)*kgtoGg)</f>
        <v>1.8277973457077813E-2</v>
      </c>
      <c r="P26" s="28">
        <f>IF(('Activity data'!P13*EF!$H26)*kgtoGg=0,"NO",('Activity data'!P13*EF!$H26)*kgtoGg)</f>
        <v>1.8018386532457662E-2</v>
      </c>
      <c r="Q26" s="28">
        <f>IF(('Activity data'!Q13*EF!$H26)*kgtoGg=0,"NO",('Activity data'!Q13*EF!$H26)*kgtoGg)</f>
        <v>1.775116469828986E-2</v>
      </c>
      <c r="R26" s="28">
        <f>IF(('Activity data'!R13*EF!$H26)*kgtoGg=0,"NO",('Activity data'!R13*EF!$H26)*kgtoGg)</f>
        <v>1.7980211984719403E-2</v>
      </c>
      <c r="S26" s="28">
        <f>IF(('Activity data'!S13*EF!$H26)*kgtoGg=0,"NO",('Activity data'!S13*EF!$H26)*kgtoGg)</f>
        <v>1.8529925472150318E-2</v>
      </c>
      <c r="T26" s="28">
        <f>IF(('Activity data'!T13*EF!$H26)*kgtoGg=0,"NO",('Activity data'!T13*EF!$H26)*kgtoGg)</f>
        <v>1.6918959557595842E-2</v>
      </c>
      <c r="U26" s="28">
        <f>IF(('Activity data'!U13*EF!$H26)*kgtoGg=0,"NO",('Activity data'!U13*EF!$H26)*kgtoGg)</f>
        <v>1.649140462292735E-2</v>
      </c>
      <c r="V26" s="28">
        <f>IF(('Activity data'!V13*EF!$H26)*kgtoGg=0,"NO",('Activity data'!V13*EF!$H26)*kgtoGg)</f>
        <v>1.6521944261117961E-2</v>
      </c>
      <c r="W26" s="28">
        <f>IF(('Activity data'!W13*EF!$H26)*kgtoGg=0,"NO",('Activity data'!W13*EF!$H26)*kgtoGg)</f>
        <v>1.6308166793783711E-2</v>
      </c>
      <c r="X26" s="28">
        <f>IF(('Activity data'!X13*EF!$H26)*kgtoGg=0,"NO",('Activity data'!X13*EF!$H26)*kgtoGg)</f>
        <v>1.6651737723428033E-2</v>
      </c>
      <c r="Y26" s="28">
        <f>IF(('Activity data'!Y13*EF!$H26)*kgtoGg=0,"NO",('Activity data'!Y13*EF!$H26)*kgtoGg)</f>
        <v>1.615546860283068E-2</v>
      </c>
      <c r="Z26" s="28">
        <f>IF(('Activity data'!Z13*EF!$H26)*kgtoGg=0,"NO",('Activity data'!Z13*EF!$H26)*kgtoGg)</f>
        <v>1.6140198783735384E-2</v>
      </c>
      <c r="AA26" s="28">
        <f>IF(('Activity data'!AA13*EF!$H26)*kgtoGg=0,"NO",('Activity data'!AA13*EF!$H26)*kgtoGg)</f>
        <v>1.5857707130472271E-2</v>
      </c>
      <c r="AB26" s="28">
        <f>IF(('Activity data'!AB13*EF!$H26)*kgtoGg=0,"NO",('Activity data'!AB13*EF!$H26)*kgtoGg)</f>
        <v>1.5666834391780984E-2</v>
      </c>
      <c r="AC26" s="28">
        <f>IF(('Activity data'!AC13*EF!$H26)*kgtoGg=0,"NO",('Activity data'!AC13*EF!$H26)*kgtoGg)</f>
        <v>1.5521771110375606E-2</v>
      </c>
      <c r="AD26" s="28">
        <f>IF(('Activity data'!AD13*EF!$H26)*kgtoGg=0,"NO",('Activity data'!AD13*EF!$H26)*kgtoGg)</f>
        <v>1.5784861965405357E-2</v>
      </c>
      <c r="AE26" s="28">
        <f>IF(('Activity data'!AE13*EF!$H26)*kgtoGg=0,"NO",('Activity data'!AE13*EF!$H26)*kgtoGg)</f>
        <v>1.5825950989911981E-2</v>
      </c>
      <c r="AF26" s="28">
        <f>IF(('Activity data'!AF13*EF!$H26)*kgtoGg=0,"NO",('Activity data'!AF13*EF!$H26)*kgtoGg)</f>
        <v>1.5881081237655047E-2</v>
      </c>
      <c r="AG26" s="28">
        <f>IF(('Activity data'!AG13*EF!$H26)*kgtoGg=0,"NO",('Activity data'!AG13*EF!$H26)*kgtoGg)</f>
        <v>1.5949607140069984E-2</v>
      </c>
      <c r="AH26" s="28">
        <f>IF(('Activity data'!AH13*EF!$H26)*kgtoGg=0,"NO",('Activity data'!AH13*EF!$H26)*kgtoGg)</f>
        <v>1.6030854949445769E-2</v>
      </c>
      <c r="AI26" s="28">
        <f>IF(('Activity data'!AI13*EF!$H26)*kgtoGg=0,"NO",('Activity data'!AI13*EF!$H26)*kgtoGg)</f>
        <v>1.6125640692349875E-2</v>
      </c>
      <c r="AJ26" s="28">
        <f>IF(('Activity data'!AJ13*EF!$H26)*kgtoGg=0,"NO",('Activity data'!AJ13*EF!$H26)*kgtoGg)</f>
        <v>1.6226573876941021E-2</v>
      </c>
      <c r="AK26" s="28">
        <f>IF(('Activity data'!AK13*EF!$H26)*kgtoGg=0,"NO",('Activity data'!AK13*EF!$H26)*kgtoGg)</f>
        <v>1.633403142431249E-2</v>
      </c>
      <c r="AL26" s="28">
        <f>IF(('Activity data'!AL13*EF!$H26)*kgtoGg=0,"NO",('Activity data'!AL13*EF!$H26)*kgtoGg)</f>
        <v>1.6436157845849966E-2</v>
      </c>
      <c r="AM26" s="28">
        <f>IF(('Activity data'!AM13*EF!$H26)*kgtoGg=0,"NO",('Activity data'!AM13*EF!$H26)*kgtoGg)</f>
        <v>1.6481875221550566E-2</v>
      </c>
      <c r="AN26" s="28">
        <f>IF(('Activity data'!AN13*EF!$H26)*kgtoGg=0,"NO",('Activity data'!AN13*EF!$H26)*kgtoGg)</f>
        <v>1.6532262077604745E-2</v>
      </c>
      <c r="AO26" s="28">
        <f>IF(('Activity data'!AO13*EF!$H26)*kgtoGg=0,"NO",('Activity data'!AO13*EF!$H26)*kgtoGg)</f>
        <v>1.6587220659703028E-2</v>
      </c>
      <c r="AP26" s="28">
        <f>IF(('Activity data'!AP13*EF!$H26)*kgtoGg=0,"NO",('Activity data'!AP13*EF!$H26)*kgtoGg)</f>
        <v>1.6646633377000838E-2</v>
      </c>
      <c r="AQ26" s="28">
        <f>IF(('Activity data'!AQ13*EF!$H26)*kgtoGg=0,"NO",('Activity data'!AQ13*EF!$H26)*kgtoGg)</f>
        <v>1.6710371116338621E-2</v>
      </c>
      <c r="AR26" s="28">
        <f>IF(('Activity data'!AR13*EF!$H26)*kgtoGg=0,"NO",('Activity data'!AR13*EF!$H26)*kgtoGg)</f>
        <v>1.675057215176164E-2</v>
      </c>
      <c r="AS26" s="28">
        <f>IF(('Activity data'!AS13*EF!$H26)*kgtoGg=0,"NO",('Activity data'!AS13*EF!$H26)*kgtoGg)</f>
        <v>1.6794427613169054E-2</v>
      </c>
      <c r="AT26" s="28">
        <f>IF(('Activity data'!AT13*EF!$H26)*kgtoGg=0,"NO",('Activity data'!AT13*EF!$H26)*kgtoGg)</f>
        <v>1.6841781580764003E-2</v>
      </c>
      <c r="AU26" s="28">
        <f>IF(('Activity data'!AU13*EF!$H26)*kgtoGg=0,"NO",('Activity data'!AU13*EF!$H26)*kgtoGg)</f>
        <v>1.6892692611987826E-2</v>
      </c>
      <c r="AV26" s="28">
        <f>IF(('Activity data'!AV13*EF!$H26)*kgtoGg=0,"NO",('Activity data'!AV13*EF!$H26)*kgtoGg)</f>
        <v>1.6946529857207324E-2</v>
      </c>
      <c r="AW26" s="28">
        <f>IF(('Activity data'!AW13*EF!$H26)*kgtoGg=0,"NO",('Activity data'!AW13*EF!$H26)*kgtoGg)</f>
        <v>1.6981959104252865E-2</v>
      </c>
      <c r="AX26" s="28">
        <f>IF(('Activity data'!AX13*EF!$H26)*kgtoGg=0,"NO",('Activity data'!AX13*EF!$H26)*kgtoGg)</f>
        <v>1.7020142764447146E-2</v>
      </c>
      <c r="AY26" s="28">
        <f>IF(('Activity data'!AY13*EF!$H26)*kgtoGg=0,"NO",('Activity data'!AY13*EF!$H26)*kgtoGg)</f>
        <v>1.7060942567108255E-2</v>
      </c>
      <c r="AZ26" s="28">
        <f>IF(('Activity data'!AZ13*EF!$H26)*kgtoGg=0,"NO",('Activity data'!AZ13*EF!$H26)*kgtoGg)</f>
        <v>1.7104229252283925E-2</v>
      </c>
      <c r="BA26" s="28">
        <f>IF(('Activity data'!BA13*EF!$H26)*kgtoGg=0,"NO",('Activity data'!BA13*EF!$H26)*kgtoGg)</f>
        <v>1.7149412402469508E-2</v>
      </c>
      <c r="BB26" s="28">
        <f>IF(('Activity data'!BB13*EF!$H26)*kgtoGg=0,"NO",('Activity data'!BB13*EF!$H26)*kgtoGg)</f>
        <v>1.7176489112714032E-2</v>
      </c>
      <c r="BC26" s="28">
        <f>IF(('Activity data'!BC13*EF!$H26)*kgtoGg=0,"NO",('Activity data'!BC13*EF!$H26)*kgtoGg)</f>
        <v>1.7205925016263102E-2</v>
      </c>
      <c r="BD26" s="28">
        <f>IF(('Activity data'!BD13*EF!$H26)*kgtoGg=0,"NO",('Activity data'!BD13*EF!$H26)*kgtoGg)</f>
        <v>1.7237539083609234E-2</v>
      </c>
      <c r="BE26" s="28">
        <f>IF(('Activity data'!BE13*EF!$H26)*kgtoGg=0,"NO",('Activity data'!BE13*EF!$H26)*kgtoGg)</f>
        <v>1.727089291808576E-2</v>
      </c>
      <c r="BF26" s="28">
        <f>IF(('Activity data'!BF13*EF!$H26)*kgtoGg=0,"NO",('Activity data'!BF13*EF!$H26)*kgtoGg)</f>
        <v>1.7306115825201498E-2</v>
      </c>
      <c r="BG26" s="28">
        <f>IF(('Activity data'!BG13*EF!$H26)*kgtoGg=0,"NO",('Activity data'!BG13*EF!$H26)*kgtoGg)</f>
        <v>1.7324354446608715E-2</v>
      </c>
      <c r="BH26" s="28">
        <f>IF(('Activity data'!BH13*EF!$H26)*kgtoGg=0,"NO",('Activity data'!BH13*EF!$H26)*kgtoGg)</f>
        <v>1.7344476399941178E-2</v>
      </c>
      <c r="BI26" s="28">
        <f>IF(('Activity data'!BI13*EF!$H26)*kgtoGg=0,"NO",('Activity data'!BI13*EF!$H26)*kgtoGg)</f>
        <v>1.7366488008788223E-2</v>
      </c>
      <c r="BJ26" s="28">
        <f>IF(('Activity data'!BJ13*EF!$H26)*kgtoGg=0,"NO",('Activity data'!BJ13*EF!$H26)*kgtoGg)</f>
        <v>1.7390306433112443E-2</v>
      </c>
      <c r="BK26" s="28">
        <f>IF(('Activity data'!BK13*EF!$H26)*kgtoGg=0,"NO",('Activity data'!BK13*EF!$H26)*kgtoGg)</f>
        <v>1.7416020503528307E-2</v>
      </c>
      <c r="BL26" s="28">
        <f>IF(('Activity data'!BL13*EF!$H26)*kgtoGg=0,"NO",('Activity data'!BL13*EF!$H26)*kgtoGg)</f>
        <v>1.7424568089105436E-2</v>
      </c>
      <c r="BM26" s="28">
        <f>IF(('Activity data'!BM13*EF!$H26)*kgtoGg=0,"NO",('Activity data'!BM13*EF!$H26)*kgtoGg)</f>
        <v>1.7434749267738366E-2</v>
      </c>
      <c r="BN26" s="28">
        <f>IF(('Activity data'!BN13*EF!$H26)*kgtoGg=0,"NO",('Activity data'!BN13*EF!$H26)*kgtoGg)</f>
        <v>1.7446160416512892E-2</v>
      </c>
      <c r="BO26" s="28">
        <f>IF(('Activity data'!BO13*EF!$H26)*kgtoGg=0,"NO",('Activity data'!BO13*EF!$H26)*kgtoGg)</f>
        <v>1.7459144145227434E-2</v>
      </c>
      <c r="BP26" s="28">
        <f>IF(('Activity data'!BP13*EF!$H26)*kgtoGg=0,"NO",('Activity data'!BP13*EF!$H26)*kgtoGg)</f>
        <v>1.747374805936653E-2</v>
      </c>
    </row>
    <row r="27" spans="1:68" x14ac:dyDescent="0.25">
      <c r="A27" t="str">
        <f t="shared" si="1"/>
        <v>3A Livestock</v>
      </c>
      <c r="B27" t="str">
        <f t="shared" si="8"/>
        <v>3A2 Manure management (CH4)</v>
      </c>
      <c r="C27" t="str">
        <f>EF!C27</f>
        <v>3A1d Goats</v>
      </c>
      <c r="D27" t="str">
        <f>EF!D27</f>
        <v>Subsistence</v>
      </c>
      <c r="E27" t="str">
        <f t="shared" si="9"/>
        <v>Manure management Emissions</v>
      </c>
      <c r="F27" t="str">
        <f t="shared" si="6"/>
        <v>CH4</v>
      </c>
      <c r="G27" t="str">
        <f t="shared" si="7"/>
        <v>Gg CH4</v>
      </c>
      <c r="H27" s="28">
        <f>IF(('Activity data'!H14*EF!$H27)*kgtoGg=0,"NO",('Activity data'!H14*EF!$H27)*kgtoGg)</f>
        <v>3.6294783257415232E-2</v>
      </c>
      <c r="I27" s="28">
        <f>IF(('Activity data'!I14*EF!$H27)*kgtoGg=0,"NO",('Activity data'!I14*EF!$H27)*kgtoGg)</f>
        <v>3.2094846189776344E-2</v>
      </c>
      <c r="J27" s="28">
        <f>IF(('Activity data'!J14*EF!$H27)*kgtoGg=0,"NO",('Activity data'!J14*EF!$H27)*kgtoGg)</f>
        <v>2.989674828521768E-2</v>
      </c>
      <c r="K27" s="28">
        <f>IF(('Activity data'!K14*EF!$H27)*kgtoGg=0,"NO",('Activity data'!K14*EF!$H27)*kgtoGg)</f>
        <v>2.8248174856798671E-2</v>
      </c>
      <c r="L27" s="28">
        <f>IF(('Activity data'!L14*EF!$H27)*kgtoGg=0,"NO",('Activity data'!L14*EF!$H27)*kgtoGg)</f>
        <v>3.0577111922342977E-2</v>
      </c>
      <c r="M27" s="28">
        <f>IF(('Activity data'!M14*EF!$H27)*kgtoGg=0,"NO",('Activity data'!M14*EF!$H27)*kgtoGg)</f>
        <v>3.099579723749701E-2</v>
      </c>
      <c r="N27" s="28">
        <f>IF(('Activity data'!N14*EF!$H27)*kgtoGg=0,"NO",('Activity data'!N14*EF!$H27)*kgtoGg)</f>
        <v>3.1479902133143861E-2</v>
      </c>
      <c r="O27" s="28">
        <f>IF(('Activity data'!O14*EF!$H27)*kgtoGg=0,"NO",('Activity data'!O14*EF!$H27)*kgtoGg)</f>
        <v>3.1322895139961102E-2</v>
      </c>
      <c r="P27" s="28">
        <f>IF(('Activity data'!P14*EF!$H27)*kgtoGg=0,"NO",('Activity data'!P14*EF!$H27)*kgtoGg)</f>
        <v>3.0878041992609937E-2</v>
      </c>
      <c r="Q27" s="28">
        <f>IF(('Activity data'!Q14*EF!$H27)*kgtoGg=0,"NO",('Activity data'!Q14*EF!$H27)*kgtoGg)</f>
        <v>3.0420104929160217E-2</v>
      </c>
      <c r="R27" s="28">
        <f>IF(('Activity data'!R14*EF!$H27)*kgtoGg=0,"NO",('Activity data'!R14*EF!$H27)*kgtoGg)</f>
        <v>3.081262241211712E-2</v>
      </c>
      <c r="S27" s="28">
        <f>IF(('Activity data'!S14*EF!$H27)*kgtoGg=0,"NO",('Activity data'!S14*EF!$H27)*kgtoGg)</f>
        <v>3.1754664371213694E-2</v>
      </c>
      <c r="T27" s="28">
        <f>IF(('Activity data'!T14*EF!$H27)*kgtoGg=0,"NO",('Activity data'!T14*EF!$H27)*kgtoGg)</f>
        <v>2.8993958074416789E-2</v>
      </c>
      <c r="U27" s="28">
        <f>IF(('Activity data'!U14*EF!$H27)*kgtoGg=0,"NO",('Activity data'!U14*EF!$H27)*kgtoGg)</f>
        <v>2.8261258772897233E-2</v>
      </c>
      <c r="V27" s="28">
        <f>IF(('Activity data'!V14*EF!$H27)*kgtoGg=0,"NO",('Activity data'!V14*EF!$H27)*kgtoGg)</f>
        <v>2.8313594437291489E-2</v>
      </c>
      <c r="W27" s="28">
        <f>IF(('Activity data'!W14*EF!$H27)*kgtoGg=0,"NO",('Activity data'!W14*EF!$H27)*kgtoGg)</f>
        <v>2.7947244786531707E-2</v>
      </c>
      <c r="X27" s="28">
        <f>IF(('Activity data'!X14*EF!$H27)*kgtoGg=0,"NO",('Activity data'!X14*EF!$H27)*kgtoGg)</f>
        <v>2.8536021010967069E-2</v>
      </c>
      <c r="Y27" s="28">
        <f>IF(('Activity data'!Y14*EF!$H27)*kgtoGg=0,"NO",('Activity data'!Y14*EF!$H27)*kgtoGg)</f>
        <v>2.7685566464560437E-2</v>
      </c>
      <c r="Z27" s="28">
        <f>IF(('Activity data'!Z14*EF!$H27)*kgtoGg=0,"NO",('Activity data'!Z14*EF!$H27)*kgtoGg)</f>
        <v>2.7659398632363309E-2</v>
      </c>
      <c r="AA27" s="28">
        <f>IF(('Activity data'!AA14*EF!$H27)*kgtoGg=0,"NO",('Activity data'!AA14*EF!$H27)*kgtoGg)</f>
        <v>2.7175293736716462E-2</v>
      </c>
      <c r="AB27" s="28">
        <f>IF(('Activity data'!AB14*EF!$H27)*kgtoGg=0,"NO",('Activity data'!AB14*EF!$H27)*kgtoGg)</f>
        <v>2.684819583425237E-2</v>
      </c>
      <c r="AC27" s="28">
        <f>IF(('Activity data'!AC14*EF!$H27)*kgtoGg=0,"NO",('Activity data'!AC14*EF!$H27)*kgtoGg)</f>
        <v>2.6599601428379662E-2</v>
      </c>
      <c r="AD27" s="28">
        <f>IF(('Activity data'!AD14*EF!$H27)*kgtoGg=0,"NO",('Activity data'!AD14*EF!$H27)*kgtoGg)</f>
        <v>2.6584116683001948E-2</v>
      </c>
      <c r="AE27" s="28">
        <f>IF(('Activity data'!AE14*EF!$H27)*kgtoGg=0,"NO",('Activity data'!AE14*EF!$H27)*kgtoGg)</f>
        <v>2.6653316871402002E-2</v>
      </c>
      <c r="AF27" s="28">
        <f>IF(('Activity data'!AF14*EF!$H27)*kgtoGg=0,"NO",('Activity data'!AF14*EF!$H27)*kgtoGg)</f>
        <v>2.6746164622746073E-2</v>
      </c>
      <c r="AG27" s="28">
        <f>IF(('Activity data'!AG14*EF!$H27)*kgtoGg=0,"NO",('Activity data'!AG14*EF!$H27)*kgtoGg)</f>
        <v>2.6861572701042811E-2</v>
      </c>
      <c r="AH27" s="28">
        <f>IF(('Activity data'!AH14*EF!$H27)*kgtoGg=0,"NO",('Activity data'!AH14*EF!$H27)*kgtoGg)</f>
        <v>2.699840641231744E-2</v>
      </c>
      <c r="AI27" s="28">
        <f>IF(('Activity data'!AI14*EF!$H27)*kgtoGg=0,"NO",('Activity data'!AI14*EF!$H27)*kgtoGg)</f>
        <v>2.715804006985403E-2</v>
      </c>
      <c r="AJ27" s="28">
        <f>IF(('Activity data'!AJ14*EF!$H27)*kgtoGg=0,"NO",('Activity data'!AJ14*EF!$H27)*kgtoGg)</f>
        <v>2.7328026957432687E-2</v>
      </c>
      <c r="AK27" s="28">
        <f>IF(('Activity data'!AK14*EF!$H27)*kgtoGg=0,"NO",('Activity data'!AK14*EF!$H27)*kgtoGg)</f>
        <v>2.750900186770134E-2</v>
      </c>
      <c r="AL27" s="28">
        <f>IF(('Activity data'!AL14*EF!$H27)*kgtoGg=0,"NO",('Activity data'!AL14*EF!$H27)*kgtoGg)</f>
        <v>2.768099834841304E-2</v>
      </c>
      <c r="AM27" s="28">
        <f>IF(('Activity data'!AM14*EF!$H27)*kgtoGg=0,"NO",('Activity data'!AM14*EF!$H27)*kgtoGg)</f>
        <v>2.7757993386616674E-2</v>
      </c>
      <c r="AN27" s="28">
        <f>IF(('Activity data'!AN14*EF!$H27)*kgtoGg=0,"NO",('Activity data'!AN14*EF!$H27)*kgtoGg)</f>
        <v>2.7842852542405906E-2</v>
      </c>
      <c r="AO27" s="28">
        <f>IF(('Activity data'!AO14*EF!$H27)*kgtoGg=0,"NO",('Activity data'!AO14*EF!$H27)*kgtoGg)</f>
        <v>2.7935411182604029E-2</v>
      </c>
      <c r="AP27" s="28">
        <f>IF(('Activity data'!AP14*EF!$H27)*kgtoGg=0,"NO",('Activity data'!AP14*EF!$H27)*kgtoGg)</f>
        <v>2.8035471266281722E-2</v>
      </c>
      <c r="AQ27" s="28">
        <f>IF(('Activity data'!AQ14*EF!$H27)*kgtoGg=0,"NO",('Activity data'!AQ14*EF!$H27)*kgtoGg)</f>
        <v>2.8142815347172639E-2</v>
      </c>
      <c r="AR27" s="28">
        <f>IF(('Activity data'!AR14*EF!$H27)*kgtoGg=0,"NO",('Activity data'!AR14*EF!$H27)*kgtoGg)</f>
        <v>2.8210520026428324E-2</v>
      </c>
      <c r="AS27" s="28">
        <f>IF(('Activity data'!AS14*EF!$H27)*kgtoGg=0,"NO",('Activity data'!AS14*EF!$H27)*kgtoGg)</f>
        <v>2.8284379316791248E-2</v>
      </c>
      <c r="AT27" s="28">
        <f>IF(('Activity data'!AT14*EF!$H27)*kgtoGg=0,"NO",('Activity data'!AT14*EF!$H27)*kgtoGg)</f>
        <v>2.8364130625526552E-2</v>
      </c>
      <c r="AU27" s="28">
        <f>IF(('Activity data'!AU14*EF!$H27)*kgtoGg=0,"NO",('Activity data'!AU14*EF!$H27)*kgtoGg)</f>
        <v>2.8449872572302668E-2</v>
      </c>
      <c r="AV27" s="28">
        <f>IF(('Activity data'!AV14*EF!$H27)*kgtoGg=0,"NO",('Activity data'!AV14*EF!$H27)*kgtoGg)</f>
        <v>2.8540542710055104E-2</v>
      </c>
      <c r="AW27" s="28">
        <f>IF(('Activity data'!AW14*EF!$H27)*kgtoGg=0,"NO",('Activity data'!AW14*EF!$H27)*kgtoGg)</f>
        <v>2.8600210969398375E-2</v>
      </c>
      <c r="AX27" s="28">
        <f>IF(('Activity data'!AX14*EF!$H27)*kgtoGg=0,"NO",('Activity data'!AX14*EF!$H27)*kgtoGg)</f>
        <v>2.866451808087097E-2</v>
      </c>
      <c r="AY27" s="28">
        <f>IF(('Activity data'!AY14*EF!$H27)*kgtoGg=0,"NO",('Activity data'!AY14*EF!$H27)*kgtoGg)</f>
        <v>2.8733231175541274E-2</v>
      </c>
      <c r="AZ27" s="28">
        <f>IF(('Activity data'!AZ14*EF!$H27)*kgtoGg=0,"NO",('Activity data'!AZ14*EF!$H27)*kgtoGg)</f>
        <v>2.8806132559921586E-2</v>
      </c>
      <c r="BA27" s="28">
        <f>IF(('Activity data'!BA14*EF!$H27)*kgtoGg=0,"NO",('Activity data'!BA14*EF!$H27)*kgtoGg)</f>
        <v>2.8882227880822821E-2</v>
      </c>
      <c r="BB27" s="28">
        <f>IF(('Activity data'!BB14*EF!$H27)*kgtoGg=0,"NO",('Activity data'!BB14*EF!$H27)*kgtoGg)</f>
        <v>2.8927829193403809E-2</v>
      </c>
      <c r="BC27" s="28">
        <f>IF(('Activity data'!BC14*EF!$H27)*kgtoGg=0,"NO",('Activity data'!BC14*EF!$H27)*kgtoGg)</f>
        <v>2.8977403747576853E-2</v>
      </c>
      <c r="BD27" s="28">
        <f>IF(('Activity data'!BD14*EF!$H27)*kgtoGg=0,"NO",('Activity data'!BD14*EF!$H27)*kgtoGg)</f>
        <v>2.903064666202209E-2</v>
      </c>
      <c r="BE27" s="28">
        <f>IF(('Activity data'!BE14*EF!$H27)*kgtoGg=0,"NO",('Activity data'!BE14*EF!$H27)*kgtoGg)</f>
        <v>2.9086819609843408E-2</v>
      </c>
      <c r="BF27" s="28">
        <f>IF(('Activity data'!BF14*EF!$H27)*kgtoGg=0,"NO",('Activity data'!BF14*EF!$H27)*kgtoGg)</f>
        <v>2.9146140361252671E-2</v>
      </c>
      <c r="BG27" s="28">
        <f>IF(('Activity data'!BG14*EF!$H27)*kgtoGg=0,"NO",('Activity data'!BG14*EF!$H27)*kgtoGg)</f>
        <v>2.9176856983335851E-2</v>
      </c>
      <c r="BH27" s="28">
        <f>IF(('Activity data'!BH14*EF!$H27)*kgtoGg=0,"NO",('Activity data'!BH14*EF!$H27)*kgtoGg)</f>
        <v>2.9210745423820961E-2</v>
      </c>
      <c r="BI27" s="28">
        <f>IF(('Activity data'!BI14*EF!$H27)*kgtoGg=0,"NO",('Activity data'!BI14*EF!$H27)*kgtoGg)</f>
        <v>2.9247816332597532E-2</v>
      </c>
      <c r="BJ27" s="28">
        <f>IF(('Activity data'!BJ14*EF!$H27)*kgtoGg=0,"NO",('Activity data'!BJ14*EF!$H27)*kgtoGg)</f>
        <v>2.9287930194399299E-2</v>
      </c>
      <c r="BK27" s="28">
        <f>IF(('Activity data'!BK14*EF!$H27)*kgtoGg=0,"NO",('Activity data'!BK14*EF!$H27)*kgtoGg)</f>
        <v>2.9331236613538623E-2</v>
      </c>
      <c r="BL27" s="28">
        <f>IF(('Activity data'!BL14*EF!$H27)*kgtoGg=0,"NO",('Activity data'!BL14*EF!$H27)*kgtoGg)</f>
        <v>2.9345632052208814E-2</v>
      </c>
      <c r="BM27" s="28">
        <f>IF(('Activity data'!BM14*EF!$H27)*kgtoGg=0,"NO",('Activity data'!BM14*EF!$H27)*kgtoGg)</f>
        <v>2.9362778710908866E-2</v>
      </c>
      <c r="BN27" s="28">
        <f>IF(('Activity data'!BN14*EF!$H27)*kgtoGg=0,"NO",('Activity data'!BN14*EF!$H27)*kgtoGg)</f>
        <v>2.9381996827049131E-2</v>
      </c>
      <c r="BO27" s="28">
        <f>IF(('Activity data'!BO14*EF!$H27)*kgtoGg=0,"NO",('Activity data'!BO14*EF!$H27)*kgtoGg)</f>
        <v>2.9403863407820269E-2</v>
      </c>
      <c r="BP27" s="28">
        <f>IF(('Activity data'!BP14*EF!$H27)*kgtoGg=0,"NO",('Activity data'!BP14*EF!$H27)*kgtoGg)</f>
        <v>2.942845862812395E-2</v>
      </c>
    </row>
    <row r="28" spans="1:68" x14ac:dyDescent="0.25">
      <c r="A28" t="str">
        <f t="shared" si="1"/>
        <v>3A Livestock</v>
      </c>
      <c r="B28" t="str">
        <f t="shared" si="8"/>
        <v>3A2 Manure management (CH4)</v>
      </c>
      <c r="C28" t="str">
        <f>EF!C28</f>
        <v>3A1f Horses</v>
      </c>
      <c r="D28" t="str">
        <f>EF!D28</f>
        <v>Horses</v>
      </c>
      <c r="E28" t="str">
        <f t="shared" si="9"/>
        <v>Manure management Emissions</v>
      </c>
      <c r="F28" t="str">
        <f t="shared" si="6"/>
        <v>CH4</v>
      </c>
      <c r="G28" t="str">
        <f t="shared" si="7"/>
        <v>Gg CH4</v>
      </c>
      <c r="H28" s="28">
        <f>IF(('Activity data'!H15*EF!$H28)*kgtoGg=0,"NO",('Activity data'!H15*EF!$H28)*kgtoGg)</f>
        <v>3.0819999999999997E-3</v>
      </c>
      <c r="I28" s="28">
        <f>IF(('Activity data'!I15*EF!$H28)*kgtoGg=0,"NO",('Activity data'!I15*EF!$H28)*kgtoGg)</f>
        <v>3.0819999999999997E-3</v>
      </c>
      <c r="J28" s="28">
        <f>IF(('Activity data'!J15*EF!$H28)*kgtoGg=0,"NO",('Activity data'!J15*EF!$H28)*kgtoGg)</f>
        <v>3.0819999999999997E-3</v>
      </c>
      <c r="K28" s="28">
        <f>IF(('Activity data'!K15*EF!$H28)*kgtoGg=0,"NO",('Activity data'!K15*EF!$H28)*kgtoGg)</f>
        <v>3.1489999999999999E-3</v>
      </c>
      <c r="L28" s="28">
        <f>IF(('Activity data'!L15*EF!$H28)*kgtoGg=0,"NO",('Activity data'!L15*EF!$H28)*kgtoGg)</f>
        <v>3.2159999999999997E-3</v>
      </c>
      <c r="M28" s="28">
        <f>IF(('Activity data'!M15*EF!$H28)*kgtoGg=0,"NO",('Activity data'!M15*EF!$H28)*kgtoGg)</f>
        <v>3.2829999999999999E-3</v>
      </c>
      <c r="N28" s="28">
        <f>IF(('Activity data'!N15*EF!$H28)*kgtoGg=0,"NO",('Activity data'!N15*EF!$H28)*kgtoGg)</f>
        <v>3.3499999999999997E-3</v>
      </c>
      <c r="O28" s="28">
        <f>IF(('Activity data'!O15*EF!$H28)*kgtoGg=0,"NO",('Activity data'!O15*EF!$H28)*kgtoGg)</f>
        <v>3.4169999999999999E-3</v>
      </c>
      <c r="P28" s="28">
        <f>IF(('Activity data'!P15*EF!$H28)*kgtoGg=0,"NO",('Activity data'!P15*EF!$H28)*kgtoGg)</f>
        <v>3.4839999999999997E-3</v>
      </c>
      <c r="Q28" s="28">
        <f>IF(('Activity data'!Q15*EF!$H28)*kgtoGg=0,"NO",('Activity data'!Q15*EF!$H28)*kgtoGg)</f>
        <v>3.4572000000000001E-3</v>
      </c>
      <c r="R28" s="28">
        <f>IF(('Activity data'!R15*EF!$H28)*kgtoGg=0,"NO",('Activity data'!R15*EF!$H28)*kgtoGg)</f>
        <v>3.6179999999999997E-3</v>
      </c>
      <c r="S28" s="28">
        <f>IF(('Activity data'!S15*EF!$H28)*kgtoGg=0,"NO",('Activity data'!S15*EF!$H28)*kgtoGg)</f>
        <v>3.6179999999999997E-3</v>
      </c>
      <c r="T28" s="28">
        <f>IF(('Activity data'!T15*EF!$H28)*kgtoGg=0,"NO",('Activity data'!T15*EF!$H28)*kgtoGg)</f>
        <v>3.6179999999999997E-3</v>
      </c>
      <c r="U28" s="28">
        <f>IF(('Activity data'!U15*EF!$H28)*kgtoGg=0,"NO",('Activity data'!U15*EF!$H28)*kgtoGg)</f>
        <v>3.6179999999999997E-3</v>
      </c>
      <c r="V28" s="28">
        <f>IF(('Activity data'!V15*EF!$H28)*kgtoGg=0,"NO",('Activity data'!V15*EF!$H28)*kgtoGg)</f>
        <v>3.6179999999999997E-3</v>
      </c>
      <c r="W28" s="28">
        <f>IF(('Activity data'!W15*EF!$H28)*kgtoGg=0,"NO",('Activity data'!W15*EF!$H28)*kgtoGg)</f>
        <v>3.6179999999999997E-3</v>
      </c>
      <c r="X28" s="28">
        <f>IF(('Activity data'!X15*EF!$H28)*kgtoGg=0,"NO",('Activity data'!X15*EF!$H28)*kgtoGg)</f>
        <v>3.7519999999999997E-3</v>
      </c>
      <c r="Y28" s="28">
        <f>IF(('Activity data'!Y15*EF!$H28)*kgtoGg=0,"NO",('Activity data'!Y15*EF!$H28)*kgtoGg)</f>
        <v>3.8859999999999997E-3</v>
      </c>
      <c r="Z28" s="28">
        <f>IF(('Activity data'!Z15*EF!$H28)*kgtoGg=0,"NO",('Activity data'!Z15*EF!$H28)*kgtoGg)</f>
        <v>3.9931999999999997E-3</v>
      </c>
      <c r="AA28" s="28">
        <f>IF(('Activity data'!AA15*EF!$H28)*kgtoGg=0,"NO",('Activity data'!AA15*EF!$H28)*kgtoGg)</f>
        <v>4.0200000000000001E-3</v>
      </c>
      <c r="AB28" s="28">
        <f>IF(('Activity data'!AB15*EF!$H28)*kgtoGg=0,"NO",('Activity data'!AB15*EF!$H28)*kgtoGg)</f>
        <v>4.0200000000000001E-3</v>
      </c>
      <c r="AC28" s="28">
        <f>IF(('Activity data'!AC15*EF!$H28)*kgtoGg=0,"NO",('Activity data'!AC15*EF!$H28)*kgtoGg)</f>
        <v>4.0869999999999995E-3</v>
      </c>
      <c r="AD28" s="28">
        <f>IF(('Activity data'!AD15*EF!$H28)*kgtoGg=0,"NO",('Activity data'!AD15*EF!$H28)*kgtoGg)</f>
        <v>4.1342289750315956E-3</v>
      </c>
      <c r="AE28" s="28">
        <f>IF(('Activity data'!AE15*EF!$H28)*kgtoGg=0,"NO",('Activity data'!AE15*EF!$H28)*kgtoGg)</f>
        <v>4.1660645140363098E-3</v>
      </c>
      <c r="AF28" s="28">
        <f>IF(('Activity data'!AF15*EF!$H28)*kgtoGg=0,"NO",('Activity data'!AF15*EF!$H28)*kgtoGg)</f>
        <v>4.1802031160340326E-3</v>
      </c>
      <c r="AG28" s="28">
        <f>IF(('Activity data'!AG15*EF!$H28)*kgtoGg=0,"NO",('Activity data'!AG15*EF!$H28)*kgtoGg)</f>
        <v>4.1808300078192357E-3</v>
      </c>
      <c r="AH28" s="28">
        <f>IF(('Activity data'!AH15*EF!$H28)*kgtoGg=0,"NO",('Activity data'!AH15*EF!$H28)*kgtoGg)</f>
        <v>4.1675502098748119E-3</v>
      </c>
      <c r="AI28" s="28">
        <f>IF(('Activity data'!AI15*EF!$H28)*kgtoGg=0,"NO",('Activity data'!AI15*EF!$H28)*kgtoGg)</f>
        <v>4.1690136136892609E-3</v>
      </c>
      <c r="AJ28" s="28">
        <f>IF(('Activity data'!AJ15*EF!$H28)*kgtoGg=0,"NO",('Activity data'!AJ15*EF!$H28)*kgtoGg)</f>
        <v>4.1667193242748207E-3</v>
      </c>
      <c r="AK28" s="28">
        <f>IF(('Activity data'!AK15*EF!$H28)*kgtoGg=0,"NO",('Activity data'!AK15*EF!$H28)*kgtoGg)</f>
        <v>4.1627713618290945E-3</v>
      </c>
      <c r="AL28" s="28">
        <f>IF(('Activity data'!AL15*EF!$H28)*kgtoGg=0,"NO",('Activity data'!AL15*EF!$H28)*kgtoGg)</f>
        <v>3.914179321331571E-3</v>
      </c>
      <c r="AM28" s="28">
        <f>IF(('Activity data'!AM15*EF!$H28)*kgtoGg=0,"NO",('Activity data'!AM15*EF!$H28)*kgtoGg)</f>
        <v>3.9543112832094943E-3</v>
      </c>
      <c r="AN28" s="28">
        <f>IF(('Activity data'!AN15*EF!$H28)*kgtoGg=0,"NO",('Activity data'!AN15*EF!$H28)*kgtoGg)</f>
        <v>3.9907012701674268E-3</v>
      </c>
      <c r="AO28" s="28">
        <f>IF(('Activity data'!AO15*EF!$H28)*kgtoGg=0,"NO",('Activity data'!AO15*EF!$H28)*kgtoGg)</f>
        <v>4.0276366790311935E-3</v>
      </c>
      <c r="AP28" s="28">
        <f>IF(('Activity data'!AP15*EF!$H28)*kgtoGg=0,"NO",('Activity data'!AP15*EF!$H28)*kgtoGg)</f>
        <v>4.0681691291261212E-3</v>
      </c>
      <c r="AQ28" s="28">
        <f>IF(('Activity data'!AQ15*EF!$H28)*kgtoGg=0,"NO",('Activity data'!AQ15*EF!$H28)*kgtoGg)</f>
        <v>4.1144125708426904E-3</v>
      </c>
      <c r="AR28" s="28">
        <f>IF(('Activity data'!AR15*EF!$H28)*kgtoGg=0,"NO",('Activity data'!AR15*EF!$H28)*kgtoGg)</f>
        <v>4.1664408600780916E-3</v>
      </c>
      <c r="AS28" s="28">
        <f>IF(('Activity data'!AS15*EF!$H28)*kgtoGg=0,"NO",('Activity data'!AS15*EF!$H28)*kgtoGg)</f>
        <v>4.2221389602907578E-3</v>
      </c>
      <c r="AT28" s="28">
        <f>IF(('Activity data'!AT15*EF!$H28)*kgtoGg=0,"NO",('Activity data'!AT15*EF!$H28)*kgtoGg)</f>
        <v>4.281951803091209E-3</v>
      </c>
      <c r="AU28" s="28">
        <f>IF(('Activity data'!AU15*EF!$H28)*kgtoGg=0,"NO",('Activity data'!AU15*EF!$H28)*kgtoGg)</f>
        <v>4.350357217348097E-3</v>
      </c>
      <c r="AV28" s="28">
        <f>IF(('Activity data'!AV15*EF!$H28)*kgtoGg=0,"NO",('Activity data'!AV15*EF!$H28)*kgtoGg)</f>
        <v>4.4172708617851546E-3</v>
      </c>
      <c r="AW28" s="28">
        <f>IF(('Activity data'!AW15*EF!$H28)*kgtoGg=0,"NO",('Activity data'!AW15*EF!$H28)*kgtoGg)</f>
        <v>4.5009503560536259E-3</v>
      </c>
      <c r="AX28" s="28">
        <f>IF(('Activity data'!AX15*EF!$H28)*kgtoGg=0,"NO",('Activity data'!AX15*EF!$H28)*kgtoGg)</f>
        <v>4.5871985394176119E-3</v>
      </c>
      <c r="AY28" s="28">
        <f>IF(('Activity data'!AY15*EF!$H28)*kgtoGg=0,"NO",('Activity data'!AY15*EF!$H28)*kgtoGg)</f>
        <v>4.6755405523354089E-3</v>
      </c>
      <c r="AZ28" s="28">
        <f>IF(('Activity data'!AZ15*EF!$H28)*kgtoGg=0,"NO",('Activity data'!AZ15*EF!$H28)*kgtoGg)</f>
        <v>4.7654767379062806E-3</v>
      </c>
      <c r="BA28" s="28">
        <f>IF(('Activity data'!BA15*EF!$H28)*kgtoGg=0,"NO",('Activity data'!BA15*EF!$H28)*kgtoGg)</f>
        <v>4.8469434712252344E-3</v>
      </c>
      <c r="BB28" s="28">
        <f>IF(('Activity data'!BB15*EF!$H28)*kgtoGg=0,"NO",('Activity data'!BB15*EF!$H28)*kgtoGg)</f>
        <v>4.9356400953621971E-3</v>
      </c>
      <c r="BC28" s="28">
        <f>IF(('Activity data'!BC15*EF!$H28)*kgtoGg=0,"NO",('Activity data'!BC15*EF!$H28)*kgtoGg)</f>
        <v>5.0306307080303187E-3</v>
      </c>
      <c r="BD28" s="28">
        <f>IF(('Activity data'!BD15*EF!$H28)*kgtoGg=0,"NO",('Activity data'!BD15*EF!$H28)*kgtoGg)</f>
        <v>5.129864403230119E-3</v>
      </c>
      <c r="BE28" s="28">
        <f>IF(('Activity data'!BE15*EF!$H28)*kgtoGg=0,"NO",('Activity data'!BE15*EF!$H28)*kgtoGg)</f>
        <v>5.225968052733336E-3</v>
      </c>
      <c r="BF28" s="28">
        <f>IF(('Activity data'!BF15*EF!$H28)*kgtoGg=0,"NO",('Activity data'!BF15*EF!$H28)*kgtoGg)</f>
        <v>5.3229600861104294E-3</v>
      </c>
      <c r="BG28" s="28">
        <f>IF(('Activity data'!BG15*EF!$H28)*kgtoGg=0,"NO",('Activity data'!BG15*EF!$H28)*kgtoGg)</f>
        <v>5.4273973631133845E-3</v>
      </c>
      <c r="BH28" s="28">
        <f>IF(('Activity data'!BH15*EF!$H28)*kgtoGg=0,"NO",('Activity data'!BH15*EF!$H28)*kgtoGg)</f>
        <v>5.5367634228974654E-3</v>
      </c>
      <c r="BI28" s="28">
        <f>IF(('Activity data'!BI15*EF!$H28)*kgtoGg=0,"NO",('Activity data'!BI15*EF!$H28)*kgtoGg)</f>
        <v>5.6523804685735908E-3</v>
      </c>
      <c r="BJ28" s="28">
        <f>IF(('Activity data'!BJ15*EF!$H28)*kgtoGg=0,"NO",('Activity data'!BJ15*EF!$H28)*kgtoGg)</f>
        <v>5.7736861303998438E-3</v>
      </c>
      <c r="BK28" s="28">
        <f>IF(('Activity data'!BK15*EF!$H28)*kgtoGg=0,"NO",('Activity data'!BK15*EF!$H28)*kgtoGg)</f>
        <v>5.9034899512530855E-3</v>
      </c>
      <c r="BL28" s="28">
        <f>IF(('Activity data'!BL15*EF!$H28)*kgtoGg=0,"NO",('Activity data'!BL15*EF!$H28)*kgtoGg)</f>
        <v>6.0450030921231201E-3</v>
      </c>
      <c r="BM28" s="28">
        <f>IF(('Activity data'!BM15*EF!$H28)*kgtoGg=0,"NO",('Activity data'!BM15*EF!$H28)*kgtoGg)</f>
        <v>6.1924399035089917E-3</v>
      </c>
      <c r="BN28" s="28">
        <f>IF(('Activity data'!BN15*EF!$H28)*kgtoGg=0,"NO",('Activity data'!BN15*EF!$H28)*kgtoGg)</f>
        <v>6.3386240208394909E-3</v>
      </c>
      <c r="BO28" s="28">
        <f>IF(('Activity data'!BO15*EF!$H28)*kgtoGg=0,"NO",('Activity data'!BO15*EF!$H28)*kgtoGg)</f>
        <v>6.4913070041474107E-3</v>
      </c>
      <c r="BP28" s="28">
        <f>IF(('Activity data'!BP15*EF!$H28)*kgtoGg=0,"NO",('Activity data'!BP15*EF!$H28)*kgtoGg)</f>
        <v>6.65225689343861E-3</v>
      </c>
    </row>
    <row r="29" spans="1:68" x14ac:dyDescent="0.25">
      <c r="A29" t="str">
        <f t="shared" si="1"/>
        <v>3A Livestock</v>
      </c>
      <c r="B29" t="str">
        <f t="shared" si="8"/>
        <v>3A2 Manure management (CH4)</v>
      </c>
      <c r="C29" t="str">
        <f>EF!C29</f>
        <v>3A1g Mules &amp; asses</v>
      </c>
      <c r="D29" t="str">
        <f>EF!D29</f>
        <v>Mules &amp; Asses</v>
      </c>
      <c r="E29" t="str">
        <f t="shared" si="9"/>
        <v>Manure management Emissions</v>
      </c>
      <c r="F29" t="str">
        <f t="shared" si="6"/>
        <v>CH4</v>
      </c>
      <c r="G29" t="str">
        <f t="shared" si="7"/>
        <v>Gg CH4</v>
      </c>
      <c r="H29" s="28">
        <f>IF(('Activity data'!H16*EF!$H29)*kgtoGg=0,"NO",('Activity data'!H16*EF!$H29)*kgtoGg)</f>
        <v>1.0079999999999998E-3</v>
      </c>
      <c r="I29" s="28">
        <f>IF(('Activity data'!I16*EF!$H29)*kgtoGg=0,"NO",('Activity data'!I16*EF!$H29)*kgtoGg)</f>
        <v>1.0079999999999998E-3</v>
      </c>
      <c r="J29" s="28">
        <f>IF(('Activity data'!J16*EF!$H29)*kgtoGg=0,"NO",('Activity data'!J16*EF!$H29)*kgtoGg)</f>
        <v>1.0079999999999998E-3</v>
      </c>
      <c r="K29" s="28">
        <f>IF(('Activity data'!K16*EF!$H29)*kgtoGg=0,"NO",('Activity data'!K16*EF!$H29)*kgtoGg)</f>
        <v>1.0079999999999998E-3</v>
      </c>
      <c r="L29" s="28">
        <f>IF(('Activity data'!L16*EF!$H29)*kgtoGg=0,"NO",('Activity data'!L16*EF!$H29)*kgtoGg)</f>
        <v>1.0079999999999998E-3</v>
      </c>
      <c r="M29" s="28">
        <f>IF(('Activity data'!M16*EF!$H29)*kgtoGg=0,"NO",('Activity data'!M16*EF!$H29)*kgtoGg)</f>
        <v>1.0079999999999998E-3</v>
      </c>
      <c r="N29" s="28">
        <f>IF(('Activity data'!N16*EF!$H29)*kgtoGg=0,"NO",('Activity data'!N16*EF!$H29)*kgtoGg)</f>
        <v>1.0079999999999998E-3</v>
      </c>
      <c r="O29" s="28">
        <f>IF(('Activity data'!O16*EF!$H29)*kgtoGg=0,"NO",('Activity data'!O16*EF!$H29)*kgtoGg)</f>
        <v>1.0079999999999998E-3</v>
      </c>
      <c r="P29" s="28">
        <f>IF(('Activity data'!P16*EF!$H29)*kgtoGg=0,"NO",('Activity data'!P16*EF!$H29)*kgtoGg)</f>
        <v>1.0079999999999998E-3</v>
      </c>
      <c r="Q29" s="28">
        <f>IF(('Activity data'!Q16*EF!$H29)*kgtoGg=0,"NO",('Activity data'!Q16*EF!$H29)*kgtoGg)</f>
        <v>1.0079999999999998E-3</v>
      </c>
      <c r="R29" s="28">
        <f>IF(('Activity data'!R16*EF!$H29)*kgtoGg=0,"NO",('Activity data'!R16*EF!$H29)*kgtoGg)</f>
        <v>7.3799999999999994E-4</v>
      </c>
      <c r="S29" s="28">
        <f>IF(('Activity data'!S16*EF!$H29)*kgtoGg=0,"NO",('Activity data'!S16*EF!$H29)*kgtoGg)</f>
        <v>7.3799999999999994E-4</v>
      </c>
      <c r="T29" s="28">
        <f>IF(('Activity data'!T16*EF!$H29)*kgtoGg=0,"NO",('Activity data'!T16*EF!$H29)*kgtoGg)</f>
        <v>7.3799999999999994E-4</v>
      </c>
      <c r="U29" s="28">
        <f>IF(('Activity data'!U16*EF!$H29)*kgtoGg=0,"NO",('Activity data'!U16*EF!$H29)*kgtoGg)</f>
        <v>7.3799999999999994E-4</v>
      </c>
      <c r="V29" s="28">
        <f>IF(('Activity data'!V16*EF!$H29)*kgtoGg=0,"NO",('Activity data'!V16*EF!$H29)*kgtoGg)</f>
        <v>7.3799999999999994E-4</v>
      </c>
      <c r="W29" s="28">
        <f>IF(('Activity data'!W16*EF!$H29)*kgtoGg=0,"NO",('Activity data'!W16*EF!$H29)*kgtoGg)</f>
        <v>7.3799999999999994E-4</v>
      </c>
      <c r="X29" s="28">
        <f>IF(('Activity data'!X16*EF!$H29)*kgtoGg=0,"NO",('Activity data'!X16*EF!$H29)*kgtoGg)</f>
        <v>7.3822499999999991E-4</v>
      </c>
      <c r="Y29" s="28">
        <f>IF(('Activity data'!Y16*EF!$H29)*kgtoGg=0,"NO",('Activity data'!Y16*EF!$H29)*kgtoGg)</f>
        <v>7.4069999999999995E-4</v>
      </c>
      <c r="Z29" s="28">
        <f>IF(('Activity data'!Z16*EF!$H29)*kgtoGg=0,"NO",('Activity data'!Z16*EF!$H29)*kgtoGg)</f>
        <v>7.4114999999999999E-4</v>
      </c>
      <c r="AA29" s="28">
        <f>IF(('Activity data'!AA16*EF!$H29)*kgtoGg=0,"NO",('Activity data'!AA16*EF!$H29)*kgtoGg)</f>
        <v>7.4159999999999992E-4</v>
      </c>
      <c r="AB29" s="28">
        <f>IF(('Activity data'!AB16*EF!$H29)*kgtoGg=0,"NO",('Activity data'!AB16*EF!$H29)*kgtoGg)</f>
        <v>7.4834999999999984E-4</v>
      </c>
      <c r="AC29" s="28">
        <f>IF(('Activity data'!AC16*EF!$H29)*kgtoGg=0,"NO",('Activity data'!AC16*EF!$H29)*kgtoGg)</f>
        <v>7.515E-4</v>
      </c>
      <c r="AD29" s="28">
        <f>IF(('Activity data'!AD16*EF!$H29)*kgtoGg=0,"NO",('Activity data'!AD16*EF!$H29)*kgtoGg)</f>
        <v>7.515E-4</v>
      </c>
      <c r="AE29" s="28">
        <f>IF(('Activity data'!AE16*EF!$H29)*kgtoGg=0,"NO",('Activity data'!AE16*EF!$H29)*kgtoGg)</f>
        <v>7.515E-4</v>
      </c>
      <c r="AF29" s="28">
        <f>IF(('Activity data'!AF16*EF!$H29)*kgtoGg=0,"NO",('Activity data'!AF16*EF!$H29)*kgtoGg)</f>
        <v>7.515E-4</v>
      </c>
      <c r="AG29" s="28">
        <f>IF(('Activity data'!AG16*EF!$H29)*kgtoGg=0,"NO",('Activity data'!AG16*EF!$H29)*kgtoGg)</f>
        <v>7.515E-4</v>
      </c>
      <c r="AH29" s="28">
        <f>IF(('Activity data'!AH16*EF!$H29)*kgtoGg=0,"NO",('Activity data'!AH16*EF!$H29)*kgtoGg)</f>
        <v>7.515E-4</v>
      </c>
      <c r="AI29" s="28">
        <f>IF(('Activity data'!AI16*EF!$H29)*kgtoGg=0,"NO",('Activity data'!AI16*EF!$H29)*kgtoGg)</f>
        <v>7.515E-4</v>
      </c>
      <c r="AJ29" s="28">
        <f>IF(('Activity data'!AJ16*EF!$H29)*kgtoGg=0,"NO",('Activity data'!AJ16*EF!$H29)*kgtoGg)</f>
        <v>7.515E-4</v>
      </c>
      <c r="AK29" s="28">
        <f>IF(('Activity data'!AK16*EF!$H29)*kgtoGg=0,"NO",('Activity data'!AK16*EF!$H29)*kgtoGg)</f>
        <v>7.515E-4</v>
      </c>
      <c r="AL29" s="28">
        <f>IF(('Activity data'!AL16*EF!$H29)*kgtoGg=0,"NO",('Activity data'!AL16*EF!$H29)*kgtoGg)</f>
        <v>7.515E-4</v>
      </c>
      <c r="AM29" s="28">
        <f>IF(('Activity data'!AM16*EF!$H29)*kgtoGg=0,"NO",('Activity data'!AM16*EF!$H29)*kgtoGg)</f>
        <v>7.515E-4</v>
      </c>
      <c r="AN29" s="28">
        <f>IF(('Activity data'!AN16*EF!$H29)*kgtoGg=0,"NO",('Activity data'!AN16*EF!$H29)*kgtoGg)</f>
        <v>7.515E-4</v>
      </c>
      <c r="AO29" s="28">
        <f>IF(('Activity data'!AO16*EF!$H29)*kgtoGg=0,"NO",('Activity data'!AO16*EF!$H29)*kgtoGg)</f>
        <v>7.515E-4</v>
      </c>
      <c r="AP29" s="28">
        <f>IF(('Activity data'!AP16*EF!$H29)*kgtoGg=0,"NO",('Activity data'!AP16*EF!$H29)*kgtoGg)</f>
        <v>7.515E-4</v>
      </c>
      <c r="AQ29" s="28">
        <f>IF(('Activity data'!AQ16*EF!$H29)*kgtoGg=0,"NO",('Activity data'!AQ16*EF!$H29)*kgtoGg)</f>
        <v>7.515E-4</v>
      </c>
      <c r="AR29" s="28">
        <f>IF(('Activity data'!AR16*EF!$H29)*kgtoGg=0,"NO",('Activity data'!AR16*EF!$H29)*kgtoGg)</f>
        <v>7.515E-4</v>
      </c>
      <c r="AS29" s="28">
        <f>IF(('Activity data'!AS16*EF!$H29)*kgtoGg=0,"NO",('Activity data'!AS16*EF!$H29)*kgtoGg)</f>
        <v>7.515E-4</v>
      </c>
      <c r="AT29" s="28">
        <f>IF(('Activity data'!AT16*EF!$H29)*kgtoGg=0,"NO",('Activity data'!AT16*EF!$H29)*kgtoGg)</f>
        <v>7.515E-4</v>
      </c>
      <c r="AU29" s="28">
        <f>IF(('Activity data'!AU16*EF!$H29)*kgtoGg=0,"NO",('Activity data'!AU16*EF!$H29)*kgtoGg)</f>
        <v>7.515E-4</v>
      </c>
      <c r="AV29" s="28">
        <f>IF(('Activity data'!AV16*EF!$H29)*kgtoGg=0,"NO",('Activity data'!AV16*EF!$H29)*kgtoGg)</f>
        <v>7.515E-4</v>
      </c>
      <c r="AW29" s="28">
        <f>IF(('Activity data'!AW16*EF!$H29)*kgtoGg=0,"NO",('Activity data'!AW16*EF!$H29)*kgtoGg)</f>
        <v>7.515E-4</v>
      </c>
      <c r="AX29" s="28">
        <f>IF(('Activity data'!AX16*EF!$H29)*kgtoGg=0,"NO",('Activity data'!AX16*EF!$H29)*kgtoGg)</f>
        <v>7.515E-4</v>
      </c>
      <c r="AY29" s="28">
        <f>IF(('Activity data'!AY16*EF!$H29)*kgtoGg=0,"NO",('Activity data'!AY16*EF!$H29)*kgtoGg)</f>
        <v>7.515E-4</v>
      </c>
      <c r="AZ29" s="28">
        <f>IF(('Activity data'!AZ16*EF!$H29)*kgtoGg=0,"NO",('Activity data'!AZ16*EF!$H29)*kgtoGg)</f>
        <v>7.515E-4</v>
      </c>
      <c r="BA29" s="28">
        <f>IF(('Activity data'!BA16*EF!$H29)*kgtoGg=0,"NO",('Activity data'!BA16*EF!$H29)*kgtoGg)</f>
        <v>7.515E-4</v>
      </c>
      <c r="BB29" s="28">
        <f>IF(('Activity data'!BB16*EF!$H29)*kgtoGg=0,"NO",('Activity data'!BB16*EF!$H29)*kgtoGg)</f>
        <v>7.515E-4</v>
      </c>
      <c r="BC29" s="28">
        <f>IF(('Activity data'!BC16*EF!$H29)*kgtoGg=0,"NO",('Activity data'!BC16*EF!$H29)*kgtoGg)</f>
        <v>7.515E-4</v>
      </c>
      <c r="BD29" s="28">
        <f>IF(('Activity data'!BD16*EF!$H29)*kgtoGg=0,"NO",('Activity data'!BD16*EF!$H29)*kgtoGg)</f>
        <v>7.515E-4</v>
      </c>
      <c r="BE29" s="28">
        <f>IF(('Activity data'!BE16*EF!$H29)*kgtoGg=0,"NO",('Activity data'!BE16*EF!$H29)*kgtoGg)</f>
        <v>7.515E-4</v>
      </c>
      <c r="BF29" s="28">
        <f>IF(('Activity data'!BF16*EF!$H29)*kgtoGg=0,"NO",('Activity data'!BF16*EF!$H29)*kgtoGg)</f>
        <v>7.515E-4</v>
      </c>
      <c r="BG29" s="28">
        <f>IF(('Activity data'!BG16*EF!$H29)*kgtoGg=0,"NO",('Activity data'!BG16*EF!$H29)*kgtoGg)</f>
        <v>7.515E-4</v>
      </c>
      <c r="BH29" s="28">
        <f>IF(('Activity data'!BH16*EF!$H29)*kgtoGg=0,"NO",('Activity data'!BH16*EF!$H29)*kgtoGg)</f>
        <v>7.515E-4</v>
      </c>
      <c r="BI29" s="28">
        <f>IF(('Activity data'!BI16*EF!$H29)*kgtoGg=0,"NO",('Activity data'!BI16*EF!$H29)*kgtoGg)</f>
        <v>7.515E-4</v>
      </c>
      <c r="BJ29" s="28">
        <f>IF(('Activity data'!BJ16*EF!$H29)*kgtoGg=0,"NO",('Activity data'!BJ16*EF!$H29)*kgtoGg)</f>
        <v>7.515E-4</v>
      </c>
      <c r="BK29" s="28">
        <f>IF(('Activity data'!BK16*EF!$H29)*kgtoGg=0,"NO",('Activity data'!BK16*EF!$H29)*kgtoGg)</f>
        <v>7.515E-4</v>
      </c>
      <c r="BL29" s="28">
        <f>IF(('Activity data'!BL16*EF!$H29)*kgtoGg=0,"NO",('Activity data'!BL16*EF!$H29)*kgtoGg)</f>
        <v>7.515E-4</v>
      </c>
      <c r="BM29" s="28">
        <f>IF(('Activity data'!BM16*EF!$H29)*kgtoGg=0,"NO",('Activity data'!BM16*EF!$H29)*kgtoGg)</f>
        <v>7.515E-4</v>
      </c>
      <c r="BN29" s="28">
        <f>IF(('Activity data'!BN16*EF!$H29)*kgtoGg=0,"NO",('Activity data'!BN16*EF!$H29)*kgtoGg)</f>
        <v>7.515E-4</v>
      </c>
      <c r="BO29" s="28">
        <f>IF(('Activity data'!BO16*EF!$H29)*kgtoGg=0,"NO",('Activity data'!BO16*EF!$H29)*kgtoGg)</f>
        <v>7.515E-4</v>
      </c>
      <c r="BP29" s="28">
        <f>IF(('Activity data'!BP16*EF!$H29)*kgtoGg=0,"NO",('Activity data'!BP16*EF!$H29)*kgtoGg)</f>
        <v>7.515E-4</v>
      </c>
    </row>
    <row r="30" spans="1:68" x14ac:dyDescent="0.25">
      <c r="A30" t="str">
        <f t="shared" si="1"/>
        <v>3A Livestock</v>
      </c>
      <c r="B30" t="str">
        <f t="shared" si="8"/>
        <v>3A2 Manure management (CH4)</v>
      </c>
      <c r="C30" t="str">
        <f>EF!C30</f>
        <v>3A1h Swine</v>
      </c>
      <c r="D30" t="str">
        <f>EF!D30</f>
        <v>Commercial</v>
      </c>
      <c r="E30" t="str">
        <f t="shared" si="9"/>
        <v>Manure management Emissions</v>
      </c>
      <c r="F30" t="str">
        <f t="shared" si="6"/>
        <v>CH4</v>
      </c>
      <c r="G30" t="str">
        <f t="shared" si="7"/>
        <v>Gg CH4</v>
      </c>
      <c r="H30" s="28">
        <f>IF(('Activity data'!H17*EF!$H30)*kgtoGg=0,"NO",('Activity data'!H17*EF!$H30)*kgtoGg)</f>
        <v>21.422883239999997</v>
      </c>
      <c r="I30" s="28">
        <f>IF(('Activity data'!I17*EF!$H30)*kgtoGg=0,"NO",('Activity data'!I17*EF!$H30)*kgtoGg)</f>
        <v>23.404921649999999</v>
      </c>
      <c r="J30" s="28">
        <f>IF(('Activity data'!J17*EF!$H30)*kgtoGg=0,"NO",('Activity data'!J17*EF!$H30)*kgtoGg)</f>
        <v>23.250294539999995</v>
      </c>
      <c r="K30" s="28">
        <f>IF(('Activity data'!K17*EF!$H30)*kgtoGg=0,"NO",('Activity data'!K17*EF!$H30)*kgtoGg)</f>
        <v>23.236237529999997</v>
      </c>
      <c r="L30" s="28">
        <f>IF(('Activity data'!L17*EF!$H30)*kgtoGg=0,"NO",('Activity data'!L17*EF!$H30)*kgtoGg)</f>
        <v>22.069505699999993</v>
      </c>
      <c r="M30" s="28">
        <f>IF(('Activity data'!M17*EF!$H30)*kgtoGg=0,"NO",('Activity data'!M17*EF!$H30)*kgtoGg)</f>
        <v>22.280360849999997</v>
      </c>
      <c r="N30" s="28">
        <f>IF(('Activity data'!N17*EF!$H30)*kgtoGg=0,"NO",('Activity data'!N17*EF!$H30)*kgtoGg)</f>
        <v>23.995316069999994</v>
      </c>
      <c r="O30" s="28">
        <f>IF(('Activity data'!O17*EF!$H30)*kgtoGg=0,"NO",('Activity data'!O17*EF!$H30)*kgtoGg)</f>
        <v>23.882859989999996</v>
      </c>
      <c r="P30" s="28">
        <f>IF(('Activity data'!P17*EF!$H30)*kgtoGg=0,"NO",('Activity data'!P17*EF!$H30)*kgtoGg)</f>
        <v>24.402969359999993</v>
      </c>
      <c r="Q30" s="28">
        <f>IF(('Activity data'!Q17*EF!$H30)*kgtoGg=0,"NO",('Activity data'!Q17*EF!$H30)*kgtoGg)</f>
        <v>25.021477799999996</v>
      </c>
      <c r="R30" s="28">
        <f>IF(('Activity data'!R17*EF!$H30)*kgtoGg=0,"NO",('Activity data'!R17*EF!$H30)*kgtoGg)</f>
        <v>23.151895469999999</v>
      </c>
      <c r="S30" s="28">
        <f>IF(('Activity data'!S17*EF!$H30)*kgtoGg=0,"NO",('Activity data'!S17*EF!$H30)*kgtoGg)</f>
        <v>23.587662779999995</v>
      </c>
      <c r="T30" s="28">
        <f>IF(('Activity data'!T17*EF!$H30)*kgtoGg=0,"NO",('Activity data'!T17*EF!$H30)*kgtoGg)</f>
        <v>24.037487099999996</v>
      </c>
      <c r="U30" s="28">
        <f>IF(('Activity data'!U17*EF!$H30)*kgtoGg=0,"NO",('Activity data'!U17*EF!$H30)*kgtoGg)</f>
        <v>23.376807629999995</v>
      </c>
      <c r="V30" s="28">
        <f>IF(('Activity data'!V17*EF!$H30)*kgtoGg=0,"NO",('Activity data'!V17*EF!$H30)*kgtoGg)</f>
        <v>23.376807629999995</v>
      </c>
      <c r="W30" s="28">
        <f>IF(('Activity data'!W17*EF!$H30)*kgtoGg=0,"NO",('Activity data'!W17*EF!$H30)*kgtoGg)</f>
        <v>23.208123509999997</v>
      </c>
      <c r="X30" s="28">
        <f>IF(('Activity data'!X17*EF!$H30)*kgtoGg=0,"NO",('Activity data'!X17*EF!$H30)*kgtoGg)</f>
        <v>22.800470219999998</v>
      </c>
      <c r="Y30" s="28">
        <f>IF(('Activity data'!Y17*EF!$H30)*kgtoGg=0,"NO",('Activity data'!Y17*EF!$H30)*kgtoGg)</f>
        <v>23.208123509999997</v>
      </c>
      <c r="Z30" s="28">
        <f>IF(('Activity data'!Z17*EF!$H30)*kgtoGg=0,"NO",('Activity data'!Z17*EF!$H30)*kgtoGg)</f>
        <v>22.702071149999998</v>
      </c>
      <c r="AA30" s="28">
        <f>IF(('Activity data'!AA17*EF!$H30)*kgtoGg=0,"NO",('Activity data'!AA17*EF!$H30)*kgtoGg)</f>
        <v>22.673957129999998</v>
      </c>
      <c r="AB30" s="28">
        <f>IF(('Activity data'!AB17*EF!$H30)*kgtoGg=0,"NO",('Activity data'!AB17*EF!$H30)*kgtoGg)</f>
        <v>22.406873939999997</v>
      </c>
      <c r="AC30" s="28">
        <f>IF(('Activity data'!AC17*EF!$H30)*kgtoGg=0,"NO",('Activity data'!AC17*EF!$H30)*kgtoGg)</f>
        <v>22.266303839999996</v>
      </c>
      <c r="AD30" s="28">
        <f>IF(('Activity data'!AD17*EF!$H30)*kgtoGg=0,"NO",('Activity data'!AD17*EF!$H30)*kgtoGg)</f>
        <v>23.284885053392287</v>
      </c>
      <c r="AE30" s="28">
        <f>IF(('Activity data'!AE17*EF!$H30)*kgtoGg=0,"NO",('Activity data'!AE17*EF!$H30)*kgtoGg)</f>
        <v>23.283132296052383</v>
      </c>
      <c r="AF30" s="28">
        <f>IF(('Activity data'!AF17*EF!$H30)*kgtoGg=0,"NO",('Activity data'!AF17*EF!$H30)*kgtoGg)</f>
        <v>23.122263411725228</v>
      </c>
      <c r="AG30" s="28">
        <f>IF(('Activity data'!AG17*EF!$H30)*kgtoGg=0,"NO",('Activity data'!AG17*EF!$H30)*kgtoGg)</f>
        <v>22.849474807766398</v>
      </c>
      <c r="AH30" s="28">
        <f>IF(('Activity data'!AH17*EF!$H30)*kgtoGg=0,"NO",('Activity data'!AH17*EF!$H30)*kgtoGg)</f>
        <v>22.46250836706124</v>
      </c>
      <c r="AI30" s="28">
        <f>IF(('Activity data'!AI17*EF!$H30)*kgtoGg=0,"NO",('Activity data'!AI17*EF!$H30)*kgtoGg)</f>
        <v>22.252861683435682</v>
      </c>
      <c r="AJ30" s="28">
        <f>IF(('Activity data'!AJ17*EF!$H30)*kgtoGg=0,"NO",('Activity data'!AJ17*EF!$H30)*kgtoGg)</f>
        <v>22.020622821132225</v>
      </c>
      <c r="AK30" s="28">
        <f>IF(('Activity data'!AK17*EF!$H30)*kgtoGg=0,"NO",('Activity data'!AK17*EF!$H30)*kgtoGg)</f>
        <v>21.78692896175821</v>
      </c>
      <c r="AL30" s="28">
        <f>IF(('Activity data'!AL17*EF!$H30)*kgtoGg=0,"NO",('Activity data'!AL17*EF!$H30)*kgtoGg)</f>
        <v>19.148458868851609</v>
      </c>
      <c r="AM30" s="28">
        <f>IF(('Activity data'!AM17*EF!$H30)*kgtoGg=0,"NO",('Activity data'!AM17*EF!$H30)*kgtoGg)</f>
        <v>19.306841190155811</v>
      </c>
      <c r="AN30" s="28">
        <f>IF(('Activity data'!AN17*EF!$H30)*kgtoGg=0,"NO",('Activity data'!AN17*EF!$H30)*kgtoGg)</f>
        <v>19.43138951014452</v>
      </c>
      <c r="AO30" s="28">
        <f>IF(('Activity data'!AO17*EF!$H30)*kgtoGg=0,"NO",('Activity data'!AO17*EF!$H30)*kgtoGg)</f>
        <v>19.563862793778359</v>
      </c>
      <c r="AP30" s="28">
        <f>IF(('Activity data'!AP17*EF!$H30)*kgtoGg=0,"NO",('Activity data'!AP17*EF!$H30)*kgtoGg)</f>
        <v>19.732572332286942</v>
      </c>
      <c r="AQ30" s="28">
        <f>IF(('Activity data'!AQ17*EF!$H30)*kgtoGg=0,"NO",('Activity data'!AQ17*EF!$H30)*kgtoGg)</f>
        <v>19.955945136297942</v>
      </c>
      <c r="AR30" s="28">
        <f>IF(('Activity data'!AR17*EF!$H30)*kgtoGg=0,"NO",('Activity data'!AR17*EF!$H30)*kgtoGg)</f>
        <v>20.201144315304568</v>
      </c>
      <c r="AS30" s="28">
        <f>IF(('Activity data'!AS17*EF!$H30)*kgtoGg=0,"NO",('Activity data'!AS17*EF!$H30)*kgtoGg)</f>
        <v>20.477683219120408</v>
      </c>
      <c r="AT30" s="28">
        <f>IF(('Activity data'!AT17*EF!$H30)*kgtoGg=0,"NO",('Activity data'!AT17*EF!$H30)*kgtoGg)</f>
        <v>20.788396572706144</v>
      </c>
      <c r="AU30" s="28">
        <f>IF(('Activity data'!AU17*EF!$H30)*kgtoGg=0,"NO",('Activity data'!AU17*EF!$H30)*kgtoGg)</f>
        <v>21.172170353253904</v>
      </c>
      <c r="AV30" s="28">
        <f>IF(('Activity data'!AV17*EF!$H30)*kgtoGg=0,"NO",('Activity data'!AV17*EF!$H30)*kgtoGg)</f>
        <v>21.537145367686122</v>
      </c>
      <c r="AW30" s="28">
        <f>IF(('Activity data'!AW17*EF!$H30)*kgtoGg=0,"NO",('Activity data'!AW17*EF!$H30)*kgtoGg)</f>
        <v>22.016603848802724</v>
      </c>
      <c r="AX30" s="28">
        <f>IF(('Activity data'!AX17*EF!$H30)*kgtoGg=0,"NO",('Activity data'!AX17*EF!$H30)*kgtoGg)</f>
        <v>22.508860124952154</v>
      </c>
      <c r="AY30" s="28">
        <f>IF(('Activity data'!AY17*EF!$H30)*kgtoGg=0,"NO",('Activity data'!AY17*EF!$H30)*kgtoGg)</f>
        <v>23.009274131343151</v>
      </c>
      <c r="AZ30" s="28">
        <f>IF(('Activity data'!AZ17*EF!$H30)*kgtoGg=0,"NO",('Activity data'!AZ17*EF!$H30)*kgtoGg)</f>
        <v>23.513191198288283</v>
      </c>
      <c r="BA30" s="28">
        <f>IF(('Activity data'!BA17*EF!$H30)*kgtoGg=0,"NO",('Activity data'!BA17*EF!$H30)*kgtoGg)</f>
        <v>23.935924277557628</v>
      </c>
      <c r="BB30" s="28">
        <f>IF(('Activity data'!BB17*EF!$H30)*kgtoGg=0,"NO",('Activity data'!BB17*EF!$H30)*kgtoGg)</f>
        <v>24.381819911960349</v>
      </c>
      <c r="BC30" s="28">
        <f>IF(('Activity data'!BC17*EF!$H30)*kgtoGg=0,"NO",('Activity data'!BC17*EF!$H30)*kgtoGg)</f>
        <v>24.868505741801343</v>
      </c>
      <c r="BD30" s="28">
        <f>IF(('Activity data'!BD17*EF!$H30)*kgtoGg=0,"NO",('Activity data'!BD17*EF!$H30)*kgtoGg)</f>
        <v>25.377734248537241</v>
      </c>
      <c r="BE30" s="28">
        <f>IF(('Activity data'!BE17*EF!$H30)*kgtoGg=0,"NO",('Activity data'!BE17*EF!$H30)*kgtoGg)</f>
        <v>25.849480700777534</v>
      </c>
      <c r="BF30" s="28">
        <f>IF(('Activity data'!BF17*EF!$H30)*kgtoGg=0,"NO",('Activity data'!BF17*EF!$H30)*kgtoGg)</f>
        <v>26.316575776023669</v>
      </c>
      <c r="BG30" s="28">
        <f>IF(('Activity data'!BG17*EF!$H30)*kgtoGg=0,"NO",('Activity data'!BG17*EF!$H30)*kgtoGg)</f>
        <v>26.801479208570893</v>
      </c>
      <c r="BH30" s="28">
        <f>IF(('Activity data'!BH17*EF!$H30)*kgtoGg=0,"NO",('Activity data'!BH17*EF!$H30)*kgtoGg)</f>
        <v>27.310447386195385</v>
      </c>
      <c r="BI30" s="28">
        <f>IF(('Activity data'!BI17*EF!$H30)*kgtoGg=0,"NO",('Activity data'!BI17*EF!$H30)*kgtoGg)</f>
        <v>27.852356396356345</v>
      </c>
      <c r="BJ30" s="28">
        <f>IF(('Activity data'!BJ17*EF!$H30)*kgtoGg=0,"NO",('Activity data'!BJ17*EF!$H30)*kgtoGg)</f>
        <v>28.421429426610285</v>
      </c>
      <c r="BK30" s="28">
        <f>IF(('Activity data'!BK17*EF!$H30)*kgtoGg=0,"NO",('Activity data'!BK17*EF!$H30)*kgtoGg)</f>
        <v>29.037217766745552</v>
      </c>
      <c r="BL30" s="28">
        <f>IF(('Activity data'!BL17*EF!$H30)*kgtoGg=0,"NO",('Activity data'!BL17*EF!$H30)*kgtoGg)</f>
        <v>29.68932743700794</v>
      </c>
      <c r="BM30" s="28">
        <f>IF(('Activity data'!BM17*EF!$H30)*kgtoGg=0,"NO",('Activity data'!BM17*EF!$H30)*kgtoGg)</f>
        <v>30.363242622141367</v>
      </c>
      <c r="BN30" s="28">
        <f>IF(('Activity data'!BN17*EF!$H30)*kgtoGg=0,"NO",('Activity data'!BN17*EF!$H30)*kgtoGg)</f>
        <v>31.006298422300549</v>
      </c>
      <c r="BO30" s="28">
        <f>IF(('Activity data'!BO17*EF!$H30)*kgtoGg=0,"NO",('Activity data'!BO17*EF!$H30)*kgtoGg)</f>
        <v>31.673865686150403</v>
      </c>
      <c r="BP30" s="28">
        <f>IF(('Activity data'!BP17*EF!$H30)*kgtoGg=0,"NO",('Activity data'!BP17*EF!$H30)*kgtoGg)</f>
        <v>32.376756547498282</v>
      </c>
    </row>
    <row r="31" spans="1:68" x14ac:dyDescent="0.25">
      <c r="A31" t="str">
        <f t="shared" si="1"/>
        <v>3A Livestock</v>
      </c>
      <c r="B31" t="str">
        <f t="shared" si="8"/>
        <v>3A2 Manure management (CH4)</v>
      </c>
      <c r="C31" t="str">
        <f>EF!C31</f>
        <v>3A1h Swine</v>
      </c>
      <c r="D31" t="str">
        <f>EF!D31</f>
        <v>Subsistence</v>
      </c>
      <c r="E31" t="str">
        <f t="shared" si="9"/>
        <v>Manure management Emissions</v>
      </c>
      <c r="F31" t="str">
        <f t="shared" si="6"/>
        <v>CH4</v>
      </c>
      <c r="G31" t="str">
        <f t="shared" si="7"/>
        <v>Gg CH4</v>
      </c>
      <c r="H31" s="28">
        <f>IF(('Activity data'!H18*EF!$H31)*kgtoGg=0,"NO",('Activity data'!H18*EF!$H31)*kgtoGg)</f>
        <v>6.8678348124932898E-2</v>
      </c>
      <c r="I31" s="28">
        <f>IF(('Activity data'!I18*EF!$H31)*kgtoGg=0,"NO",('Activity data'!I18*EF!$H31)*kgtoGg)</f>
        <v>7.5032447262475918E-2</v>
      </c>
      <c r="J31" s="28">
        <f>IF(('Activity data'!J18*EF!$H31)*kgtoGg=0,"NO",('Activity data'!J18*EF!$H31)*kgtoGg)</f>
        <v>7.4536737400681771E-2</v>
      </c>
      <c r="K31" s="28">
        <f>IF(('Activity data'!K18*EF!$H31)*kgtoGg=0,"NO",('Activity data'!K18*EF!$H31)*kgtoGg)</f>
        <v>7.4491672867791403E-2</v>
      </c>
      <c r="L31" s="28">
        <f>IF(('Activity data'!L18*EF!$H31)*kgtoGg=0,"NO",('Activity data'!L18*EF!$H31)*kgtoGg)</f>
        <v>7.0751316637890194E-2</v>
      </c>
      <c r="M31" s="28">
        <f>IF(('Activity data'!M18*EF!$H31)*kgtoGg=0,"NO",('Activity data'!M18*EF!$H31)*kgtoGg)</f>
        <v>7.1427284631245841E-2</v>
      </c>
      <c r="N31" s="28">
        <f>IF(('Activity data'!N18*EF!$H31)*kgtoGg=0,"NO",('Activity data'!N18*EF!$H31)*kgtoGg)</f>
        <v>7.69251576438717E-2</v>
      </c>
      <c r="O31" s="28">
        <f>IF(('Activity data'!O18*EF!$H31)*kgtoGg=0,"NO",('Activity data'!O18*EF!$H31)*kgtoGg)</f>
        <v>7.6564641380748699E-2</v>
      </c>
      <c r="P31" s="28">
        <f>IF(('Activity data'!P18*EF!$H31)*kgtoGg=0,"NO",('Activity data'!P18*EF!$H31)*kgtoGg)</f>
        <v>7.8232029097692599E-2</v>
      </c>
      <c r="Q31" s="28">
        <f>IF(('Activity data'!Q18*EF!$H31)*kgtoGg=0,"NO",('Activity data'!Q18*EF!$H31)*kgtoGg)</f>
        <v>8.0214868544869131E-2</v>
      </c>
      <c r="R31" s="28">
        <f>IF(('Activity data'!R18*EF!$H31)*kgtoGg=0,"NO",('Activity data'!R18*EF!$H31)*kgtoGg)</f>
        <v>7.4221285670449139E-2</v>
      </c>
      <c r="S31" s="28">
        <f>IF(('Activity data'!S18*EF!$H31)*kgtoGg=0,"NO",('Activity data'!S18*EF!$H31)*kgtoGg)</f>
        <v>7.5618286190050801E-2</v>
      </c>
      <c r="T31" s="28">
        <f>IF(('Activity data'!T18*EF!$H31)*kgtoGg=0,"NO",('Activity data'!T18*EF!$H31)*kgtoGg)</f>
        <v>7.7060351242542832E-2</v>
      </c>
      <c r="U31" s="28">
        <f>IF(('Activity data'!U18*EF!$H31)*kgtoGg=0,"NO",('Activity data'!U18*EF!$H31)*kgtoGg)</f>
        <v>7.4942318196695168E-2</v>
      </c>
      <c r="V31" s="28">
        <f>IF(('Activity data'!V18*EF!$H31)*kgtoGg=0,"NO",('Activity data'!V18*EF!$H31)*kgtoGg)</f>
        <v>7.4942318196695168E-2</v>
      </c>
      <c r="W31" s="28">
        <f>IF(('Activity data'!W18*EF!$H31)*kgtoGg=0,"NO",('Activity data'!W18*EF!$H31)*kgtoGg)</f>
        <v>7.4401543802010653E-2</v>
      </c>
      <c r="X31" s="28">
        <f>IF(('Activity data'!X18*EF!$H31)*kgtoGg=0,"NO",('Activity data'!X18*EF!$H31)*kgtoGg)</f>
        <v>7.309467234818974E-2</v>
      </c>
      <c r="Y31" s="28">
        <f>IF(('Activity data'!Y18*EF!$H31)*kgtoGg=0,"NO",('Activity data'!Y18*EF!$H31)*kgtoGg)</f>
        <v>7.4401543802010653E-2</v>
      </c>
      <c r="Z31" s="28">
        <f>IF(('Activity data'!Z18*EF!$H31)*kgtoGg=0,"NO",('Activity data'!Z18*EF!$H31)*kgtoGg)</f>
        <v>7.2779220617957122E-2</v>
      </c>
      <c r="AA31" s="28">
        <f>IF(('Activity data'!AA18*EF!$H31)*kgtoGg=0,"NO",('Activity data'!AA18*EF!$H31)*kgtoGg)</f>
        <v>7.2689091552176358E-2</v>
      </c>
      <c r="AB31" s="28">
        <f>IF(('Activity data'!AB18*EF!$H31)*kgtoGg=0,"NO",('Activity data'!AB18*EF!$H31)*kgtoGg)</f>
        <v>7.1832865427259224E-2</v>
      </c>
      <c r="AC31" s="28">
        <f>IF(('Activity data'!AC18*EF!$H31)*kgtoGg=0,"NO",('Activity data'!AC18*EF!$H31)*kgtoGg)</f>
        <v>7.1382220098355459E-2</v>
      </c>
      <c r="AD31" s="28">
        <f>IF(('Activity data'!AD18*EF!$H31)*kgtoGg=0,"NO",('Activity data'!AD18*EF!$H31)*kgtoGg)</f>
        <v>7.7951536104429009E-2</v>
      </c>
      <c r="AE31" s="28">
        <f>IF(('Activity data'!AE18*EF!$H31)*kgtoGg=0,"NO",('Activity data'!AE18*EF!$H31)*kgtoGg)</f>
        <v>7.7945668344002003E-2</v>
      </c>
      <c r="AF31" s="28">
        <f>IF(('Activity data'!AF18*EF!$H31)*kgtoGg=0,"NO",('Activity data'!AF18*EF!$H31)*kgtoGg)</f>
        <v>7.7407122561364325E-2</v>
      </c>
      <c r="AG31" s="28">
        <f>IF(('Activity data'!AG18*EF!$H31)*kgtoGg=0,"NO",('Activity data'!AG18*EF!$H31)*kgtoGg)</f>
        <v>7.6493899641791652E-2</v>
      </c>
      <c r="AH31" s="28">
        <f>IF(('Activity data'!AH18*EF!$H31)*kgtoGg=0,"NO",('Activity data'!AH18*EF!$H31)*kgtoGg)</f>
        <v>7.5198440016173429E-2</v>
      </c>
      <c r="AI31" s="28">
        <f>IF(('Activity data'!AI18*EF!$H31)*kgtoGg=0,"NO",('Activity data'!AI18*EF!$H31)*kgtoGg)</f>
        <v>7.4496599273118927E-2</v>
      </c>
      <c r="AJ31" s="28">
        <f>IF(('Activity data'!AJ18*EF!$H31)*kgtoGg=0,"NO",('Activity data'!AJ18*EF!$H31)*kgtoGg)</f>
        <v>7.3719125988703366E-2</v>
      </c>
      <c r="AK31" s="28">
        <f>IF(('Activity data'!AK18*EF!$H31)*kgtoGg=0,"NO",('Activity data'!AK18*EF!$H31)*kgtoGg)</f>
        <v>7.2936781765203643E-2</v>
      </c>
      <c r="AL31" s="28">
        <f>IF(('Activity data'!AL18*EF!$H31)*kgtoGg=0,"NO",('Activity data'!AL18*EF!$H31)*kgtoGg)</f>
        <v>6.4103893123663977E-2</v>
      </c>
      <c r="AM31" s="28">
        <f>IF(('Activity data'!AM18*EF!$H31)*kgtoGg=0,"NO",('Activity data'!AM18*EF!$H31)*kgtoGg)</f>
        <v>6.4634114561697209E-2</v>
      </c>
      <c r="AN31" s="28">
        <f>IF(('Activity data'!AN18*EF!$H31)*kgtoGg=0,"NO",('Activity data'!AN18*EF!$H31)*kgtoGg)</f>
        <v>6.505106885801791E-2</v>
      </c>
      <c r="AO31" s="28">
        <f>IF(('Activity data'!AO18*EF!$H31)*kgtoGg=0,"NO",('Activity data'!AO18*EF!$H31)*kgtoGg)</f>
        <v>6.5494553802366018E-2</v>
      </c>
      <c r="AP31" s="28">
        <f>IF(('Activity data'!AP18*EF!$H31)*kgtoGg=0,"NO",('Activity data'!AP18*EF!$H31)*kgtoGg)</f>
        <v>6.6059347987609249E-2</v>
      </c>
      <c r="AQ31" s="28">
        <f>IF(('Activity data'!AQ18*EF!$H31)*kgtoGg=0,"NO",('Activity data'!AQ18*EF!$H31)*kgtoGg)</f>
        <v>6.6807140092087533E-2</v>
      </c>
      <c r="AR31" s="28">
        <f>IF(('Activity data'!AR18*EF!$H31)*kgtoGg=0,"NO",('Activity data'!AR18*EF!$H31)*kgtoGg)</f>
        <v>6.7628001033049182E-2</v>
      </c>
      <c r="AS31" s="28">
        <f>IF(('Activity data'!AS18*EF!$H31)*kgtoGg=0,"NO",('Activity data'!AS18*EF!$H31)*kgtoGg)</f>
        <v>6.8553778948450106E-2</v>
      </c>
      <c r="AT31" s="28">
        <f>IF(('Activity data'!AT18*EF!$H31)*kgtoGg=0,"NO",('Activity data'!AT18*EF!$H31)*kgtoGg)</f>
        <v>6.9593963735475189E-2</v>
      </c>
      <c r="AU31" s="28">
        <f>IF(('Activity data'!AU18*EF!$H31)*kgtoGg=0,"NO",('Activity data'!AU18*EF!$H31)*kgtoGg)</f>
        <v>7.0878735193084075E-2</v>
      </c>
      <c r="AV31" s="28">
        <f>IF(('Activity data'!AV18*EF!$H31)*kgtoGg=0,"NO",('Activity data'!AV18*EF!$H31)*kgtoGg)</f>
        <v>7.2100573434908791E-2</v>
      </c>
      <c r="AW31" s="28">
        <f>IF(('Activity data'!AW18*EF!$H31)*kgtoGg=0,"NO",('Activity data'!AW18*EF!$H31)*kgtoGg)</f>
        <v>7.3705671549657306E-2</v>
      </c>
      <c r="AX31" s="28">
        <f>IF(('Activity data'!AX18*EF!$H31)*kgtoGg=0,"NO",('Activity data'!AX18*EF!$H31)*kgtoGg)</f>
        <v>7.5353613242085976E-2</v>
      </c>
      <c r="AY31" s="28">
        <f>IF(('Activity data'!AY18*EF!$H31)*kgtoGg=0,"NO",('Activity data'!AY18*EF!$H31)*kgtoGg)</f>
        <v>7.7028864822538429E-2</v>
      </c>
      <c r="AZ31" s="28">
        <f>IF(('Activity data'!AZ18*EF!$H31)*kgtoGg=0,"NO",('Activity data'!AZ18*EF!$H31)*kgtoGg)</f>
        <v>7.8715843708091857E-2</v>
      </c>
      <c r="BA31" s="28">
        <f>IF(('Activity data'!BA18*EF!$H31)*kgtoGg=0,"NO",('Activity data'!BA18*EF!$H31)*kgtoGg)</f>
        <v>8.0131040425431913E-2</v>
      </c>
      <c r="BB31" s="28">
        <f>IF(('Activity data'!BB18*EF!$H31)*kgtoGg=0,"NO",('Activity data'!BB18*EF!$H31)*kgtoGg)</f>
        <v>8.162377915118682E-2</v>
      </c>
      <c r="BC31" s="28">
        <f>IF(('Activity data'!BC18*EF!$H31)*kgtoGg=0,"NO",('Activity data'!BC18*EF!$H31)*kgtoGg)</f>
        <v>8.3253072486729307E-2</v>
      </c>
      <c r="BD31" s="28">
        <f>IF(('Activity data'!BD18*EF!$H31)*kgtoGg=0,"NO",('Activity data'!BD18*EF!$H31)*kgtoGg)</f>
        <v>8.4957832644969589E-2</v>
      </c>
      <c r="BE31" s="28">
        <f>IF(('Activity data'!BE18*EF!$H31)*kgtoGg=0,"NO",('Activity data'!BE18*EF!$H31)*kgtoGg)</f>
        <v>8.6537112960059129E-2</v>
      </c>
      <c r="BF31" s="28">
        <f>IF(('Activity data'!BF18*EF!$H31)*kgtoGg=0,"NO",('Activity data'!BF18*EF!$H31)*kgtoGg)</f>
        <v>8.8100821715277819E-2</v>
      </c>
      <c r="BG31" s="28">
        <f>IF(('Activity data'!BG18*EF!$H31)*kgtoGg=0,"NO",('Activity data'!BG18*EF!$H31)*kgtoGg)</f>
        <v>8.9724148063795042E-2</v>
      </c>
      <c r="BH31" s="28">
        <f>IF(('Activity data'!BH18*EF!$H31)*kgtoGg=0,"NO",('Activity data'!BH18*EF!$H31)*kgtoGg)</f>
        <v>9.1428036710147667E-2</v>
      </c>
      <c r="BI31" s="28">
        <f>IF(('Activity data'!BI18*EF!$H31)*kgtoGg=0,"NO",('Activity data'!BI18*EF!$H31)*kgtoGg)</f>
        <v>9.3242202409227343E-2</v>
      </c>
      <c r="BJ31" s="28">
        <f>IF(('Activity data'!BJ18*EF!$H31)*kgtoGg=0,"NO",('Activity data'!BJ18*EF!$H31)*kgtoGg)</f>
        <v>9.5147305945799621E-2</v>
      </c>
      <c r="BK31" s="28">
        <f>IF(('Activity data'!BK18*EF!$H31)*kgtoGg=0,"NO",('Activity data'!BK18*EF!$H31)*kgtoGg)</f>
        <v>9.7208799782624353E-2</v>
      </c>
      <c r="BL31" s="28">
        <f>IF(('Activity data'!BL18*EF!$H31)*kgtoGg=0,"NO",('Activity data'!BL18*EF!$H31)*kgtoGg)</f>
        <v>9.9391887669420712E-2</v>
      </c>
      <c r="BM31" s="28">
        <f>IF(('Activity data'!BM18*EF!$H31)*kgtoGg=0,"NO",('Activity data'!BM18*EF!$H31)*kgtoGg)</f>
        <v>0.10164797455861056</v>
      </c>
      <c r="BN31" s="28">
        <f>IF(('Activity data'!BN18*EF!$H31)*kgtoGg=0,"NO",('Activity data'!BN18*EF!$H31)*kgtoGg)</f>
        <v>0.10380075252201169</v>
      </c>
      <c r="BO31" s="28">
        <f>IF(('Activity data'!BO18*EF!$H31)*kgtoGg=0,"NO",('Activity data'!BO18*EF!$H31)*kgtoGg)</f>
        <v>0.10603558827708646</v>
      </c>
      <c r="BP31" s="28">
        <f>IF(('Activity data'!BP18*EF!$H31)*kgtoGg=0,"NO",('Activity data'!BP18*EF!$H31)*kgtoGg)</f>
        <v>0.10838867794148441</v>
      </c>
    </row>
    <row r="32" spans="1:68" x14ac:dyDescent="0.25">
      <c r="A32" t="str">
        <f t="shared" si="1"/>
        <v>3A Livestock</v>
      </c>
      <c r="B32" t="str">
        <f t="shared" si="8"/>
        <v>3A2 Manure management (CH4)</v>
      </c>
      <c r="C32" t="str">
        <f>EF!C32</f>
        <v>3A2i Poultry</v>
      </c>
      <c r="D32" t="str">
        <f>EF!D32</f>
        <v>Commercial layers</v>
      </c>
      <c r="E32" t="str">
        <f t="shared" si="9"/>
        <v>Manure management Emissions</v>
      </c>
      <c r="F32" t="str">
        <f t="shared" si="6"/>
        <v>CH4</v>
      </c>
      <c r="G32" t="str">
        <f t="shared" si="7"/>
        <v>Gg CH4</v>
      </c>
      <c r="H32" s="28">
        <f>IF(('Activity data'!H19*EF!$H32)*kgtoGg=0,"NO",('Activity data'!H19*EF!$H32)*kgtoGg)</f>
        <v>0.34412636088479531</v>
      </c>
      <c r="I32" s="28">
        <f>IF(('Activity data'!I19*EF!$H32)*kgtoGg=0,"NO",('Activity data'!I19*EF!$H32)*kgtoGg)</f>
        <v>0.33431360408971139</v>
      </c>
      <c r="J32" s="28">
        <f>IF(('Activity data'!J19*EF!$H32)*kgtoGg=0,"NO",('Activity data'!J19*EF!$H32)*kgtoGg)</f>
        <v>0.31707319838740716</v>
      </c>
      <c r="K32" s="28">
        <f>IF(('Activity data'!K19*EF!$H32)*kgtoGg=0,"NO",('Activity data'!K19*EF!$H32)*kgtoGg)</f>
        <v>0.31208778044270324</v>
      </c>
      <c r="L32" s="28">
        <f>IF(('Activity data'!L19*EF!$H32)*kgtoGg=0,"NO",('Activity data'!L19*EF!$H32)*kgtoGg)</f>
        <v>0.29851308566472284</v>
      </c>
      <c r="M32" s="28">
        <f>IF(('Activity data'!M19*EF!$H32)*kgtoGg=0,"NO",('Activity data'!M19*EF!$H32)*kgtoGg)</f>
        <v>0.32571493051505118</v>
      </c>
      <c r="N32" s="28">
        <f>IF(('Activity data'!N19*EF!$H32)*kgtoGg=0,"NO",('Activity data'!N19*EF!$H32)*kgtoGg)</f>
        <v>0.34405437172586711</v>
      </c>
      <c r="O32" s="28">
        <f>IF(('Activity data'!O19*EF!$H32)*kgtoGg=0,"NO",('Activity data'!O19*EF!$H32)*kgtoGg)</f>
        <v>0.34518574950517145</v>
      </c>
      <c r="P32" s="28">
        <f>IF(('Activity data'!P19*EF!$H32)*kgtoGg=0,"NO",('Activity data'!P19*EF!$H32)*kgtoGg)</f>
        <v>0.38865002667416459</v>
      </c>
      <c r="Q32" s="28">
        <f>IF(('Activity data'!Q19*EF!$H32)*kgtoGg=0,"NO",('Activity data'!Q19*EF!$H32)*kgtoGg)</f>
        <v>0.41667182927837593</v>
      </c>
      <c r="R32" s="28">
        <f>IF(('Activity data'!R19*EF!$H32)*kgtoGg=0,"NO",('Activity data'!R19*EF!$H32)*kgtoGg)</f>
        <v>0.40784322178977589</v>
      </c>
      <c r="S32" s="28">
        <f>IF(('Activity data'!S19*EF!$H32)*kgtoGg=0,"NO",('Activity data'!S19*EF!$H32)*kgtoGg)</f>
        <v>0.41872302408484074</v>
      </c>
      <c r="T32" s="28">
        <f>IF(('Activity data'!T19*EF!$H32)*kgtoGg=0,"NO",('Activity data'!T19*EF!$H32)*kgtoGg)</f>
        <v>0.41543664927468582</v>
      </c>
      <c r="U32" s="28">
        <f>IF(('Activity data'!U19*EF!$H32)*kgtoGg=0,"NO",('Activity data'!U19*EF!$H32)*kgtoGg)</f>
        <v>0.39885137894995365</v>
      </c>
      <c r="V32" s="28">
        <f>IF(('Activity data'!V19*EF!$H32)*kgtoGg=0,"NO",('Activity data'!V19*EF!$H32)*kgtoGg)</f>
        <v>0.41331414342789019</v>
      </c>
      <c r="W32" s="28">
        <f>IF(('Activity data'!W19*EF!$H32)*kgtoGg=0,"NO",('Activity data'!W19*EF!$H32)*kgtoGg)</f>
        <v>0.43823720309168573</v>
      </c>
      <c r="X32" s="28">
        <f>IF(('Activity data'!X19*EF!$H32)*kgtoGg=0,"NO",('Activity data'!X19*EF!$H32)*kgtoGg)</f>
        <v>0.48364625743591194</v>
      </c>
      <c r="Y32" s="28">
        <f>IF(('Activity data'!Y19*EF!$H32)*kgtoGg=0,"NO",('Activity data'!Y19*EF!$H32)*kgtoGg)</f>
        <v>0.53523791894516948</v>
      </c>
      <c r="Z32" s="28">
        <f>IF(('Activity data'!Z19*EF!$H32)*kgtoGg=0,"NO",('Activity data'!Z19*EF!$H32)*kgtoGg)</f>
        <v>0.54228693678826778</v>
      </c>
      <c r="AA32" s="28">
        <f>IF(('Activity data'!AA19*EF!$H32)*kgtoGg=0,"NO",('Activity data'!AA19*EF!$H32)*kgtoGg)</f>
        <v>0.52229475326298369</v>
      </c>
      <c r="AB32" s="28">
        <f>IF(('Activity data'!AB19*EF!$H32)*kgtoGg=0,"NO",('Activity data'!AB19*EF!$H32)*kgtoGg)</f>
        <v>0.5426399385673164</v>
      </c>
      <c r="AC32" s="28">
        <f>IF(('Activity data'!AC19*EF!$H32)*kgtoGg=0,"NO",('Activity data'!AC19*EF!$H32)*kgtoGg)</f>
        <v>0.56768674314562217</v>
      </c>
      <c r="AD32" s="28">
        <f>IF(('Activity data'!AD19*EF!$H32)*kgtoGg=0,"NO",('Activity data'!AD19*EF!$H32)*kgtoGg)</f>
        <v>0.55591746061324565</v>
      </c>
      <c r="AE32" s="28">
        <f>IF(('Activity data'!AE19*EF!$H32)*kgtoGg=0,"NO",('Activity data'!AE19*EF!$H32)*kgtoGg)</f>
        <v>0.5689078671811153</v>
      </c>
      <c r="AF32" s="28">
        <f>IF(('Activity data'!AF19*EF!$H32)*kgtoGg=0,"NO",('Activity data'!AF19*EF!$H32)*kgtoGg)</f>
        <v>0.57977664398544015</v>
      </c>
      <c r="AG32" s="28">
        <f>IF(('Activity data'!AG19*EF!$H32)*kgtoGg=0,"NO",('Activity data'!AG19*EF!$H32)*kgtoGg)</f>
        <v>0.58904150918473941</v>
      </c>
      <c r="AH32" s="28">
        <f>IF(('Activity data'!AH19*EF!$H32)*kgtoGg=0,"NO",('Activity data'!AH19*EF!$H32)*kgtoGg)</f>
        <v>0.59656443185337982</v>
      </c>
      <c r="AI32" s="28">
        <f>IF(('Activity data'!AI19*EF!$H32)*kgtoGg=0,"NO",('Activity data'!AI19*EF!$H32)*kgtoGg)</f>
        <v>0.60662542712008449</v>
      </c>
      <c r="AJ32" s="28">
        <f>IF(('Activity data'!AJ19*EF!$H32)*kgtoGg=0,"NO",('Activity data'!AJ19*EF!$H32)*kgtoGg)</f>
        <v>0.61624220448684308</v>
      </c>
      <c r="AK32" s="28">
        <f>IF(('Activity data'!AK19*EF!$H32)*kgtoGg=0,"NO",('Activity data'!AK19*EF!$H32)*kgtoGg)</f>
        <v>0.62574774739483752</v>
      </c>
      <c r="AL32" s="28">
        <f>IF(('Activity data'!AL19*EF!$H32)*kgtoGg=0,"NO",('Activity data'!AL19*EF!$H32)*kgtoGg)</f>
        <v>0.59625511119981567</v>
      </c>
      <c r="AM32" s="28">
        <f>IF(('Activity data'!AM19*EF!$H32)*kgtoGg=0,"NO",('Activity data'!AM19*EF!$H32)*kgtoGg)</f>
        <v>0.60973374165535643</v>
      </c>
      <c r="AN32" s="28">
        <f>IF(('Activity data'!AN19*EF!$H32)*kgtoGg=0,"NO",('Activity data'!AN19*EF!$H32)*kgtoGg)</f>
        <v>0.62282961299924444</v>
      </c>
      <c r="AO32" s="28">
        <f>IF(('Activity data'!AO19*EF!$H32)*kgtoGg=0,"NO",('Activity data'!AO19*EF!$H32)*kgtoGg)</f>
        <v>0.63623503123245728</v>
      </c>
      <c r="AP32" s="28">
        <f>IF(('Activity data'!AP19*EF!$H32)*kgtoGg=0,"NO",('Activity data'!AP19*EF!$H32)*kgtoGg)</f>
        <v>0.65046763442063993</v>
      </c>
      <c r="AQ32" s="28">
        <f>IF(('Activity data'!AQ19*EF!$H32)*kgtoGg=0,"NO",('Activity data'!AQ19*EF!$H32)*kgtoGg)</f>
        <v>0.66590989151580071</v>
      </c>
      <c r="AR32" s="28">
        <f>IF(('Activity data'!AR19*EF!$H32)*kgtoGg=0,"NO",('Activity data'!AR19*EF!$H32)*kgtoGg)</f>
        <v>0.68147176326326042</v>
      </c>
      <c r="AS32" s="28">
        <f>IF(('Activity data'!AS19*EF!$H32)*kgtoGg=0,"NO",('Activity data'!AS19*EF!$H32)*kgtoGg)</f>
        <v>0.69790870195090549</v>
      </c>
      <c r="AT32" s="28">
        <f>IF(('Activity data'!AT19*EF!$H32)*kgtoGg=0,"NO",('Activity data'!AT19*EF!$H32)*kgtoGg)</f>
        <v>0.71532037628382217</v>
      </c>
      <c r="AU32" s="28">
        <f>IF(('Activity data'!AU19*EF!$H32)*kgtoGg=0,"NO",('Activity data'!AU19*EF!$H32)*kgtoGg)</f>
        <v>0.73452064191474331</v>
      </c>
      <c r="AV32" s="28">
        <f>IF(('Activity data'!AV19*EF!$H32)*kgtoGg=0,"NO",('Activity data'!AV19*EF!$H32)*kgtoGg)</f>
        <v>0.75376335491211732</v>
      </c>
      <c r="AW32" s="28">
        <f>IF(('Activity data'!AW19*EF!$H32)*kgtoGg=0,"NO",('Activity data'!AW19*EF!$H32)*kgtoGg)</f>
        <v>0.77530606928921375</v>
      </c>
      <c r="AX32" s="28">
        <f>IF(('Activity data'!AX19*EF!$H32)*kgtoGg=0,"NO",('Activity data'!AX19*EF!$H32)*kgtoGg)</f>
        <v>0.79762609694437192</v>
      </c>
      <c r="AY32" s="28">
        <f>IF(('Activity data'!AY19*EF!$H32)*kgtoGg=0,"NO",('Activity data'!AY19*EF!$H32)*kgtoGg)</f>
        <v>0.82065243574275204</v>
      </c>
      <c r="AZ32" s="28">
        <f>IF(('Activity data'!AZ19*EF!$H32)*kgtoGg=0,"NO",('Activity data'!AZ19*EF!$H32)*kgtoGg)</f>
        <v>0.84430679526593588</v>
      </c>
      <c r="BA32" s="28">
        <f>IF(('Activity data'!BA19*EF!$H32)*kgtoGg=0,"NO",('Activity data'!BA19*EF!$H32)*kgtoGg)</f>
        <v>0.86673181322408066</v>
      </c>
      <c r="BB32" s="28">
        <f>IF(('Activity data'!BB19*EF!$H32)*kgtoGg=0,"NO",('Activity data'!BB19*EF!$H32)*kgtoGg)</f>
        <v>0.88974966822134804</v>
      </c>
      <c r="BC32" s="28">
        <f>IF(('Activity data'!BC19*EF!$H32)*kgtoGg=0,"NO",('Activity data'!BC19*EF!$H32)*kgtoGg)</f>
        <v>0.91424389701729647</v>
      </c>
      <c r="BD32" s="28">
        <f>IF(('Activity data'!BD19*EF!$H32)*kgtoGg=0,"NO",('Activity data'!BD19*EF!$H32)*kgtoGg)</f>
        <v>0.93985430363235545</v>
      </c>
      <c r="BE32" s="28">
        <f>IF(('Activity data'!BE19*EF!$H32)*kgtoGg=0,"NO",('Activity data'!BE19*EF!$H32)*kgtoGg)</f>
        <v>0.96519194578778089</v>
      </c>
      <c r="BF32" s="28">
        <f>IF(('Activity data'!BF19*EF!$H32)*kgtoGg=0,"NO",('Activity data'!BF19*EF!$H32)*kgtoGg)</f>
        <v>0.99102109544513628</v>
      </c>
      <c r="BG32" s="28">
        <f>IF(('Activity data'!BG19*EF!$H32)*kgtoGg=0,"NO",('Activity data'!BG19*EF!$H32)*kgtoGg)</f>
        <v>1.0174887904845069</v>
      </c>
      <c r="BH32" s="28">
        <f>IF(('Activity data'!BH19*EF!$H32)*kgtoGg=0,"NO",('Activity data'!BH19*EF!$H32)*kgtoGg)</f>
        <v>1.0452082355561887</v>
      </c>
      <c r="BI32" s="28">
        <f>IF(('Activity data'!BI19*EF!$H32)*kgtoGg=0,"NO",('Activity data'!BI19*EF!$H32)*kgtoGg)</f>
        <v>1.0744594458684589</v>
      </c>
      <c r="BJ32" s="28">
        <f>IF(('Activity data'!BJ19*EF!$H32)*kgtoGg=0,"NO",('Activity data'!BJ19*EF!$H32)*kgtoGg)</f>
        <v>1.1051569986855045</v>
      </c>
      <c r="BK32" s="28">
        <f>IF(('Activity data'!BK19*EF!$H32)*kgtoGg=0,"NO",('Activity data'!BK19*EF!$H32)*kgtoGg)</f>
        <v>1.1378829999876208</v>
      </c>
      <c r="BL32" s="28">
        <f>IF(('Activity data'!BL19*EF!$H32)*kgtoGg=0,"NO",('Activity data'!BL19*EF!$H32)*kgtoGg)</f>
        <v>1.1720146175335346</v>
      </c>
      <c r="BM32" s="28">
        <f>IF(('Activity data'!BM19*EF!$H32)*kgtoGg=0,"NO",('Activity data'!BM19*EF!$H32)*kgtoGg)</f>
        <v>1.2076543773382971</v>
      </c>
      <c r="BN32" s="28">
        <f>IF(('Activity data'!BN19*EF!$H32)*kgtoGg=0,"NO",('Activity data'!BN19*EF!$H32)*kgtoGg)</f>
        <v>1.2433749673877994</v>
      </c>
      <c r="BO32" s="28">
        <f>IF(('Activity data'!BO19*EF!$H32)*kgtoGg=0,"NO",('Activity data'!BO19*EF!$H32)*kgtoGg)</f>
        <v>1.2807469640914284</v>
      </c>
      <c r="BP32" s="28">
        <f>IF(('Activity data'!BP19*EF!$H32)*kgtoGg=0,"NO",('Activity data'!BP19*EF!$H32)*kgtoGg)</f>
        <v>1.3201534553963032</v>
      </c>
    </row>
    <row r="33" spans="1:68" x14ac:dyDescent="0.25">
      <c r="A33" t="str">
        <f t="shared" si="1"/>
        <v>3A Livestock</v>
      </c>
      <c r="B33" t="str">
        <f t="shared" si="8"/>
        <v>3A2 Manure management (CH4)</v>
      </c>
      <c r="C33" t="str">
        <f>EF!C33</f>
        <v>3A2i Poultry</v>
      </c>
      <c r="D33" t="str">
        <f>EF!D33</f>
        <v>Commercial broilers</v>
      </c>
      <c r="E33" t="str">
        <f t="shared" si="9"/>
        <v>Manure management Emissions</v>
      </c>
      <c r="F33" t="str">
        <f t="shared" si="6"/>
        <v>CH4</v>
      </c>
      <c r="G33" t="str">
        <f t="shared" si="7"/>
        <v>Gg CH4</v>
      </c>
      <c r="H33" s="28">
        <f>IF(('Activity data'!H20*EF!$H33)*kgtoGg=0,"NO",('Activity data'!H20*EF!$H33)*kgtoGg)</f>
        <v>0.94715547095572861</v>
      </c>
      <c r="I33" s="28">
        <f>IF(('Activity data'!I20*EF!$H33)*kgtoGg=0,"NO",('Activity data'!I20*EF!$H33)*kgtoGg)</f>
        <v>0.89032614384752706</v>
      </c>
      <c r="J33" s="28">
        <f>IF(('Activity data'!J20*EF!$H33)*kgtoGg=0,"NO",('Activity data'!J20*EF!$H33)*kgtoGg)</f>
        <v>0.84142189535323741</v>
      </c>
      <c r="K33" s="28">
        <f>IF(('Activity data'!K20*EF!$H33)*kgtoGg=0,"NO",('Activity data'!K20*EF!$H33)*kgtoGg)</f>
        <v>0.94630052317004854</v>
      </c>
      <c r="L33" s="28">
        <f>IF(('Activity data'!L20*EF!$H33)*kgtoGg=0,"NO",('Activity data'!L20*EF!$H33)*kgtoGg)</f>
        <v>0.93742541753662223</v>
      </c>
      <c r="M33" s="28">
        <f>IF(('Activity data'!M20*EF!$H33)*kgtoGg=0,"NO",('Activity data'!M20*EF!$H33)*kgtoGg)</f>
        <v>1.0730204292114462</v>
      </c>
      <c r="N33" s="28">
        <f>IF(('Activity data'!N20*EF!$H33)*kgtoGg=0,"NO",('Activity data'!N20*EF!$H33)*kgtoGg)</f>
        <v>1.247646180709717</v>
      </c>
      <c r="O33" s="28">
        <f>IF(('Activity data'!O20*EF!$H33)*kgtoGg=0,"NO",('Activity data'!O20*EF!$H33)*kgtoGg)</f>
        <v>1.2699611966563922</v>
      </c>
      <c r="P33" s="28">
        <f>IF(('Activity data'!P20*EF!$H33)*kgtoGg=0,"NO",('Activity data'!P20*EF!$H33)*kgtoGg)</f>
        <v>1.3915382753930494</v>
      </c>
      <c r="Q33" s="28">
        <f>IF(('Activity data'!Q20*EF!$H33)*kgtoGg=0,"NO",('Activity data'!Q20*EF!$H33)*kgtoGg)</f>
        <v>1.452750350288103</v>
      </c>
      <c r="R33" s="28">
        <f>IF(('Activity data'!R20*EF!$H33)*kgtoGg=0,"NO",('Activity data'!R20*EF!$H33)*kgtoGg)</f>
        <v>1.5630523253351984</v>
      </c>
      <c r="S33" s="28">
        <f>IF(('Activity data'!S20*EF!$H33)*kgtoGg=0,"NO",('Activity data'!S20*EF!$H33)*kgtoGg)</f>
        <v>1.5092912592701446</v>
      </c>
      <c r="T33" s="28">
        <f>IF(('Activity data'!T20*EF!$H33)*kgtoGg=0,"NO",('Activity data'!T20*EF!$H33)*kgtoGg)</f>
        <v>1.6727842751343183</v>
      </c>
      <c r="U33" s="28">
        <f>IF(('Activity data'!U20*EF!$H33)*kgtoGg=0,"NO",('Activity data'!U20*EF!$H33)*kgtoGg)</f>
        <v>1.5910703727417843</v>
      </c>
      <c r="V33" s="28">
        <f>IF(('Activity data'!V20*EF!$H33)*kgtoGg=0,"NO",('Activity data'!V20*EF!$H33)*kgtoGg)</f>
        <v>1.6294801995139723</v>
      </c>
      <c r="W33" s="28">
        <f>IF(('Activity data'!W20*EF!$H33)*kgtoGg=0,"NO",('Activity data'!W20*EF!$H33)*kgtoGg)</f>
        <v>1.8029786139907802</v>
      </c>
      <c r="X33" s="28">
        <f>IF(('Activity data'!X20*EF!$H33)*kgtoGg=0,"NO",('Activity data'!X20*EF!$H33)*kgtoGg)</f>
        <v>1.9284541402191151</v>
      </c>
      <c r="Y33" s="28">
        <f>IF(('Activity data'!Y20*EF!$H33)*kgtoGg=0,"NO",('Activity data'!Y20*EF!$H33)*kgtoGg)</f>
        <v>2.0176916356111869</v>
      </c>
      <c r="Z33" s="28">
        <f>IF(('Activity data'!Z20*EF!$H33)*kgtoGg=0,"NO",('Activity data'!Z20*EF!$H33)*kgtoGg)</f>
        <v>2.1482937300650229</v>
      </c>
      <c r="AA33" s="28">
        <f>IF(('Activity data'!AA20*EF!$H33)*kgtoGg=0,"NO",('Activity data'!AA20*EF!$H33)*kgtoGg)</f>
        <v>2.0271503211350299</v>
      </c>
      <c r="AB33" s="28">
        <f>IF(('Activity data'!AB20*EF!$H33)*kgtoGg=0,"NO",('Activity data'!AB20*EF!$H33)*kgtoGg)</f>
        <v>2.078134768114972</v>
      </c>
      <c r="AC33" s="28">
        <f>IF(('Activity data'!AC20*EF!$H33)*kgtoGg=0,"NO",('Activity data'!AC20*EF!$H33)*kgtoGg)</f>
        <v>2.1493361757027292</v>
      </c>
      <c r="AD33" s="28">
        <f>IF(('Activity data'!AD20*EF!$H33)*kgtoGg=0,"NO",('Activity data'!AD20*EF!$H33)*kgtoGg)</f>
        <v>2.2111799206312979</v>
      </c>
      <c r="AE33" s="28">
        <f>IF(('Activity data'!AE20*EF!$H33)*kgtoGg=0,"NO",('Activity data'!AE20*EF!$H33)*kgtoGg)</f>
        <v>2.2578228533599511</v>
      </c>
      <c r="AF33" s="28">
        <f>IF(('Activity data'!AF20*EF!$H33)*kgtoGg=0,"NO",('Activity data'!AF20*EF!$H33)*kgtoGg)</f>
        <v>2.2804883240872194</v>
      </c>
      <c r="AG33" s="28">
        <f>IF(('Activity data'!AG20*EF!$H33)*kgtoGg=0,"NO",('Activity data'!AG20*EF!$H33)*kgtoGg)</f>
        <v>2.2851426351479072</v>
      </c>
      <c r="AH33" s="28">
        <f>IF(('Activity data'!AH20*EF!$H33)*kgtoGg=0,"NO",('Activity data'!AH20*EF!$H33)*kgtoGg)</f>
        <v>2.2708791715999803</v>
      </c>
      <c r="AI33" s="28">
        <f>IF(('Activity data'!AI20*EF!$H33)*kgtoGg=0,"NO",('Activity data'!AI20*EF!$H33)*kgtoGg)</f>
        <v>2.2804365334826149</v>
      </c>
      <c r="AJ33" s="28">
        <f>IF(('Activity data'!AJ20*EF!$H33)*kgtoGg=0,"NO",('Activity data'!AJ20*EF!$H33)*kgtoGg)</f>
        <v>2.2852903094914128</v>
      </c>
      <c r="AK33" s="28">
        <f>IF(('Activity data'!AK20*EF!$H33)*kgtoGg=0,"NO",('Activity data'!AK20*EF!$H33)*kgtoGg)</f>
        <v>2.2885652229851194</v>
      </c>
      <c r="AL33" s="28">
        <f>IF(('Activity data'!AL20*EF!$H33)*kgtoGg=0,"NO",('Activity data'!AL20*EF!$H33)*kgtoGg)</f>
        <v>1.9178257881654668</v>
      </c>
      <c r="AM33" s="28">
        <f>IF(('Activity data'!AM20*EF!$H33)*kgtoGg=0,"NO",('Activity data'!AM20*EF!$H33)*kgtoGg)</f>
        <v>1.9802686855107929</v>
      </c>
      <c r="AN33" s="28">
        <f>IF(('Activity data'!AN20*EF!$H33)*kgtoGg=0,"NO",('Activity data'!AN20*EF!$H33)*kgtoGg)</f>
        <v>2.0378367412200564</v>
      </c>
      <c r="AO33" s="28">
        <f>IF(('Activity data'!AO20*EF!$H33)*kgtoGg=0,"NO",('Activity data'!AO20*EF!$H33)*kgtoGg)</f>
        <v>2.0971118305456424</v>
      </c>
      <c r="AP33" s="28">
        <f>IF(('Activity data'!AP20*EF!$H33)*kgtoGg=0,"NO",('Activity data'!AP20*EF!$H33)*kgtoGg)</f>
        <v>2.1628285349303087</v>
      </c>
      <c r="AQ33" s="28">
        <f>IF(('Activity data'!AQ20*EF!$H33)*kgtoGg=0,"NO",('Activity data'!AQ20*EF!$H33)*kgtoGg)</f>
        <v>2.2383255225825036</v>
      </c>
      <c r="AR33" s="28">
        <f>IF(('Activity data'!AR20*EF!$H33)*kgtoGg=0,"NO",('Activity data'!AR20*EF!$H33)*kgtoGg)</f>
        <v>2.3203712992942735</v>
      </c>
      <c r="AS33" s="28">
        <f>IF(('Activity data'!AS20*EF!$H33)*kgtoGg=0,"NO",('Activity data'!AS20*EF!$H33)*kgtoGg)</f>
        <v>2.4089180004580362</v>
      </c>
      <c r="AT33" s="28">
        <f>IF(('Activity data'!AT20*EF!$H33)*kgtoGg=0,"NO",('Activity data'!AT20*EF!$H33)*kgtoGg)</f>
        <v>2.504715245131083</v>
      </c>
      <c r="AU33" s="28">
        <f>IF(('Activity data'!AU20*EF!$H33)*kgtoGg=0,"NO",('Activity data'!AU20*EF!$H33)*kgtoGg)</f>
        <v>2.6148278454646867</v>
      </c>
      <c r="AV33" s="28">
        <f>IF(('Activity data'!AV20*EF!$H33)*kgtoGg=0,"NO",('Activity data'!AV20*EF!$H33)*kgtoGg)</f>
        <v>2.7235797350873923</v>
      </c>
      <c r="AW33" s="28">
        <f>IF(('Activity data'!AW20*EF!$H33)*kgtoGg=0,"NO",('Activity data'!AW20*EF!$H33)*kgtoGg)</f>
        <v>2.8562376172800503</v>
      </c>
      <c r="AX33" s="28">
        <f>IF(('Activity data'!AX20*EF!$H33)*kgtoGg=0,"NO",('Activity data'!AX20*EF!$H33)*kgtoGg)</f>
        <v>2.9937442593392816</v>
      </c>
      <c r="AY33" s="28">
        <f>IF(('Activity data'!AY20*EF!$H33)*kgtoGg=0,"NO",('Activity data'!AY20*EF!$H33)*kgtoGg)</f>
        <v>3.1354100550340043</v>
      </c>
      <c r="AZ33" s="28">
        <f>IF(('Activity data'!AZ20*EF!$H33)*kgtoGg=0,"NO",('Activity data'!AZ20*EF!$H33)*kgtoGg)</f>
        <v>3.2805031093938126</v>
      </c>
      <c r="BA33" s="28">
        <f>IF(('Activity data'!BA20*EF!$H33)*kgtoGg=0,"NO",('Activity data'!BA20*EF!$H33)*kgtoGg)</f>
        <v>3.4131893936485524</v>
      </c>
      <c r="BB33" s="28">
        <f>IF(('Activity data'!BB20*EF!$H33)*kgtoGg=0,"NO",('Activity data'!BB20*EF!$H33)*kgtoGg)</f>
        <v>3.5542411600260064</v>
      </c>
      <c r="BC33" s="28">
        <f>IF(('Activity data'!BC20*EF!$H33)*kgtoGg=0,"NO",('Activity data'!BC20*EF!$H33)*kgtoGg)</f>
        <v>3.7059223504893302</v>
      </c>
      <c r="BD33" s="28">
        <f>IF(('Activity data'!BD20*EF!$H33)*kgtoGg=0,"NO",('Activity data'!BD20*EF!$H33)*kgtoGg)</f>
        <v>3.8650478895097824</v>
      </c>
      <c r="BE33" s="28">
        <f>IF(('Activity data'!BE20*EF!$H33)*kgtoGg=0,"NO",('Activity data'!BE20*EF!$H33)*kgtoGg)</f>
        <v>4.0199914433760258</v>
      </c>
      <c r="BF33" s="28">
        <f>IF(('Activity data'!BF20*EF!$H33)*kgtoGg=0,"NO",('Activity data'!BF20*EF!$H33)*kgtoGg)</f>
        <v>4.1771440114128238</v>
      </c>
      <c r="BG33" s="28">
        <f>IF(('Activity data'!BG20*EF!$H33)*kgtoGg=0,"NO",('Activity data'!BG20*EF!$H33)*kgtoGg)</f>
        <v>4.3423986438927207</v>
      </c>
      <c r="BH33" s="28">
        <f>IF(('Activity data'!BH20*EF!$H33)*kgtoGg=0,"NO",('Activity data'!BH20*EF!$H33)*kgtoGg)</f>
        <v>4.5160011182348283</v>
      </c>
      <c r="BI33" s="28">
        <f>IF(('Activity data'!BI20*EF!$H33)*kgtoGg=0,"NO",('Activity data'!BI20*EF!$H33)*kgtoGg)</f>
        <v>4.7000909830039843</v>
      </c>
      <c r="BJ33" s="28">
        <f>IF(('Activity data'!BJ20*EF!$H33)*kgtoGg=0,"NO",('Activity data'!BJ20*EF!$H33)*kgtoGg)</f>
        <v>4.8938212396255354</v>
      </c>
      <c r="BK33" s="28">
        <f>IF(('Activity data'!BK20*EF!$H33)*kgtoGg=0,"NO",('Activity data'!BK20*EF!$H33)*kgtoGg)</f>
        <v>5.1017063500112734</v>
      </c>
      <c r="BL33" s="28">
        <f>IF(('Activity data'!BL20*EF!$H33)*kgtoGg=0,"NO",('Activity data'!BL20*EF!$H33)*kgtoGg)</f>
        <v>5.3232819842395545</v>
      </c>
      <c r="BM33" s="28">
        <f>IF(('Activity data'!BM20*EF!$H33)*kgtoGg=0,"NO",('Activity data'!BM20*EF!$H33)*kgtoGg)</f>
        <v>5.5545318056614459</v>
      </c>
      <c r="BN33" s="28">
        <f>IF(('Activity data'!BN20*EF!$H33)*kgtoGg=0,"NO",('Activity data'!BN20*EF!$H33)*kgtoGg)</f>
        <v>5.7840909786406476</v>
      </c>
      <c r="BO33" s="28">
        <f>IF(('Activity data'!BO20*EF!$H33)*kgtoGg=0,"NO",('Activity data'!BO20*EF!$H33)*kgtoGg)</f>
        <v>6.0243039943379344</v>
      </c>
      <c r="BP33" s="28">
        <f>IF(('Activity data'!BP20*EF!$H33)*kgtoGg=0,"NO",('Activity data'!BP20*EF!$H33)*kgtoGg)</f>
        <v>6.2780092881789207</v>
      </c>
    </row>
    <row r="34" spans="1:68" x14ac:dyDescent="0.25">
      <c r="A34" t="str">
        <f t="shared" si="1"/>
        <v>3A Livestock</v>
      </c>
      <c r="B34" t="str">
        <f t="shared" si="8"/>
        <v>3A2 Manure management (CH4)</v>
      </c>
      <c r="C34" t="str">
        <f>EF!C34</f>
        <v>3A2i Poultry</v>
      </c>
      <c r="D34" t="str">
        <f>EF!D34</f>
        <v>Subsistence layers</v>
      </c>
      <c r="E34" t="str">
        <f t="shared" si="9"/>
        <v>Manure management Emissions</v>
      </c>
      <c r="F34" t="str">
        <f t="shared" si="6"/>
        <v>CH4</v>
      </c>
      <c r="G34" t="str">
        <f t="shared" si="7"/>
        <v>Gg CH4</v>
      </c>
      <c r="H34" s="28">
        <f>IF(('Activity data'!H21*EF!$H34)*kgtoGg=0,"NO",('Activity data'!H21*EF!$H34)*kgtoGg)</f>
        <v>1.4453307157161402E-2</v>
      </c>
      <c r="I34" s="28">
        <f>IF(('Activity data'!I21*EF!$H34)*kgtoGg=0,"NO",('Activity data'!I21*EF!$H34)*kgtoGg)</f>
        <v>1.4041171371767878E-2</v>
      </c>
      <c r="J34" s="28">
        <f>IF(('Activity data'!J21*EF!$H34)*kgtoGg=0,"NO",('Activity data'!J21*EF!$H34)*kgtoGg)</f>
        <v>1.3317074332271103E-2</v>
      </c>
      <c r="K34" s="28">
        <f>IF(('Activity data'!K21*EF!$H34)*kgtoGg=0,"NO",('Activity data'!K21*EF!$H34)*kgtoGg)</f>
        <v>1.3107686778593537E-2</v>
      </c>
      <c r="L34" s="28">
        <f>IF(('Activity data'!L21*EF!$H34)*kgtoGg=0,"NO",('Activity data'!L21*EF!$H34)*kgtoGg)</f>
        <v>1.2537549597918361E-2</v>
      </c>
      <c r="M34" s="28">
        <f>IF(('Activity data'!M21*EF!$H34)*kgtoGg=0,"NO",('Activity data'!M21*EF!$H34)*kgtoGg)</f>
        <v>1.368002708163215E-2</v>
      </c>
      <c r="N34" s="28">
        <f>IF(('Activity data'!N21*EF!$H34)*kgtoGg=0,"NO",('Activity data'!N21*EF!$H34)*kgtoGg)</f>
        <v>1.445028361248642E-2</v>
      </c>
      <c r="O34" s="28">
        <f>IF(('Activity data'!O21*EF!$H34)*kgtoGg=0,"NO",('Activity data'!O21*EF!$H34)*kgtoGg)</f>
        <v>1.4497801479217198E-2</v>
      </c>
      <c r="P34" s="28">
        <f>IF(('Activity data'!P21*EF!$H34)*kgtoGg=0,"NO",('Activity data'!P21*EF!$H34)*kgtoGg)</f>
        <v>1.6323301120314916E-2</v>
      </c>
      <c r="Q34" s="28">
        <f>IF(('Activity data'!Q21*EF!$H34)*kgtoGg=0,"NO",('Activity data'!Q21*EF!$H34)*kgtoGg)</f>
        <v>1.750021682969179E-2</v>
      </c>
      <c r="R34" s="28">
        <f>IF(('Activity data'!R21*EF!$H34)*kgtoGg=0,"NO",('Activity data'!R21*EF!$H34)*kgtoGg)</f>
        <v>1.7129415315170586E-2</v>
      </c>
      <c r="S34" s="28">
        <f>IF(('Activity data'!S21*EF!$H34)*kgtoGg=0,"NO",('Activity data'!S21*EF!$H34)*kgtoGg)</f>
        <v>1.7586367011563315E-2</v>
      </c>
      <c r="T34" s="28">
        <f>IF(('Activity data'!T21*EF!$H34)*kgtoGg=0,"NO",('Activity data'!T21*EF!$H34)*kgtoGg)</f>
        <v>1.7448339269536806E-2</v>
      </c>
      <c r="U34" s="28">
        <f>IF(('Activity data'!U21*EF!$H34)*kgtoGg=0,"NO",('Activity data'!U21*EF!$H34)*kgtoGg)</f>
        <v>1.6751757915898054E-2</v>
      </c>
      <c r="V34" s="28">
        <f>IF(('Activity data'!V21*EF!$H34)*kgtoGg=0,"NO",('Activity data'!V21*EF!$H34)*kgtoGg)</f>
        <v>1.7359194023971385E-2</v>
      </c>
      <c r="W34" s="28">
        <f>IF(('Activity data'!W21*EF!$H34)*kgtoGg=0,"NO",('Activity data'!W21*EF!$H34)*kgtoGg)</f>
        <v>1.8405962529850804E-2</v>
      </c>
      <c r="X34" s="28">
        <f>IF(('Activity data'!X21*EF!$H34)*kgtoGg=0,"NO",('Activity data'!X21*EF!$H34)*kgtoGg)</f>
        <v>2.0313142812308307E-2</v>
      </c>
      <c r="Y34" s="28">
        <f>IF(('Activity data'!Y21*EF!$H34)*kgtoGg=0,"NO",('Activity data'!Y21*EF!$H34)*kgtoGg)</f>
        <v>2.2479992595697124E-2</v>
      </c>
      <c r="Z34" s="28">
        <f>IF(('Activity data'!Z21*EF!$H34)*kgtoGg=0,"NO",('Activity data'!Z21*EF!$H34)*kgtoGg)</f>
        <v>2.277605134510725E-2</v>
      </c>
      <c r="AA34" s="28">
        <f>IF(('Activity data'!AA21*EF!$H34)*kgtoGg=0,"NO",('Activity data'!AA21*EF!$H34)*kgtoGg)</f>
        <v>2.1936379637045315E-2</v>
      </c>
      <c r="AB34" s="28">
        <f>IF(('Activity data'!AB21*EF!$H34)*kgtoGg=0,"NO",('Activity data'!AB21*EF!$H34)*kgtoGg)</f>
        <v>2.2790877419827285E-2</v>
      </c>
      <c r="AC34" s="28">
        <f>IF(('Activity data'!AC21*EF!$H34)*kgtoGg=0,"NO",('Activity data'!AC21*EF!$H34)*kgtoGg)</f>
        <v>2.3842843212116133E-2</v>
      </c>
      <c r="AD34" s="28">
        <f>IF(('Activity data'!AD21*EF!$H34)*kgtoGg=0,"NO",('Activity data'!AD21*EF!$H34)*kgtoGg)</f>
        <v>2.3163227525551923E-2</v>
      </c>
      <c r="AE34" s="28">
        <f>IF(('Activity data'!AE21*EF!$H34)*kgtoGg=0,"NO",('Activity data'!AE21*EF!$H34)*kgtoGg)</f>
        <v>2.370449446587982E-2</v>
      </c>
      <c r="AF34" s="28">
        <f>IF(('Activity data'!AF21*EF!$H34)*kgtoGg=0,"NO",('Activity data'!AF21*EF!$H34)*kgtoGg)</f>
        <v>2.4157360166060026E-2</v>
      </c>
      <c r="AG34" s="28">
        <f>IF(('Activity data'!AG21*EF!$H34)*kgtoGg=0,"NO",('Activity data'!AG21*EF!$H34)*kgtoGg)</f>
        <v>2.4543396216030831E-2</v>
      </c>
      <c r="AH34" s="28">
        <f>IF(('Activity data'!AH21*EF!$H34)*kgtoGg=0,"NO",('Activity data'!AH21*EF!$H34)*kgtoGg)</f>
        <v>2.4856851327224181E-2</v>
      </c>
      <c r="AI34" s="28">
        <f>IF(('Activity data'!AI21*EF!$H34)*kgtoGg=0,"NO",('Activity data'!AI21*EF!$H34)*kgtoGg)</f>
        <v>2.5276059463336872E-2</v>
      </c>
      <c r="AJ34" s="28">
        <f>IF(('Activity data'!AJ21*EF!$H34)*kgtoGg=0,"NO",('Activity data'!AJ21*EF!$H34)*kgtoGg)</f>
        <v>2.5676758520285149E-2</v>
      </c>
      <c r="AK34" s="28">
        <f>IF(('Activity data'!AK21*EF!$H34)*kgtoGg=0,"NO",('Activity data'!AK21*EF!$H34)*kgtoGg)</f>
        <v>2.6072822808118252E-2</v>
      </c>
      <c r="AL34" s="28">
        <f>IF(('Activity data'!AL21*EF!$H34)*kgtoGg=0,"NO",('Activity data'!AL21*EF!$H34)*kgtoGg)</f>
        <v>2.4843962966659004E-2</v>
      </c>
      <c r="AM34" s="28">
        <f>IF(('Activity data'!AM21*EF!$H34)*kgtoGg=0,"NO",('Activity data'!AM21*EF!$H34)*kgtoGg)</f>
        <v>2.540557256897321E-2</v>
      </c>
      <c r="AN34" s="28">
        <f>IF(('Activity data'!AN21*EF!$H34)*kgtoGg=0,"NO",('Activity data'!AN21*EF!$H34)*kgtoGg)</f>
        <v>2.5951233874968543E-2</v>
      </c>
      <c r="AO34" s="28">
        <f>IF(('Activity data'!AO21*EF!$H34)*kgtoGg=0,"NO",('Activity data'!AO21*EF!$H34)*kgtoGg)</f>
        <v>2.6509792968019075E-2</v>
      </c>
      <c r="AP34" s="28">
        <f>IF(('Activity data'!AP21*EF!$H34)*kgtoGg=0,"NO",('Activity data'!AP21*EF!$H34)*kgtoGg)</f>
        <v>2.7102818100860022E-2</v>
      </c>
      <c r="AQ34" s="28">
        <f>IF(('Activity data'!AQ21*EF!$H34)*kgtoGg=0,"NO",('Activity data'!AQ21*EF!$H34)*kgtoGg)</f>
        <v>2.7746245479825057E-2</v>
      </c>
      <c r="AR34" s="28">
        <f>IF(('Activity data'!AR21*EF!$H34)*kgtoGg=0,"NO",('Activity data'!AR21*EF!$H34)*kgtoGg)</f>
        <v>2.8394656802635879E-2</v>
      </c>
      <c r="AS34" s="28">
        <f>IF(('Activity data'!AS21*EF!$H34)*kgtoGg=0,"NO",('Activity data'!AS21*EF!$H34)*kgtoGg)</f>
        <v>2.9079529247954424E-2</v>
      </c>
      <c r="AT34" s="28">
        <f>IF(('Activity data'!AT21*EF!$H34)*kgtoGg=0,"NO",('Activity data'!AT21*EF!$H34)*kgtoGg)</f>
        <v>2.9805015678492617E-2</v>
      </c>
      <c r="AU34" s="28">
        <f>IF(('Activity data'!AU21*EF!$H34)*kgtoGg=0,"NO",('Activity data'!AU21*EF!$H34)*kgtoGg)</f>
        <v>3.0605026746447665E-2</v>
      </c>
      <c r="AV34" s="28">
        <f>IF(('Activity data'!AV21*EF!$H34)*kgtoGg=0,"NO",('Activity data'!AV21*EF!$H34)*kgtoGg)</f>
        <v>3.1406806454671587E-2</v>
      </c>
      <c r="AW34" s="28">
        <f>IF(('Activity data'!AW21*EF!$H34)*kgtoGg=0,"NO",('Activity data'!AW21*EF!$H34)*kgtoGg)</f>
        <v>3.2304419553717267E-2</v>
      </c>
      <c r="AX34" s="28">
        <f>IF(('Activity data'!AX21*EF!$H34)*kgtoGg=0,"NO",('Activity data'!AX21*EF!$H34)*kgtoGg)</f>
        <v>3.3234420706015524E-2</v>
      </c>
      <c r="AY34" s="28">
        <f>IF(('Activity data'!AY21*EF!$H34)*kgtoGg=0,"NO",('Activity data'!AY21*EF!$H34)*kgtoGg)</f>
        <v>3.419385148928137E-2</v>
      </c>
      <c r="AZ34" s="28">
        <f>IF(('Activity data'!AZ21*EF!$H34)*kgtoGg=0,"NO",('Activity data'!AZ21*EF!$H34)*kgtoGg)</f>
        <v>3.5179449802747356E-2</v>
      </c>
      <c r="BA34" s="28">
        <f>IF(('Activity data'!BA21*EF!$H34)*kgtoGg=0,"NO",('Activity data'!BA21*EF!$H34)*kgtoGg)</f>
        <v>3.6113825551003398E-2</v>
      </c>
      <c r="BB34" s="28">
        <f>IF(('Activity data'!BB21*EF!$H34)*kgtoGg=0,"NO",('Activity data'!BB21*EF!$H34)*kgtoGg)</f>
        <v>3.7072902842556196E-2</v>
      </c>
      <c r="BC34" s="28">
        <f>IF(('Activity data'!BC21*EF!$H34)*kgtoGg=0,"NO",('Activity data'!BC21*EF!$H34)*kgtoGg)</f>
        <v>3.8093495709054057E-2</v>
      </c>
      <c r="BD34" s="28">
        <f>IF(('Activity data'!BD21*EF!$H34)*kgtoGg=0,"NO",('Activity data'!BD21*EF!$H34)*kgtoGg)</f>
        <v>3.9160595984681523E-2</v>
      </c>
      <c r="BE34" s="28">
        <f>IF(('Activity data'!BE21*EF!$H34)*kgtoGg=0,"NO",('Activity data'!BE21*EF!$H34)*kgtoGg)</f>
        <v>4.0216331074490907E-2</v>
      </c>
      <c r="BF34" s="28">
        <f>IF(('Activity data'!BF21*EF!$H34)*kgtoGg=0,"NO",('Activity data'!BF21*EF!$H34)*kgtoGg)</f>
        <v>4.1292545643547382E-2</v>
      </c>
      <c r="BG34" s="28">
        <f>IF(('Activity data'!BG21*EF!$H34)*kgtoGg=0,"NO",('Activity data'!BG21*EF!$H34)*kgtoGg)</f>
        <v>4.2395366270187834E-2</v>
      </c>
      <c r="BH34" s="28">
        <f>IF(('Activity data'!BH21*EF!$H34)*kgtoGg=0,"NO",('Activity data'!BH21*EF!$H34)*kgtoGg)</f>
        <v>4.3550343148174568E-2</v>
      </c>
      <c r="BI34" s="28">
        <f>IF(('Activity data'!BI21*EF!$H34)*kgtoGg=0,"NO",('Activity data'!BI21*EF!$H34)*kgtoGg)</f>
        <v>4.4769143577852478E-2</v>
      </c>
      <c r="BJ34" s="28">
        <f>IF(('Activity data'!BJ21*EF!$H34)*kgtoGg=0,"NO",('Activity data'!BJ21*EF!$H34)*kgtoGg)</f>
        <v>4.6048208278562743E-2</v>
      </c>
      <c r="BK34" s="28">
        <f>IF(('Activity data'!BK21*EF!$H34)*kgtoGg=0,"NO",('Activity data'!BK21*EF!$H34)*kgtoGg)</f>
        <v>4.7411791666150914E-2</v>
      </c>
      <c r="BL34" s="28">
        <f>IF(('Activity data'!BL21*EF!$H34)*kgtoGg=0,"NO",('Activity data'!BL21*EF!$H34)*kgtoGg)</f>
        <v>4.8833942397230663E-2</v>
      </c>
      <c r="BM34" s="28">
        <f>IF(('Activity data'!BM21*EF!$H34)*kgtoGg=0,"NO",('Activity data'!BM21*EF!$H34)*kgtoGg)</f>
        <v>5.0318932389095773E-2</v>
      </c>
      <c r="BN34" s="28">
        <f>IF(('Activity data'!BN21*EF!$H34)*kgtoGg=0,"NO",('Activity data'!BN21*EF!$H34)*kgtoGg)</f>
        <v>5.1807290307825028E-2</v>
      </c>
      <c r="BO34" s="28">
        <f>IF(('Activity data'!BO21*EF!$H34)*kgtoGg=0,"NO",('Activity data'!BO21*EF!$H34)*kgtoGg)</f>
        <v>5.3364456837142901E-2</v>
      </c>
      <c r="BP34" s="28">
        <f>IF(('Activity data'!BP21*EF!$H34)*kgtoGg=0,"NO",('Activity data'!BP21*EF!$H34)*kgtoGg)</f>
        <v>5.5006393974846024E-2</v>
      </c>
    </row>
    <row r="35" spans="1:68" x14ac:dyDescent="0.25">
      <c r="A35" t="str">
        <f t="shared" si="1"/>
        <v>3A Livestock</v>
      </c>
      <c r="B35" t="str">
        <f t="shared" si="8"/>
        <v>3A2 Manure management (CH4)</v>
      </c>
      <c r="C35" t="str">
        <f>EF!C35</f>
        <v>3A2i Poultry</v>
      </c>
      <c r="D35" t="str">
        <f>EF!D35</f>
        <v>Subsistence broilers</v>
      </c>
      <c r="E35" t="str">
        <f t="shared" si="9"/>
        <v>Manure management Emissions</v>
      </c>
      <c r="F35" t="str">
        <f t="shared" si="6"/>
        <v>CH4</v>
      </c>
      <c r="G35" t="str">
        <f t="shared" si="7"/>
        <v>Gg CH4</v>
      </c>
      <c r="H35" s="28">
        <f>IF(('Activity data'!H22*EF!$H35)*kgtoGg=0,"NO",('Activity data'!H22*EF!$H35)*kgtoGg)</f>
        <v>3.97805297801406E-2</v>
      </c>
      <c r="I35" s="28">
        <f>IF(('Activity data'!I22*EF!$H35)*kgtoGg=0,"NO",('Activity data'!I22*EF!$H35)*kgtoGg)</f>
        <v>3.7393698041596139E-2</v>
      </c>
      <c r="J35" s="28">
        <f>IF(('Activity data'!J22*EF!$H35)*kgtoGg=0,"NO",('Activity data'!J22*EF!$H35)*kgtoGg)</f>
        <v>3.5339719604835972E-2</v>
      </c>
      <c r="K35" s="28">
        <f>IF(('Activity data'!K22*EF!$H35)*kgtoGg=0,"NO",('Activity data'!K22*EF!$H35)*kgtoGg)</f>
        <v>3.974462197314204E-2</v>
      </c>
      <c r="L35" s="28">
        <f>IF(('Activity data'!L22*EF!$H35)*kgtoGg=0,"NO",('Activity data'!L22*EF!$H35)*kgtoGg)</f>
        <v>3.9371867536538138E-2</v>
      </c>
      <c r="M35" s="28">
        <f>IF(('Activity data'!M22*EF!$H35)*kgtoGg=0,"NO",('Activity data'!M22*EF!$H35)*kgtoGg)</f>
        <v>4.5066858026880756E-2</v>
      </c>
      <c r="N35" s="28">
        <f>IF(('Activity data'!N22*EF!$H35)*kgtoGg=0,"NO",('Activity data'!N22*EF!$H35)*kgtoGg)</f>
        <v>5.2401139589808118E-2</v>
      </c>
      <c r="O35" s="28">
        <f>IF(('Activity data'!O22*EF!$H35)*kgtoGg=0,"NO",('Activity data'!O22*EF!$H35)*kgtoGg)</f>
        <v>5.3338370259568474E-2</v>
      </c>
      <c r="P35" s="28">
        <f>IF(('Activity data'!P22*EF!$H35)*kgtoGg=0,"NO",('Activity data'!P22*EF!$H35)*kgtoGg)</f>
        <v>5.8444607566508086E-2</v>
      </c>
      <c r="Q35" s="28">
        <f>IF(('Activity data'!Q22*EF!$H35)*kgtoGg=0,"NO",('Activity data'!Q22*EF!$H35)*kgtoGg)</f>
        <v>6.101551471210033E-2</v>
      </c>
      <c r="R35" s="28">
        <f>IF(('Activity data'!R22*EF!$H35)*kgtoGg=0,"NO",('Activity data'!R22*EF!$H35)*kgtoGg)</f>
        <v>6.5648197664078339E-2</v>
      </c>
      <c r="S35" s="28">
        <f>IF(('Activity data'!S22*EF!$H35)*kgtoGg=0,"NO",('Activity data'!S22*EF!$H35)*kgtoGg)</f>
        <v>6.3390232889346088E-2</v>
      </c>
      <c r="T35" s="28">
        <f>IF(('Activity data'!T22*EF!$H35)*kgtoGg=0,"NO",('Activity data'!T22*EF!$H35)*kgtoGg)</f>
        <v>7.0256939555641371E-2</v>
      </c>
      <c r="U35" s="28">
        <f>IF(('Activity data'!U22*EF!$H35)*kgtoGg=0,"NO",('Activity data'!U22*EF!$H35)*kgtoGg)</f>
        <v>6.6824955655154963E-2</v>
      </c>
      <c r="V35" s="28">
        <f>IF(('Activity data'!V22*EF!$H35)*kgtoGg=0,"NO",('Activity data'!V22*EF!$H35)*kgtoGg)</f>
        <v>6.8438168379586828E-2</v>
      </c>
      <c r="W35" s="28">
        <f>IF(('Activity data'!W22*EF!$H35)*kgtoGg=0,"NO",('Activity data'!W22*EF!$H35)*kgtoGg)</f>
        <v>7.572510178761277E-2</v>
      </c>
      <c r="X35" s="28">
        <f>IF(('Activity data'!X22*EF!$H35)*kgtoGg=0,"NO",('Activity data'!X22*EF!$H35)*kgtoGg)</f>
        <v>8.0995073889202837E-2</v>
      </c>
      <c r="Y35" s="28">
        <f>IF(('Activity data'!Y22*EF!$H35)*kgtoGg=0,"NO",('Activity data'!Y22*EF!$H35)*kgtoGg)</f>
        <v>8.474304869566987E-2</v>
      </c>
      <c r="Z35" s="28">
        <f>IF(('Activity data'!Z22*EF!$H35)*kgtoGg=0,"NO",('Activity data'!Z22*EF!$H35)*kgtoGg)</f>
        <v>9.0228336662730974E-2</v>
      </c>
      <c r="AA35" s="28">
        <f>IF(('Activity data'!AA22*EF!$H35)*kgtoGg=0,"NO",('Activity data'!AA22*EF!$H35)*kgtoGg)</f>
        <v>8.514031348767126E-2</v>
      </c>
      <c r="AB35" s="28">
        <f>IF(('Activity data'!AB22*EF!$H35)*kgtoGg=0,"NO",('Activity data'!AB22*EF!$H35)*kgtoGg)</f>
        <v>8.7281660260828828E-2</v>
      </c>
      <c r="AC35" s="28">
        <f>IF(('Activity data'!AC22*EF!$H35)*kgtoGg=0,"NO",('Activity data'!AC22*EF!$H35)*kgtoGg)</f>
        <v>9.027211937951464E-2</v>
      </c>
      <c r="AD35" s="28">
        <f>IF(('Activity data'!AD22*EF!$H35)*kgtoGg=0,"NO",('Activity data'!AD22*EF!$H35)*kgtoGg)</f>
        <v>9.2132496692970828E-2</v>
      </c>
      <c r="AE35" s="28">
        <f>IF(('Activity data'!AE22*EF!$H35)*kgtoGg=0,"NO",('Activity data'!AE22*EF!$H35)*kgtoGg)</f>
        <v>9.4075952223331386E-2</v>
      </c>
      <c r="AF35" s="28">
        <f>IF(('Activity data'!AF22*EF!$H35)*kgtoGg=0,"NO",('Activity data'!AF22*EF!$H35)*kgtoGg)</f>
        <v>9.5020346836967556E-2</v>
      </c>
      <c r="AG35" s="28">
        <f>IF(('Activity data'!AG22*EF!$H35)*kgtoGg=0,"NO",('Activity data'!AG22*EF!$H35)*kgtoGg)</f>
        <v>9.521427646449622E-2</v>
      </c>
      <c r="AH35" s="28">
        <f>IF(('Activity data'!AH22*EF!$H35)*kgtoGg=0,"NO",('Activity data'!AH22*EF!$H35)*kgtoGg)</f>
        <v>9.461996548333261E-2</v>
      </c>
      <c r="AI35" s="28">
        <f>IF(('Activity data'!AI22*EF!$H35)*kgtoGg=0,"NO",('Activity data'!AI22*EF!$H35)*kgtoGg)</f>
        <v>9.5018188895109046E-2</v>
      </c>
      <c r="AJ35" s="28">
        <f>IF(('Activity data'!AJ22*EF!$H35)*kgtoGg=0,"NO",('Activity data'!AJ22*EF!$H35)*kgtoGg)</f>
        <v>9.5220429562142286E-2</v>
      </c>
      <c r="AK35" s="28">
        <f>IF(('Activity data'!AK22*EF!$H35)*kgtoGg=0,"NO",('Activity data'!AK22*EF!$H35)*kgtoGg)</f>
        <v>9.5356884291046717E-2</v>
      </c>
      <c r="AL35" s="28">
        <f>IF(('Activity data'!AL22*EF!$H35)*kgtoGg=0,"NO",('Activity data'!AL22*EF!$H35)*kgtoGg)</f>
        <v>7.9909407840227847E-2</v>
      </c>
      <c r="AM35" s="28">
        <f>IF(('Activity data'!AM22*EF!$H35)*kgtoGg=0,"NO",('Activity data'!AM22*EF!$H35)*kgtoGg)</f>
        <v>8.2511195229616432E-2</v>
      </c>
      <c r="AN35" s="28">
        <f>IF(('Activity data'!AN22*EF!$H35)*kgtoGg=0,"NO",('Activity data'!AN22*EF!$H35)*kgtoGg)</f>
        <v>8.490986421750242E-2</v>
      </c>
      <c r="AO35" s="28">
        <f>IF(('Activity data'!AO22*EF!$H35)*kgtoGg=0,"NO",('Activity data'!AO22*EF!$H35)*kgtoGg)</f>
        <v>8.7379659606068513E-2</v>
      </c>
      <c r="AP35" s="28">
        <f>IF(('Activity data'!AP22*EF!$H35)*kgtoGg=0,"NO",('Activity data'!AP22*EF!$H35)*kgtoGg)</f>
        <v>9.0117855622096274E-2</v>
      </c>
      <c r="AQ35" s="28">
        <f>IF(('Activity data'!AQ22*EF!$H35)*kgtoGg=0,"NO",('Activity data'!AQ22*EF!$H35)*kgtoGg)</f>
        <v>9.3263563440937725E-2</v>
      </c>
      <c r="AR35" s="28">
        <f>IF(('Activity data'!AR22*EF!$H35)*kgtoGg=0,"NO",('Activity data'!AR22*EF!$H35)*kgtoGg)</f>
        <v>9.6682137470594814E-2</v>
      </c>
      <c r="AS35" s="28">
        <f>IF(('Activity data'!AS22*EF!$H35)*kgtoGg=0,"NO",('Activity data'!AS22*EF!$H35)*kgtoGg)</f>
        <v>0.10037158335241825</v>
      </c>
      <c r="AT35" s="28">
        <f>IF(('Activity data'!AT22*EF!$H35)*kgtoGg=0,"NO",('Activity data'!AT22*EF!$H35)*kgtoGg)</f>
        <v>0.10436313521379523</v>
      </c>
      <c r="AU35" s="28">
        <f>IF(('Activity data'!AU22*EF!$H35)*kgtoGg=0,"NO",('Activity data'!AU22*EF!$H35)*kgtoGg)</f>
        <v>0.10895116022769538</v>
      </c>
      <c r="AV35" s="28">
        <f>IF(('Activity data'!AV22*EF!$H35)*kgtoGg=0,"NO",('Activity data'!AV22*EF!$H35)*kgtoGg)</f>
        <v>0.11348248896197477</v>
      </c>
      <c r="AW35" s="28">
        <f>IF(('Activity data'!AW22*EF!$H35)*kgtoGg=0,"NO",('Activity data'!AW22*EF!$H35)*kgtoGg)</f>
        <v>0.11900990072000223</v>
      </c>
      <c r="AX35" s="28">
        <f>IF(('Activity data'!AX22*EF!$H35)*kgtoGg=0,"NO",('Activity data'!AX22*EF!$H35)*kgtoGg)</f>
        <v>0.12473934413913686</v>
      </c>
      <c r="AY35" s="28">
        <f>IF(('Activity data'!AY22*EF!$H35)*kgtoGg=0,"NO",('Activity data'!AY22*EF!$H35)*kgtoGg)</f>
        <v>0.13064208562641696</v>
      </c>
      <c r="AZ35" s="28">
        <f>IF(('Activity data'!AZ22*EF!$H35)*kgtoGg=0,"NO",('Activity data'!AZ22*EF!$H35)*kgtoGg)</f>
        <v>0.13668762955807565</v>
      </c>
      <c r="BA35" s="28">
        <f>IF(('Activity data'!BA22*EF!$H35)*kgtoGg=0,"NO",('Activity data'!BA22*EF!$H35)*kgtoGg)</f>
        <v>0.14221622473535647</v>
      </c>
      <c r="BB35" s="28">
        <f>IF(('Activity data'!BB22*EF!$H35)*kgtoGg=0,"NO",('Activity data'!BB22*EF!$H35)*kgtoGg)</f>
        <v>0.14809338166775038</v>
      </c>
      <c r="BC35" s="28">
        <f>IF(('Activity data'!BC22*EF!$H35)*kgtoGg=0,"NO",('Activity data'!BC22*EF!$H35)*kgtoGg)</f>
        <v>0.15441343127038895</v>
      </c>
      <c r="BD35" s="28">
        <f>IF(('Activity data'!BD22*EF!$H35)*kgtoGg=0,"NO",('Activity data'!BD22*EF!$H35)*kgtoGg)</f>
        <v>0.16104366206290777</v>
      </c>
      <c r="BE35" s="28">
        <f>IF(('Activity data'!BE22*EF!$H35)*kgtoGg=0,"NO",('Activity data'!BE22*EF!$H35)*kgtoGg)</f>
        <v>0.16749964347400123</v>
      </c>
      <c r="BF35" s="28">
        <f>IF(('Activity data'!BF22*EF!$H35)*kgtoGg=0,"NO",('Activity data'!BF22*EF!$H35)*kgtoGg)</f>
        <v>0.1740476671422011</v>
      </c>
      <c r="BG35" s="28">
        <f>IF(('Activity data'!BG22*EF!$H35)*kgtoGg=0,"NO",('Activity data'!BG22*EF!$H35)*kgtoGg)</f>
        <v>0.18093327682886354</v>
      </c>
      <c r="BH35" s="28">
        <f>IF(('Activity data'!BH22*EF!$H35)*kgtoGg=0,"NO",('Activity data'!BH22*EF!$H35)*kgtoGg)</f>
        <v>0.18816671325978468</v>
      </c>
      <c r="BI35" s="28">
        <f>IF(('Activity data'!BI22*EF!$H35)*kgtoGg=0,"NO",('Activity data'!BI22*EF!$H35)*kgtoGg)</f>
        <v>0.19583712429183284</v>
      </c>
      <c r="BJ35" s="28">
        <f>IF(('Activity data'!BJ22*EF!$H35)*kgtoGg=0,"NO",('Activity data'!BJ22*EF!$H35)*kgtoGg)</f>
        <v>0.20390921831773087</v>
      </c>
      <c r="BK35" s="28">
        <f>IF(('Activity data'!BK22*EF!$H35)*kgtoGg=0,"NO",('Activity data'!BK22*EF!$H35)*kgtoGg)</f>
        <v>0.21257109791713658</v>
      </c>
      <c r="BL35" s="28">
        <f>IF(('Activity data'!BL22*EF!$H35)*kgtoGg=0,"NO",('Activity data'!BL22*EF!$H35)*kgtoGg)</f>
        <v>0.2218034160099816</v>
      </c>
      <c r="BM35" s="28">
        <f>IF(('Activity data'!BM22*EF!$H35)*kgtoGg=0,"NO",('Activity data'!BM22*EF!$H35)*kgtoGg)</f>
        <v>0.23143882523589376</v>
      </c>
      <c r="BN35" s="28">
        <f>IF(('Activity data'!BN22*EF!$H35)*kgtoGg=0,"NO",('Activity data'!BN22*EF!$H35)*kgtoGg)</f>
        <v>0.2410037907766939</v>
      </c>
      <c r="BO35" s="28">
        <f>IF(('Activity data'!BO22*EF!$H35)*kgtoGg=0,"NO",('Activity data'!BO22*EF!$H35)*kgtoGg)</f>
        <v>0.25101266643074749</v>
      </c>
      <c r="BP35" s="28">
        <f>IF(('Activity data'!BP22*EF!$H35)*kgtoGg=0,"NO",('Activity data'!BP22*EF!$H35)*kgtoGg)</f>
        <v>0.26158372034078858</v>
      </c>
    </row>
    <row r="36" spans="1:68" x14ac:dyDescent="0.25">
      <c r="A36" t="str">
        <f t="shared" si="1"/>
        <v>3A Livestock</v>
      </c>
      <c r="B36" t="str">
        <f>'IPCC Categories'!B20</f>
        <v>3A2 Manure management (N2O)</v>
      </c>
      <c r="C36" t="str">
        <f>EF!C54</f>
        <v>3A1ai Dairy cattle</v>
      </c>
      <c r="D36" t="str">
        <f>EF!D54</f>
        <v>TMR</v>
      </c>
      <c r="E36" t="str">
        <f t="shared" si="9"/>
        <v>Manure management Emissions</v>
      </c>
      <c r="F36" t="s">
        <v>139</v>
      </c>
      <c r="G36" t="s">
        <v>287</v>
      </c>
      <c r="H36" s="28">
        <f>IF(('Activity data'!H5*EF!$H36*EF!$H54)*NtoN2O*kgtoGg=0,"NO",('Activity data'!H5*EF!$H36*EF!$H54)*NtoN2O*kgtoGg)</f>
        <v>4.916153684584277E-2</v>
      </c>
      <c r="I36" s="28">
        <f>IF(('Activity data'!I5*EF!$H36*EF!$H54)*NtoN2O*kgtoGg=0,"NO",('Activity data'!I5*EF!$H36*EF!$H54)*NtoN2O*kgtoGg)</f>
        <v>5.6597698456454765E-2</v>
      </c>
      <c r="J36" s="28">
        <f>IF(('Activity data'!J5*EF!$H36*EF!$H54)*NtoN2O*kgtoGg=0,"NO",('Activity data'!J5*EF!$H36*EF!$H54)*NtoN2O*kgtoGg)</f>
        <v>4.8964332321604243E-2</v>
      </c>
      <c r="K36" s="28">
        <f>IF(('Activity data'!K5*EF!$H36*EF!$H54)*NtoN2O*kgtoGg=0,"NO",('Activity data'!K5*EF!$H36*EF!$H54)*NtoN2O*kgtoGg)</f>
        <v>5.1931263309866894E-2</v>
      </c>
      <c r="L36" s="28">
        <f>IF(('Activity data'!L5*EF!$H36*EF!$H54)*NtoN2O*kgtoGg=0,"NO",('Activity data'!L5*EF!$H36*EF!$H54)*NtoN2O*kgtoGg)</f>
        <v>4.8175514224650169E-2</v>
      </c>
      <c r="M36" s="28">
        <f>IF(('Activity data'!M5*EF!$H36*EF!$H54)*NtoN2O*kgtoGg=0,"NO",('Activity data'!M5*EF!$H36*EF!$H54)*NtoN2O*kgtoGg)</f>
        <v>5.1536854261389861E-2</v>
      </c>
      <c r="N36" s="28">
        <f>IF(('Activity data'!N5*EF!$H36*EF!$H54)*NtoN2O*kgtoGg=0,"NO",('Activity data'!N5*EF!$H36*EF!$H54)*NtoN2O*kgtoGg)</f>
        <v>5.1734058785628381E-2</v>
      </c>
      <c r="O36" s="28">
        <f>IF(('Activity data'!O5*EF!$H36*EF!$H54)*NtoN2O*kgtoGg=0,"NO",('Activity data'!O5*EF!$H36*EF!$H54)*NtoN2O*kgtoGg)</f>
        <v>4.9875018382975388E-2</v>
      </c>
      <c r="P36" s="28">
        <f>IF(('Activity data'!P5*EF!$H36*EF!$H54)*NtoN2O*kgtoGg=0,"NO",('Activity data'!P5*EF!$H36*EF!$H54)*NtoN2O*kgtoGg)</f>
        <v>4.9283404810259827E-2</v>
      </c>
      <c r="Q36" s="28">
        <f>IF(('Activity data'!Q5*EF!$H36*EF!$H54)*NtoN2O*kgtoGg=0,"NO",('Activity data'!Q5*EF!$H36*EF!$H54)*NtoN2O*kgtoGg)</f>
        <v>4.841038702879942E-2</v>
      </c>
      <c r="R36" s="28">
        <f>IF(('Activity data'!R5*EF!$H36*EF!$H54)*NtoN2O*kgtoGg=0,"NO",('Activity data'!R5*EF!$H36*EF!$H54)*NtoN2O*kgtoGg)</f>
        <v>6.2334355908741548E-2</v>
      </c>
      <c r="S36" s="28">
        <f>IF(('Activity data'!S5*EF!$H36*EF!$H54)*NtoN2O*kgtoGg=0,"NO",('Activity data'!S5*EF!$H36*EF!$H54)*NtoN2O*kgtoGg)</f>
        <v>6.2137151384503035E-2</v>
      </c>
      <c r="T36" s="28">
        <f>IF(('Activity data'!T5*EF!$H36*EF!$H54)*NtoN2O*kgtoGg=0,"NO",('Activity data'!T5*EF!$H36*EF!$H54)*NtoN2O*kgtoGg)</f>
        <v>5.4184712760996942E-2</v>
      </c>
      <c r="U36" s="28">
        <f>IF(('Activity data'!U5*EF!$H36*EF!$H54)*NtoN2O*kgtoGg=0,"NO",('Activity data'!U5*EF!$H36*EF!$H54)*NtoN2O*kgtoGg)</f>
        <v>4.9283404810259827E-2</v>
      </c>
      <c r="V36" s="28">
        <f>IF(('Activity data'!V5*EF!$H36*EF!$H54)*NtoN2O*kgtoGg=0,"NO",('Activity data'!V5*EF!$H36*EF!$H54)*NtoN2O*kgtoGg)</f>
        <v>4.7583900651934616E-2</v>
      </c>
      <c r="W36" s="28">
        <f>IF(('Activity data'!W5*EF!$H36*EF!$H54)*NtoN2O*kgtoGg=0,"NO",('Activity data'!W5*EF!$H36*EF!$H54)*NtoN2O*kgtoGg)</f>
        <v>5.0945240688674294E-2</v>
      </c>
      <c r="X36" s="28">
        <f>IF(('Activity data'!X5*EF!$H36*EF!$H54)*NtoN2O*kgtoGg=0,"NO",('Activity data'!X5*EF!$H36*EF!$H54)*NtoN2O*kgtoGg)</f>
        <v>4.9837350103064657E-2</v>
      </c>
      <c r="Y36" s="28">
        <f>IF(('Activity data'!Y5*EF!$H36*EF!$H54)*NtoN2O*kgtoGg=0,"NO",('Activity data'!Y5*EF!$H36*EF!$H54)*NtoN2O*kgtoGg)</f>
        <v>4.9480609334498347E-2</v>
      </c>
      <c r="Z36" s="28">
        <f>IF(('Activity data'!Z5*EF!$H36*EF!$H54)*NtoN2O*kgtoGg=0,"NO",('Activity data'!Z5*EF!$H36*EF!$H54)*NtoN2O*kgtoGg)</f>
        <v>6.0597183470505606E-2</v>
      </c>
      <c r="AA36" s="28">
        <f>IF(('Activity data'!AA5*EF!$H36*EF!$H54)*NtoN2O*kgtoGg=0,"NO",('Activity data'!AA5*EF!$H36*EF!$H54)*NtoN2O*kgtoGg)</f>
        <v>6.2099483104592297E-2</v>
      </c>
      <c r="AB36" s="28">
        <f>IF(('Activity data'!AB5*EF!$H36*EF!$H54)*NtoN2O*kgtoGg=0,"NO",('Activity data'!AB5*EF!$H36*EF!$H54)*NtoN2O*kgtoGg)</f>
        <v>6.2099483104592297E-2</v>
      </c>
      <c r="AC36" s="28">
        <f>IF(('Activity data'!AC5*EF!$H36*EF!$H54)*NtoN2O*kgtoGg=0,"NO",('Activity data'!AC5*EF!$H36*EF!$H54)*NtoN2O*kgtoGg)</f>
        <v>5.9846033653462256E-2</v>
      </c>
      <c r="AD36" s="28">
        <f>IF(('Activity data'!AD5*EF!$H36*EF!$H54)*NtoN2O*kgtoGg=0,"NO",('Activity data'!AD5*EF!$H36*EF!$H54)*NtoN2O*kgtoGg)</f>
        <v>5.9477520943831526E-2</v>
      </c>
      <c r="AE36" s="28">
        <f>IF(('Activity data'!AE5*EF!$H36*EF!$H54)*NtoN2O*kgtoGg=0,"NO",('Activity data'!AE5*EF!$H36*EF!$H54)*NtoN2O*kgtoGg)</f>
        <v>5.9914403482394067E-2</v>
      </c>
      <c r="AF36" s="28">
        <f>IF(('Activity data'!AF5*EF!$H36*EF!$H54)*NtoN2O*kgtoGg=0,"NO",('Activity data'!AF5*EF!$H36*EF!$H54)*NtoN2O*kgtoGg)</f>
        <v>6.0241679004903279E-2</v>
      </c>
      <c r="AG36" s="28">
        <f>IF(('Activity data'!AG5*EF!$H36*EF!$H54)*NtoN2O*kgtoGg=0,"NO",('Activity data'!AG5*EF!$H36*EF!$H54)*NtoN2O*kgtoGg)</f>
        <v>6.0491716784693825E-2</v>
      </c>
      <c r="AH36" s="28">
        <f>IF(('Activity data'!AH5*EF!$H36*EF!$H54)*NtoN2O*kgtoGg=0,"NO",('Activity data'!AH5*EF!$H36*EF!$H54)*NtoN2O*kgtoGg)</f>
        <v>6.065642294886045E-2</v>
      </c>
      <c r="AI36" s="28">
        <f>IF(('Activity data'!AI5*EF!$H36*EF!H54)*NtoN2O*kgtoGg=0,"NO",('Activity data'!AI5*EF!$H36*EF!H54)*NtoN2O*kgtoGg)</f>
        <v>6.099313515736203E-2</v>
      </c>
      <c r="AJ36" s="28">
        <f>IF(('Activity data'!AJ5*EF!$H36*EF!I54)*NtoN2O*kgtoGg=0,"NO",('Activity data'!AJ5*EF!$H36*EF!I54)*NtoN2O*kgtoGg)</f>
        <v>6.1315889654090468E-2</v>
      </c>
      <c r="AK36" s="28">
        <f>IF(('Activity data'!AK5*EF!$H36*EF!J54)*NtoN2O*kgtoGg=0,"NO",('Activity data'!AK5*EF!$H36*EF!J54)*NtoN2O*kgtoGg)</f>
        <v>6.1644125487955406E-2</v>
      </c>
      <c r="AL36" s="28">
        <f>IF(('Activity data'!AL5*EF!$H36*EF!K54)*NtoN2O*kgtoGg=0,"NO",('Activity data'!AL5*EF!$H36*EF!K54)*NtoN2O*kgtoGg)</f>
        <v>5.968820307254942E-2</v>
      </c>
      <c r="AM36" s="28">
        <f>IF(('Activity data'!AM5*EF!$H36*EF!L54)*NtoN2O*kgtoGg=0,"NO",('Activity data'!AM5*EF!$H36*EF!L54)*NtoN2O*kgtoGg)</f>
        <v>6.0237750438664223E-2</v>
      </c>
      <c r="AN36" s="28">
        <f>IF(('Activity data'!AN5*EF!$H36*EF!M54)*NtoN2O*kgtoGg=0,"NO",('Activity data'!AN5*EF!$H36*EF!M54)*NtoN2O*kgtoGg)</f>
        <v>6.0770442273328819E-2</v>
      </c>
      <c r="AO36" s="28">
        <f>IF(('Activity data'!AO5*EF!$H36*EF!N54)*NtoN2O*kgtoGg=0,"NO",('Activity data'!AO5*EF!$H36*EF!N54)*NtoN2O*kgtoGg)</f>
        <v>6.1326167243016087E-2</v>
      </c>
      <c r="AP36" s="28">
        <f>IF(('Activity data'!AP5*EF!$H36*EF!O54)*NtoN2O*kgtoGg=0,"NO",('Activity data'!AP5*EF!$H36*EF!O54)*NtoN2O*kgtoGg)</f>
        <v>6.193394822793255E-2</v>
      </c>
      <c r="AQ36" s="28">
        <f>IF(('Activity data'!AQ5*EF!$H36*EF!P54)*NtoN2O*kgtoGg=0,"NO",('Activity data'!AQ5*EF!$H36*EF!P54)*NtoN2O*kgtoGg)</f>
        <v>6.261453423101207E-2</v>
      </c>
      <c r="AR36" s="28">
        <f>IF(('Activity data'!AR5*EF!$H36*EF!Q54)*NtoN2O*kgtoGg=0,"NO",('Activity data'!AR5*EF!$H36*EF!Q54)*NtoN2O*kgtoGg)</f>
        <v>6.3287491694744361E-2</v>
      </c>
      <c r="AS36" s="28">
        <f>IF(('Activity data'!AS5*EF!$H36*EF!R54)*NtoN2O*kgtoGg=0,"NO",('Activity data'!AS5*EF!$H36*EF!R54)*NtoN2O*kgtoGg)</f>
        <v>6.4012062913969589E-2</v>
      </c>
      <c r="AT36" s="28">
        <f>IF(('Activity data'!AT5*EF!$H36*EF!S54)*NtoN2O*kgtoGg=0,"NO",('Activity data'!AT5*EF!$H36*EF!S54)*NtoN2O*kgtoGg)</f>
        <v>6.4792936410512425E-2</v>
      </c>
      <c r="AU36" s="28">
        <f>IF(('Activity data'!AU5*EF!$H36*EF!T54)*NtoN2O*kgtoGg=0,"NO",('Activity data'!AU5*EF!$H36*EF!T54)*NtoN2O*kgtoGg)</f>
        <v>6.567487190027356E-2</v>
      </c>
      <c r="AV36" s="28">
        <f>IF(('Activity data'!AV5*EF!$H36*EF!U54)*NtoN2O*kgtoGg=0,"NO",('Activity data'!AV5*EF!$H36*EF!U54)*NtoN2O*kgtoGg)</f>
        <v>6.6558774482627009E-2</v>
      </c>
      <c r="AW36" s="28">
        <f>IF(('Activity data'!AW5*EF!$H36*EF!V54)*NtoN2O*kgtoGg=0,"NO",('Activity data'!AW5*EF!$H36*EF!V54)*NtoN2O*kgtoGg)</f>
        <v>6.7556473997728295E-2</v>
      </c>
      <c r="AX36" s="28">
        <f>IF(('Activity data'!AX5*EF!$H36*EF!W54)*NtoN2O*kgtoGg=0,"NO",('Activity data'!AX5*EF!$H36*EF!W54)*NtoN2O*kgtoGg)</f>
        <v>6.8595456973120555E-2</v>
      </c>
      <c r="AY36" s="28">
        <f>IF(('Activity data'!AY5*EF!$H36*EF!X54)*NtoN2O*kgtoGg=0,"NO",('Activity data'!AY5*EF!$H36*EF!X54)*NtoN2O*kgtoGg)</f>
        <v>6.9671253863983568E-2</v>
      </c>
      <c r="AZ36" s="28">
        <f>IF(('Activity data'!AZ5*EF!$H36*EF!Y54)*NtoN2O*kgtoGg=0,"NO",('Activity data'!AZ5*EF!$H36*EF!Y54)*NtoN2O*kgtoGg)</f>
        <v>7.0779093282702044E-2</v>
      </c>
      <c r="BA36" s="28">
        <f>IF(('Activity data'!BA5*EF!$H36*EF!Z54)*NtoN2O*kgtoGg=0,"NO",('Activity data'!BA5*EF!$H36*EF!Z54)*NtoN2O*kgtoGg)</f>
        <v>7.1816905589756022E-2</v>
      </c>
      <c r="BB36" s="28">
        <f>IF(('Activity data'!BB5*EF!$H36*EF!AA54)*NtoN2O*kgtoGg=0,"NO",('Activity data'!BB5*EF!$H36*EF!AA54)*NtoN2O*kgtoGg)</f>
        <v>7.2871922264855768E-2</v>
      </c>
      <c r="BC36" s="28">
        <f>IF(('Activity data'!BC5*EF!$H36*EF!AB54)*NtoN2O*kgtoGg=0,"NO",('Activity data'!BC5*EF!$H36*EF!AB54)*NtoN2O*kgtoGg)</f>
        <v>7.4004640989833018E-2</v>
      </c>
      <c r="BD36" s="28">
        <f>IF(('Activity data'!BD5*EF!$H36*EF!AC54)*NtoN2O*kgtoGg=0,"NO",('Activity data'!BD5*EF!$H36*EF!AC54)*NtoN2O*kgtoGg)</f>
        <v>7.5194696702987895E-2</v>
      </c>
      <c r="BE36" s="28">
        <f>IF(('Activity data'!BE5*EF!$H36*EF!AD54)*NtoN2O*kgtoGg=0,"NO",('Activity data'!BE5*EF!$H36*EF!AD54)*NtoN2O*kgtoGg)</f>
        <v>7.636657644269701E-2</v>
      </c>
      <c r="BF36" s="28">
        <f>IF(('Activity data'!BF5*EF!$H36*EF!AE54)*NtoN2O*kgtoGg=0,"NO",('Activity data'!BF5*EF!$H36*EF!AE54)*NtoN2O*kgtoGg)</f>
        <v>7.7561568015370203E-2</v>
      </c>
      <c r="BG36" s="28">
        <f>IF(('Activity data'!BG5*EF!$H36*EF!AF54)*NtoN2O*kgtoGg=0,"NO",('Activity data'!BG5*EF!$H36*EF!AF54)*NtoN2O*kgtoGg)</f>
        <v>7.8775248624720254E-2</v>
      </c>
      <c r="BH36" s="28">
        <f>IF(('Activity data'!BH5*EF!$H36*EF!AG54)*NtoN2O*kgtoGg=0,"NO",('Activity data'!BH5*EF!$H36*EF!AG54)*NtoN2O*kgtoGg)</f>
        <v>8.0052047473047866E-2</v>
      </c>
      <c r="BI36" s="28">
        <f>IF(('Activity data'!BI5*EF!$H36*EF!AH54)*NtoN2O*kgtoGg=0,"NO",('Activity data'!BI5*EF!$H36*EF!AH54)*NtoN2O*kgtoGg)</f>
        <v>8.1406247814121105E-2</v>
      </c>
      <c r="BJ36" s="28">
        <f>IF(('Activity data'!BJ5*EF!$H36*EF!AI54)*NtoN2O*kgtoGg=0,"NO",('Activity data'!BJ5*EF!$H36*EF!AI54)*NtoN2O*kgtoGg)</f>
        <v>8.2832592644794922E-2</v>
      </c>
      <c r="BK36" s="28">
        <f>IF(('Activity data'!BK5*EF!$H36*EF!AJ54)*NtoN2O*kgtoGg=0,"NO",('Activity data'!BK5*EF!$H36*EF!AJ54)*NtoN2O*kgtoGg)</f>
        <v>8.4361183438269899E-2</v>
      </c>
      <c r="BL36" s="28">
        <f>IF(('Activity data'!BL5*EF!$H36*EF!AK54)*NtoN2O*kgtoGg=0,"NO",('Activity data'!BL5*EF!$H36*EF!AK54)*NtoN2O*kgtoGg)</f>
        <v>8.5946091129883023E-2</v>
      </c>
      <c r="BM36" s="28">
        <f>IF(('Activity data'!BM5*EF!$H36*EF!AL54)*NtoN2O*kgtoGg=0,"NO",('Activity data'!BM5*EF!$H36*EF!AL54)*NtoN2O*kgtoGg)</f>
        <v>8.7604269505152849E-2</v>
      </c>
      <c r="BN36" s="28">
        <f>IF(('Activity data'!BN5*EF!$H36*EF!AM54)*NtoN2O*kgtoGg=0,"NO",('Activity data'!BN5*EF!$H36*EF!AM54)*NtoN2O*kgtoGg)</f>
        <v>8.9260412336452294E-2</v>
      </c>
      <c r="BO36" s="28">
        <f>IF(('Activity data'!BO5*EF!$H36*EF!AN54)*NtoN2O*kgtoGg=0,"NO",('Activity data'!BO5*EF!$H36*EF!AN54)*NtoN2O*kgtoGg)</f>
        <v>9.0996570711660715E-2</v>
      </c>
      <c r="BP36" s="28">
        <f>IF(('Activity data'!BP5*EF!$H36*EF!AO54)*NtoN2O*kgtoGg=0,"NO",('Activity data'!BP5*EF!$H36*EF!AO54)*NtoN2O*kgtoGg)</f>
        <v>9.283203558722801E-2</v>
      </c>
    </row>
    <row r="37" spans="1:68" x14ac:dyDescent="0.25">
      <c r="A37" t="str">
        <f t="shared" si="1"/>
        <v>3A Livestock</v>
      </c>
      <c r="B37" t="str">
        <f>B36</f>
        <v>3A2 Manure management (N2O)</v>
      </c>
      <c r="C37" t="str">
        <f>EF!C55</f>
        <v>3A1ai Dairy cattle</v>
      </c>
      <c r="D37" t="str">
        <f>EF!D55</f>
        <v>Pasture</v>
      </c>
      <c r="E37" t="str">
        <f t="shared" si="9"/>
        <v>Manure management Emissions</v>
      </c>
      <c r="F37" t="s">
        <v>139</v>
      </c>
      <c r="G37" t="str">
        <f t="shared" ref="G37:G53" si="10">G36</f>
        <v>Gg N2O</v>
      </c>
      <c r="H37" s="28">
        <f>IF(('Activity data'!H6*EF!$H37*EF!$H55)*NtoN2O*kgtoGg=0,"NO",('Activity data'!H6*EF!$H37*EF!$H55)*NtoN2O*kgtoGg)</f>
        <v>0.21291734414122981</v>
      </c>
      <c r="I37" s="28">
        <f>IF(('Activity data'!I6*EF!$H37*EF!$H55)*NtoN2O*kgtoGg=0,"NO",('Activity data'!I6*EF!$H37*EF!$H55)*NtoN2O*kgtoGg)</f>
        <v>0.24512316768375322</v>
      </c>
      <c r="J37" s="28">
        <f>IF(('Activity data'!J6*EF!$H37*EF!$H55)*NtoN2O*kgtoGg=0,"NO",('Activity data'!J6*EF!$H37*EF!$H55)*NtoN2O*kgtoGg)</f>
        <v>0.21206325644895188</v>
      </c>
      <c r="K37" s="28">
        <f>IF(('Activity data'!K6*EF!$H37*EF!$H55)*NtoN2O*kgtoGg=0,"NO",('Activity data'!K6*EF!$H37*EF!$H55)*NtoN2O*kgtoGg)</f>
        <v>0.22491295779681808</v>
      </c>
      <c r="L37" s="28">
        <f>IF(('Activity data'!L6*EF!$H37*EF!$H55)*NtoN2O*kgtoGg=0,"NO",('Activity data'!L6*EF!$H37*EF!$H55)*NtoN2O*kgtoGg)</f>
        <v>0.20864690567984037</v>
      </c>
      <c r="M37" s="28">
        <f>IF(('Activity data'!M6*EF!$H37*EF!$H55)*NtoN2O*kgtoGg=0,"NO",('Activity data'!M6*EF!$H37*EF!$H55)*NtoN2O*kgtoGg)</f>
        <v>0.22320478241226227</v>
      </c>
      <c r="N37" s="28">
        <f>IF(('Activity data'!N6*EF!$H37*EF!$H55)*NtoN2O*kgtoGg=0,"NO",('Activity data'!N6*EF!$H37*EF!$H55)*NtoN2O*kgtoGg)</f>
        <v>0.22405887010454018</v>
      </c>
      <c r="O37" s="28">
        <f>IF(('Activity data'!O6*EF!$H37*EF!$H55)*NtoN2O*kgtoGg=0,"NO",('Activity data'!O6*EF!$H37*EF!$H55)*NtoN2O*kgtoGg)</f>
        <v>0.21600741421890937</v>
      </c>
      <c r="P37" s="28">
        <f>IF(('Activity data'!P6*EF!$H37*EF!$H55)*NtoN2O*kgtoGg=0,"NO",('Activity data'!P6*EF!$H37*EF!$H55)*NtoN2O*kgtoGg)</f>
        <v>0.21344515114207568</v>
      </c>
      <c r="Q37" s="28">
        <f>IF(('Activity data'!Q6*EF!$H37*EF!$H55)*NtoN2O*kgtoGg=0,"NO",('Activity data'!Q6*EF!$H37*EF!$H55)*NtoN2O*kgtoGg)</f>
        <v>0.20966413371783418</v>
      </c>
      <c r="R37" s="28">
        <f>IF(('Activity data'!R6*EF!$H37*EF!$H55)*NtoN2O*kgtoGg=0,"NO",('Activity data'!R6*EF!$H37*EF!$H55)*NtoN2O*kgtoGg)</f>
        <v>0.26996848268720769</v>
      </c>
      <c r="S37" s="28">
        <f>IF(('Activity data'!S6*EF!$H37*EF!$H55)*NtoN2O*kgtoGg=0,"NO",('Activity data'!S6*EF!$H37*EF!$H55)*NtoN2O*kgtoGg)</f>
        <v>0.26911439499492978</v>
      </c>
      <c r="T37" s="28">
        <f>IF(('Activity data'!T6*EF!$H37*EF!$H55)*NtoN2O*kgtoGg=0,"NO",('Activity data'!T6*EF!$H37*EF!$H55)*NtoN2O*kgtoGg)</f>
        <v>0.23467258906700467</v>
      </c>
      <c r="U37" s="28">
        <f>IF(('Activity data'!U6*EF!$H37*EF!$H55)*NtoN2O*kgtoGg=0,"NO",('Activity data'!U6*EF!$H37*EF!$H55)*NtoN2O*kgtoGg)</f>
        <v>0.21344515114207568</v>
      </c>
      <c r="V37" s="28">
        <f>IF(('Activity data'!V6*EF!$H37*EF!$H55)*NtoN2O*kgtoGg=0,"NO",('Activity data'!V6*EF!$H37*EF!$H55)*NtoN2O*kgtoGg)</f>
        <v>0.20608464260300666</v>
      </c>
      <c r="W37" s="28">
        <f>IF(('Activity data'!W6*EF!$H37*EF!$H55)*NtoN2O*kgtoGg=0,"NO",('Activity data'!W6*EF!$H37*EF!$H55)*NtoN2O*kgtoGg)</f>
        <v>0.22064251933542864</v>
      </c>
      <c r="X37" s="28">
        <f>IF(('Activity data'!X6*EF!$H37*EF!$H55)*NtoN2O*kgtoGg=0,"NO",('Activity data'!X6*EF!$H37*EF!$H55)*NtoN2O*kgtoGg)</f>
        <v>0.2158442738731933</v>
      </c>
      <c r="Y37" s="28">
        <f>IF(('Activity data'!Y6*EF!$H37*EF!$H55)*NtoN2O*kgtoGg=0,"NO",('Activity data'!Y6*EF!$H37*EF!$H55)*NtoN2O*kgtoGg)</f>
        <v>0.21429923883435359</v>
      </c>
      <c r="Z37" s="28">
        <f>IF(('Activity data'!Z6*EF!$H37*EF!$H55)*NtoN2O*kgtoGg=0,"NO",('Activity data'!Z6*EF!$H37*EF!$H55)*NtoN2O*kgtoGg)</f>
        <v>0.26244483380242267</v>
      </c>
      <c r="AA37" s="28">
        <f>IF(('Activity data'!AA6*EF!$H37*EF!$H55)*NtoN2O*kgtoGg=0,"NO",('Activity data'!AA6*EF!$H37*EF!$H55)*NtoN2O*kgtoGg)</f>
        <v>0.26895125464921371</v>
      </c>
      <c r="AB37" s="28">
        <f>IF(('Activity data'!AB6*EF!$H37*EF!$H55)*NtoN2O*kgtoGg=0,"NO",('Activity data'!AB6*EF!$H37*EF!$H55)*NtoN2O*kgtoGg)</f>
        <v>0.26895125464921371</v>
      </c>
      <c r="AC37" s="28">
        <f>IF(('Activity data'!AC6*EF!$H37*EF!$H55)*NtoN2O*kgtoGg=0,"NO",('Activity data'!AC6*EF!$H37*EF!$H55)*NtoN2O*kgtoGg)</f>
        <v>0.25919162337902713</v>
      </c>
      <c r="AD37" s="28">
        <f>IF(('Activity data'!AD6*EF!$H37*EF!$H55)*NtoN2O*kgtoGg=0,"NO",('Activity data'!AD6*EF!$H37*EF!$H55)*NtoN2O*kgtoGg)</f>
        <v>0.2604301844920307</v>
      </c>
      <c r="AE37" s="28">
        <f>IF(('Activity data'!AE6*EF!$H37*EF!$H55)*NtoN2O*kgtoGg=0,"NO",('Activity data'!AE6*EF!$H37*EF!$H55)*NtoN2O*kgtoGg)</f>
        <v>0.26234313241443374</v>
      </c>
      <c r="AF37" s="28">
        <f>IF(('Activity data'!AF6*EF!$H37*EF!$H55)*NtoN2O*kgtoGg=0,"NO",('Activity data'!AF6*EF!$H37*EF!$H55)*NtoN2O*kgtoGg)</f>
        <v>0.26377615153416628</v>
      </c>
      <c r="AG37" s="28">
        <f>IF(('Activity data'!AG6*EF!$H37*EF!$H55)*NtoN2O*kgtoGg=0,"NO",('Activity data'!AG6*EF!$H37*EF!$H55)*NtoN2O*kgtoGg)</f>
        <v>0.26487097499162549</v>
      </c>
      <c r="AH37" s="28">
        <f>IF(('Activity data'!AH6*EF!$H37*EF!$H55)*NtoN2O*kgtoGg=0,"NO",('Activity data'!AH6*EF!$H37*EF!$H55)*NtoN2O*kgtoGg)</f>
        <v>0.265592162694815</v>
      </c>
      <c r="AI37" s="28">
        <f>IF(('Activity data'!AI6*EF!$H37*EF!H55)*NtoN2O*kgtoGg=0,"NO",('Activity data'!AI6*EF!$H37*EF!H55)*NtoN2O*kgtoGg)</f>
        <v>0.26706650159107798</v>
      </c>
      <c r="AJ37" s="28">
        <f>IF(('Activity data'!AJ6*EF!$H37*EF!I55)*NtoN2O*kgtoGg=0,"NO",('Activity data'!AJ6*EF!$H37*EF!I55)*NtoN2O*kgtoGg)</f>
        <v>0.26847972480204529</v>
      </c>
      <c r="AK37" s="28">
        <f>IF(('Activity data'!AK6*EF!$H37*EF!J55)*NtoN2O*kgtoGg=0,"NO",('Activity data'!AK6*EF!$H37*EF!J55)*NtoN2O*kgtoGg)</f>
        <v>0.26991694877193922</v>
      </c>
      <c r="AL37" s="28">
        <f>IF(('Activity data'!AL6*EF!$H37*EF!K55)*NtoN2O*kgtoGg=0,"NO",('Activity data'!AL6*EF!$H37*EF!K55)*NtoN2O*kgtoGg)</f>
        <v>0.26135268403102446</v>
      </c>
      <c r="AM37" s="28">
        <f>IF(('Activity data'!AM6*EF!$H37*EF!L55)*NtoN2O*kgtoGg=0,"NO",('Activity data'!AM6*EF!$H37*EF!L55)*NtoN2O*kgtoGg)</f>
        <v>0.26375894978778897</v>
      </c>
      <c r="AN37" s="28">
        <f>IF(('Activity data'!AN6*EF!$H37*EF!M55)*NtoN2O*kgtoGg=0,"NO",('Activity data'!AN6*EF!$H37*EF!M55)*NtoN2O*kgtoGg)</f>
        <v>0.2660914113728996</v>
      </c>
      <c r="AO37" s="28">
        <f>IF(('Activity data'!AO6*EF!$H37*EF!N55)*NtoN2O*kgtoGg=0,"NO",('Activity data'!AO6*EF!$H37*EF!N55)*NtoN2O*kgtoGg)</f>
        <v>0.26852472658318138</v>
      </c>
      <c r="AP37" s="28">
        <f>IF(('Activity data'!AP6*EF!$H37*EF!O55)*NtoN2O*kgtoGg=0,"NO",('Activity data'!AP6*EF!$H37*EF!O55)*NtoN2O*kgtoGg)</f>
        <v>0.27118597593454596</v>
      </c>
      <c r="AQ37" s="28">
        <f>IF(('Activity data'!AQ6*EF!$H37*EF!P55)*NtoN2O*kgtoGg=0,"NO",('Activity data'!AQ6*EF!$H37*EF!P55)*NtoN2O*kgtoGg)</f>
        <v>0.27416601167800064</v>
      </c>
      <c r="AR37" s="28">
        <f>IF(('Activity data'!AR6*EF!$H37*EF!Q55)*NtoN2O*kgtoGg=0,"NO",('Activity data'!AR6*EF!$H37*EF!Q55)*NtoN2O*kgtoGg)</f>
        <v>0.27711264485392934</v>
      </c>
      <c r="AS37" s="28">
        <f>IF(('Activity data'!AS6*EF!$H37*EF!R55)*NtoN2O*kgtoGg=0,"NO",('Activity data'!AS6*EF!$H37*EF!R55)*NtoN2O*kgtoGg)</f>
        <v>0.28028527567824779</v>
      </c>
      <c r="AT37" s="28">
        <f>IF(('Activity data'!AT6*EF!$H37*EF!S55)*NtoN2O*kgtoGg=0,"NO",('Activity data'!AT6*EF!$H37*EF!S55)*NtoN2O*kgtoGg)</f>
        <v>0.28370443346328111</v>
      </c>
      <c r="AU37" s="28">
        <f>IF(('Activity data'!AU6*EF!$H37*EF!T55)*NtoN2O*kgtoGg=0,"NO",('Activity data'!AU6*EF!$H37*EF!T55)*NtoN2O*kgtoGg)</f>
        <v>0.28756610453940862</v>
      </c>
      <c r="AV37" s="28">
        <f>IF(('Activity data'!AV6*EF!$H37*EF!U55)*NtoN2O*kgtoGg=0,"NO",('Activity data'!AV6*EF!$H37*EF!U55)*NtoN2O*kgtoGg)</f>
        <v>0.29143638879037259</v>
      </c>
      <c r="AW37" s="28">
        <f>IF(('Activity data'!AW6*EF!$H37*EF!V55)*NtoN2O*kgtoGg=0,"NO",('Activity data'!AW6*EF!$H37*EF!V55)*NtoN2O*kgtoGg)</f>
        <v>0.2958049479478872</v>
      </c>
      <c r="AX37" s="28">
        <f>IF(('Activity data'!AX6*EF!$H37*EF!W55)*NtoN2O*kgtoGg=0,"NO",('Activity data'!AX6*EF!$H37*EF!W55)*NtoN2O*kgtoGg)</f>
        <v>0.30035427219125993</v>
      </c>
      <c r="AY37" s="28">
        <f>IF(('Activity data'!AY6*EF!$H37*EF!X55)*NtoN2O*kgtoGg=0,"NO",('Activity data'!AY6*EF!$H37*EF!X55)*NtoN2O*kgtoGg)</f>
        <v>0.30506479102791401</v>
      </c>
      <c r="AZ37" s="28">
        <f>IF(('Activity data'!AZ6*EF!$H37*EF!Y55)*NtoN2O*kgtoGg=0,"NO",('Activity data'!AZ6*EF!$H37*EF!Y55)*NtoN2O*kgtoGg)</f>
        <v>0.30991561230671044</v>
      </c>
      <c r="BA37" s="28">
        <f>IF(('Activity data'!BA6*EF!$H37*EF!Z55)*NtoN2O*kgtoGg=0,"NO",('Activity data'!BA6*EF!$H37*EF!Z55)*NtoN2O*kgtoGg)</f>
        <v>0.31445981062407835</v>
      </c>
      <c r="BB37" s="28">
        <f>IF(('Activity data'!BB6*EF!$H37*EF!AA55)*NtoN2O*kgtoGg=0,"NO",('Activity data'!BB6*EF!$H37*EF!AA55)*NtoN2O*kgtoGg)</f>
        <v>0.31907934054022702</v>
      </c>
      <c r="BC37" s="28">
        <f>IF(('Activity data'!BC6*EF!$H37*EF!AB55)*NtoN2O*kgtoGg=0,"NO",('Activity data'!BC6*EF!$H37*EF!AB55)*NtoN2O*kgtoGg)</f>
        <v>0.32403909914889512</v>
      </c>
      <c r="BD37" s="28">
        <f>IF(('Activity data'!BD6*EF!$H37*EF!AC55)*NtoN2O*kgtoGg=0,"NO",('Activity data'!BD6*EF!$H37*EF!AC55)*NtoN2O*kgtoGg)</f>
        <v>0.32924991533649989</v>
      </c>
      <c r="BE37" s="28">
        <f>IF(('Activity data'!BE6*EF!$H37*EF!AD55)*NtoN2O*kgtoGg=0,"NO",('Activity data'!BE6*EF!$H37*EF!AD55)*NtoN2O*kgtoGg)</f>
        <v>0.33438114562269716</v>
      </c>
      <c r="BF37" s="28">
        <f>IF(('Activity data'!BF6*EF!$H37*EF!AE55)*NtoN2O*kgtoGg=0,"NO",('Activity data'!BF6*EF!$H37*EF!AE55)*NtoN2O*kgtoGg)</f>
        <v>0.33961357412340071</v>
      </c>
      <c r="BG37" s="28">
        <f>IF(('Activity data'!BG6*EF!$H37*EF!AF55)*NtoN2O*kgtoGg=0,"NO",('Activity data'!BG6*EF!$H37*EF!AF55)*NtoN2O*kgtoGg)</f>
        <v>0.34492783504066271</v>
      </c>
      <c r="BH37" s="28">
        <f>IF(('Activity data'!BH6*EF!$H37*EF!AG55)*NtoN2O*kgtoGg=0,"NO",('Activity data'!BH6*EF!$H37*EF!AG55)*NtoN2O*kgtoGg)</f>
        <v>0.35051846750739235</v>
      </c>
      <c r="BI37" s="28">
        <f>IF(('Activity data'!BI6*EF!$H37*EF!AH55)*NtoN2O*kgtoGg=0,"NO",('Activity data'!BI6*EF!$H37*EF!AH55)*NtoN2O*kgtoGg)</f>
        <v>0.35644801263752512</v>
      </c>
      <c r="BJ37" s="28">
        <f>IF(('Activity data'!BJ6*EF!$H37*EF!AI55)*NtoN2O*kgtoGg=0,"NO",('Activity data'!BJ6*EF!$H37*EF!AI55)*NtoN2O*kgtoGg)</f>
        <v>0.36269345194815877</v>
      </c>
      <c r="BK37" s="28">
        <f>IF(('Activity data'!BK6*EF!$H37*EF!AJ55)*NtoN2O*kgtoGg=0,"NO",('Activity data'!BK6*EF!$H37*EF!AJ55)*NtoN2O*kgtoGg)</f>
        <v>0.36938658871714841</v>
      </c>
      <c r="BL37" s="28">
        <f>IF(('Activity data'!BL6*EF!$H37*EF!AK55)*NtoN2O*kgtoGg=0,"NO",('Activity data'!BL6*EF!$H37*EF!AK55)*NtoN2O*kgtoGg)</f>
        <v>0.37632631646604764</v>
      </c>
      <c r="BM37" s="28">
        <f>IF(('Activity data'!BM6*EF!$H37*EF!AL55)*NtoN2O*kgtoGg=0,"NO",('Activity data'!BM6*EF!$H37*EF!AL55)*NtoN2O*kgtoGg)</f>
        <v>0.38358686958493143</v>
      </c>
      <c r="BN37" s="28">
        <f>IF(('Activity data'!BN6*EF!$H37*EF!AM55)*NtoN2O*kgtoGg=0,"NO",('Activity data'!BN6*EF!$H37*EF!AM55)*NtoN2O*kgtoGg)</f>
        <v>0.39083850980557527</v>
      </c>
      <c r="BO37" s="28">
        <f>IF(('Activity data'!BO6*EF!$H37*EF!AN55)*NtoN2O*kgtoGg=0,"NO",('Activity data'!BO6*EF!$H37*EF!AN55)*NtoN2O*kgtoGg)</f>
        <v>0.39844050865804764</v>
      </c>
      <c r="BP37" s="28">
        <f>IF(('Activity data'!BP6*EF!$H37*EF!AO55)*NtoN2O*kgtoGg=0,"NO",('Activity data'!BP6*EF!$H37*EF!AO55)*NtoN2O*kgtoGg)</f>
        <v>0.40647733414416787</v>
      </c>
    </row>
    <row r="38" spans="1:68" x14ac:dyDescent="0.25">
      <c r="A38" t="str">
        <f t="shared" si="1"/>
        <v>3A Livestock</v>
      </c>
      <c r="B38" t="str">
        <f t="shared" ref="B38:B53" si="11">B37</f>
        <v>3A2 Manure management (N2O)</v>
      </c>
      <c r="C38" t="str">
        <f>EF!C56</f>
        <v>3A1aii Other cattle</v>
      </c>
      <c r="D38" t="str">
        <f>EF!D56</f>
        <v>Non-lactating</v>
      </c>
      <c r="E38" t="str">
        <f t="shared" si="9"/>
        <v>Manure management Emissions</v>
      </c>
      <c r="F38" t="s">
        <v>139</v>
      </c>
      <c r="G38" t="str">
        <f t="shared" si="10"/>
        <v>Gg N2O</v>
      </c>
      <c r="H38" s="28">
        <f>IF(('Activity data'!H7*EF!$H38*EF!$H56)*NtoN2O*kgtoGg=0,"NO",('Activity data'!H7*EF!$H38*EF!$H56)*NtoN2O*kgtoGg)</f>
        <v>1.1183611918471593E-2</v>
      </c>
      <c r="I38" s="28">
        <f>IF(('Activity data'!I7*EF!$H38*EF!$H56)*NtoN2O*kgtoGg=0,"NO",('Activity data'!I7*EF!$H38*EF!$H56)*NtoN2O*kgtoGg)</f>
        <v>1.2711960166782875E-2</v>
      </c>
      <c r="J38" s="28">
        <f>IF(('Activity data'!J7*EF!$H38*EF!$H56)*NtoN2O*kgtoGg=0,"NO",('Activity data'!J7*EF!$H38*EF!$H56)*NtoN2O*kgtoGg)</f>
        <v>1.0995878646861469E-2</v>
      </c>
      <c r="K38" s="28">
        <f>IF(('Activity data'!K7*EF!$H38*EF!$H56)*NtoN2O*kgtoGg=0,"NO",('Activity data'!K7*EF!$H38*EF!$H56)*NtoN2O*kgtoGg)</f>
        <v>1.1507534902584429E-2</v>
      </c>
      <c r="L38" s="28">
        <f>IF(('Activity data'!L7*EF!$H38*EF!$H56)*NtoN2O*kgtoGg=0,"NO",('Activity data'!L7*EF!$H38*EF!$H56)*NtoN2O*kgtoGg)</f>
        <v>1.0244945560421E-2</v>
      </c>
      <c r="M38" s="28">
        <f>IF(('Activity data'!M7*EF!$H38*EF!$H56)*NtoN2O*kgtoGg=0,"NO",('Activity data'!M7*EF!$H38*EF!$H56)*NtoN2O*kgtoGg)</f>
        <v>1.1132068359364188E-2</v>
      </c>
      <c r="N38" s="28">
        <f>IF(('Activity data'!N7*EF!$H38*EF!$H56)*NtoN2O*kgtoGg=0,"NO",('Activity data'!N7*EF!$H38*EF!$H56)*NtoN2O*kgtoGg)</f>
        <v>1.1319801630974307E-2</v>
      </c>
      <c r="O38" s="28">
        <f>IF(('Activity data'!O7*EF!$H38*EF!$H56)*NtoN2O*kgtoGg=0,"NO",('Activity data'!O7*EF!$H38*EF!$H56)*NtoN2O*kgtoGg)</f>
        <v>1.0937714568896487E-2</v>
      </c>
      <c r="P38" s="28">
        <f>IF(('Activity data'!P7*EF!$H38*EF!$H56)*NtoN2O*kgtoGg=0,"NO",('Activity data'!P7*EF!$H38*EF!$H56)*NtoN2O*kgtoGg)</f>
        <v>1.0374514754066132E-2</v>
      </c>
      <c r="Q38" s="28">
        <f>IF(('Activity data'!Q7*EF!$H38*EF!$H56)*NtoN2O*kgtoGg=0,"NO",('Activity data'!Q7*EF!$H38*EF!$H56)*NtoN2O*kgtoGg)</f>
        <v>1.0931094050038906E-2</v>
      </c>
      <c r="R38" s="28">
        <f>IF(('Activity data'!R7*EF!$H38*EF!$H56)*NtoN2O*kgtoGg=0,"NO",('Activity data'!R7*EF!$H38*EF!$H56)*NtoN2O*kgtoGg)</f>
        <v>1.3547539406618663E-2</v>
      </c>
      <c r="S38" s="28">
        <f>IF(('Activity data'!S7*EF!$H38*EF!$H56)*NtoN2O*kgtoGg=0,"NO",('Activity data'!S7*EF!$H38*EF!$H56)*NtoN2O*kgtoGg)</f>
        <v>1.3359806135008544E-2</v>
      </c>
      <c r="T38" s="28">
        <f>IF(('Activity data'!T7*EF!$H38*EF!$H56)*NtoN2O*kgtoGg=0,"NO",('Activity data'!T7*EF!$H38*EF!$H56)*NtoN2O*kgtoGg)</f>
        <v>1.2265088507882486E-2</v>
      </c>
      <c r="U38" s="28">
        <f>IF(('Activity data'!U7*EF!$H38*EF!$H56)*NtoN2O*kgtoGg=0,"NO",('Activity data'!U7*EF!$H38*EF!$H56)*NtoN2O*kgtoGg)</f>
        <v>1.0374514754066132E-2</v>
      </c>
      <c r="V38" s="28">
        <f>IF(('Activity data'!V7*EF!$H38*EF!$H56)*NtoN2O*kgtoGg=0,"NO",('Activity data'!V7*EF!$H38*EF!$H56)*NtoN2O*kgtoGg)</f>
        <v>9.6817457455906381E-3</v>
      </c>
      <c r="W38" s="28">
        <f>IF(('Activity data'!W7*EF!$H38*EF!$H56)*NtoN2O*kgtoGg=0,"NO",('Activity data'!W7*EF!$H38*EF!$H56)*NtoN2O*kgtoGg)</f>
        <v>1.0568868544533832E-2</v>
      </c>
      <c r="X38" s="28">
        <f>IF(('Activity data'!X7*EF!$H38*EF!$H56)*NtoN2O*kgtoGg=0,"NO",('Activity data'!X7*EF!$H38*EF!$H56)*NtoN2O*kgtoGg)</f>
        <v>1.0439299350888697E-2</v>
      </c>
      <c r="Y38" s="28">
        <f>IF(('Activity data'!Y7*EF!$H38*EF!$H56)*NtoN2O*kgtoGg=0,"NO",('Activity data'!Y7*EF!$H38*EF!$H56)*NtoN2O*kgtoGg)</f>
        <v>1.0562248025676249E-2</v>
      </c>
      <c r="Z38" s="28">
        <f>IF(('Activity data'!Z7*EF!$H38*EF!$H56)*NtoN2O*kgtoGg=0,"NO",('Activity data'!Z7*EF!$H38*EF!$H56)*NtoN2O*kgtoGg)</f>
        <v>1.2356355180135385E-2</v>
      </c>
      <c r="AA38" s="28">
        <f>IF(('Activity data'!AA7*EF!$H38*EF!$H56)*NtoN2O*kgtoGg=0,"NO",('Activity data'!AA7*EF!$H38*EF!$H56)*NtoN2O*kgtoGg)</f>
        <v>1.2861390917000753E-2</v>
      </c>
      <c r="AB38" s="28">
        <f>IF(('Activity data'!AB7*EF!$H38*EF!$H56)*NtoN2O*kgtoGg=0,"NO",('Activity data'!AB7*EF!$H38*EF!$H56)*NtoN2O*kgtoGg)</f>
        <v>1.2861390917000753E-2</v>
      </c>
      <c r="AC38" s="28">
        <f>IF(('Activity data'!AC7*EF!$H38*EF!$H56)*NtoN2O*kgtoGg=0,"NO",('Activity data'!AC7*EF!$H38*EF!$H56)*NtoN2O*kgtoGg)</f>
        <v>1.2103837311702698E-2</v>
      </c>
      <c r="AD38" s="28">
        <f>IF(('Activity data'!AD7*EF!$H38*EF!$H56)*NtoN2O*kgtoGg=0,"NO",('Activity data'!AD7*EF!$H38*EF!$H56)*NtoN2O*kgtoGg)</f>
        <v>1.1587605355551749E-2</v>
      </c>
      <c r="AE38" s="28">
        <f>IF(('Activity data'!AE7*EF!$H38*EF!$H56)*NtoN2O*kgtoGg=0,"NO",('Activity data'!AE7*EF!$H38*EF!$H56)*NtoN2O*kgtoGg)</f>
        <v>1.1672720242037603E-2</v>
      </c>
      <c r="AF38" s="28">
        <f>IF(('Activity data'!AF7*EF!$H38*EF!$H56)*NtoN2O*kgtoGg=0,"NO",('Activity data'!AF7*EF!$H38*EF!$H56)*NtoN2O*kgtoGg)</f>
        <v>1.1736481130810191E-2</v>
      </c>
      <c r="AG38" s="28">
        <f>IF(('Activity data'!AG7*EF!$H38*EF!$H56)*NtoN2O*kgtoGg=0,"NO",('Activity data'!AG7*EF!$H38*EF!$H56)*NtoN2O*kgtoGg)</f>
        <v>1.1785194309675314E-2</v>
      </c>
      <c r="AH38" s="28">
        <f>IF(('Activity data'!AH7*EF!$H38*EF!$H56)*NtoN2O*kgtoGg=0,"NO",('Activity data'!AH7*EF!$H38*EF!$H56)*NtoN2O*kgtoGg)</f>
        <v>1.1817282903814803E-2</v>
      </c>
      <c r="AI38" s="28">
        <f>IF(('Activity data'!AI7*EF!$H38*EF!H56)*NtoN2O*kgtoGg=0,"NO",('Activity data'!AI7*EF!$H38*EF!H56)*NtoN2O*kgtoGg)</f>
        <v>1.1882882278647479E-2</v>
      </c>
      <c r="AJ38" s="28">
        <f>IF(('Activity data'!AJ7*EF!$H38*EF!I56)*NtoN2O*kgtoGg=0,"NO",('Activity data'!AJ7*EF!$H38*EF!I56)*NtoN2O*kgtoGg)</f>
        <v>1.1945762366375927E-2</v>
      </c>
      <c r="AK38" s="28">
        <f>IF(('Activity data'!AK7*EF!$H38*EF!J56)*NtoN2O*kgtoGg=0,"NO",('Activity data'!AK7*EF!$H38*EF!J56)*NtoN2O*kgtoGg)</f>
        <v>1.2009710346150828E-2</v>
      </c>
      <c r="AL38" s="28">
        <f>IF(('Activity data'!AL7*EF!$H38*EF!K56)*NtoN2O*kgtoGg=0,"NO",('Activity data'!AL7*EF!$H38*EF!K56)*NtoN2O*kgtoGg)</f>
        <v>1.1628651137627233E-2</v>
      </c>
      <c r="AM38" s="28">
        <f>IF(('Activity data'!AM7*EF!$H38*EF!L56)*NtoN2O*kgtoGg=0,"NO",('Activity data'!AM7*EF!$H38*EF!L56)*NtoN2O*kgtoGg)</f>
        <v>1.173571575467364E-2</v>
      </c>
      <c r="AN38" s="28">
        <f>IF(('Activity data'!AN7*EF!$H38*EF!M56)*NtoN2O*kgtoGg=0,"NO",('Activity data'!AN7*EF!$H38*EF!M56)*NtoN2O*kgtoGg)</f>
        <v>1.1839496521899086E-2</v>
      </c>
      <c r="AO38" s="28">
        <f>IF(('Activity data'!AO7*EF!$H38*EF!N56)*NtoN2O*kgtoGg=0,"NO",('Activity data'!AO7*EF!$H38*EF!N56)*NtoN2O*kgtoGg)</f>
        <v>1.1947764679898529E-2</v>
      </c>
      <c r="AP38" s="28">
        <f>IF(('Activity data'!AP7*EF!$H38*EF!O56)*NtoN2O*kgtoGg=0,"NO",('Activity data'!AP7*EF!$H38*EF!O56)*NtoN2O*kgtoGg)</f>
        <v>1.2066174561212707E-2</v>
      </c>
      <c r="AQ38" s="28">
        <f>IF(('Activity data'!AQ7*EF!$H38*EF!P56)*NtoN2O*kgtoGg=0,"NO",('Activity data'!AQ7*EF!$H38*EF!P56)*NtoN2O*kgtoGg)</f>
        <v>1.2198768554523981E-2</v>
      </c>
      <c r="AR38" s="28">
        <f>IF(('Activity data'!AR7*EF!$H38*EF!Q56)*NtoN2O*kgtoGg=0,"NO",('Activity data'!AR7*EF!$H38*EF!Q56)*NtoN2O*kgtoGg)</f>
        <v>1.2329876330824321E-2</v>
      </c>
      <c r="AS38" s="28">
        <f>IF(('Activity data'!AS7*EF!$H38*EF!R56)*NtoN2O*kgtoGg=0,"NO",('Activity data'!AS7*EF!$H38*EF!R56)*NtoN2O*kgtoGg)</f>
        <v>1.2471039667949657E-2</v>
      </c>
      <c r="AT38" s="28">
        <f>IF(('Activity data'!AT7*EF!$H38*EF!S56)*NtoN2O*kgtoGg=0,"NO",('Activity data'!AT7*EF!$H38*EF!S56)*NtoN2O*kgtoGg)</f>
        <v>1.2623171999071748E-2</v>
      </c>
      <c r="AU38" s="28">
        <f>IF(('Activity data'!AU7*EF!$H38*EF!T56)*NtoN2O*kgtoGg=0,"NO",('Activity data'!AU7*EF!$H38*EF!T56)*NtoN2O*kgtoGg)</f>
        <v>1.2794993558582579E-2</v>
      </c>
      <c r="AV38" s="28">
        <f>IF(('Activity data'!AV7*EF!$H38*EF!U56)*NtoN2O*kgtoGg=0,"NO",('Activity data'!AV7*EF!$H38*EF!U56)*NtoN2O*kgtoGg)</f>
        <v>1.2967198353512366E-2</v>
      </c>
      <c r="AW38" s="28">
        <f>IF(('Activity data'!AW7*EF!$H38*EF!V56)*NtoN2O*kgtoGg=0,"NO",('Activity data'!AW7*EF!$H38*EF!V56)*NtoN2O*kgtoGg)</f>
        <v>1.3161573439443354E-2</v>
      </c>
      <c r="AX38" s="28">
        <f>IF(('Activity data'!AX7*EF!$H38*EF!W56)*NtoN2O*kgtoGg=0,"NO",('Activity data'!AX7*EF!$H38*EF!W56)*NtoN2O*kgtoGg)</f>
        <v>1.3363991504267404E-2</v>
      </c>
      <c r="AY38" s="28">
        <f>IF(('Activity data'!AY7*EF!$H38*EF!X56)*NtoN2O*kgtoGg=0,"NO",('Activity data'!AY7*EF!$H38*EF!X56)*NtoN2O*kgtoGg)</f>
        <v>1.3573581776629673E-2</v>
      </c>
      <c r="AZ38" s="28">
        <f>IF(('Activity data'!AZ7*EF!$H38*EF!Y56)*NtoN2O*kgtoGg=0,"NO",('Activity data'!AZ7*EF!$H38*EF!Y56)*NtoN2O*kgtoGg)</f>
        <v>1.3789414679173752E-2</v>
      </c>
      <c r="BA38" s="28">
        <f>IF(('Activity data'!BA7*EF!$H38*EF!Z56)*NtoN2O*kgtoGg=0,"NO",('Activity data'!BA7*EF!$H38*EF!Z56)*NtoN2O*kgtoGg)</f>
        <v>1.3991604670559462E-2</v>
      </c>
      <c r="BB38" s="28">
        <f>IF(('Activity data'!BB7*EF!$H38*EF!AA56)*NtoN2O*kgtoGg=0,"NO",('Activity data'!BB7*EF!$H38*EF!AA56)*NtoN2O*kgtoGg)</f>
        <v>1.4197146473253741E-2</v>
      </c>
      <c r="BC38" s="28">
        <f>IF(('Activity data'!BC7*EF!$H38*EF!AB56)*NtoN2O*kgtoGg=0,"NO",('Activity data'!BC7*EF!$H38*EF!AB56)*NtoN2O*kgtoGg)</f>
        <v>1.4417826443696278E-2</v>
      </c>
      <c r="BD38" s="28">
        <f>IF(('Activity data'!BD7*EF!$H38*EF!AC56)*NtoN2O*kgtoGg=0,"NO",('Activity data'!BD7*EF!$H38*EF!AC56)*NtoN2O*kgtoGg)</f>
        <v>1.4649676993892902E-2</v>
      </c>
      <c r="BE38" s="28">
        <f>IF(('Activity data'!BE7*EF!$H38*EF!AD56)*NtoN2O*kgtoGg=0,"NO",('Activity data'!BE7*EF!$H38*EF!AD56)*NtoN2O*kgtoGg)</f>
        <v>1.4877986441435944E-2</v>
      </c>
      <c r="BF38" s="28">
        <f>IF(('Activity data'!BF7*EF!$H38*EF!AE56)*NtoN2O*kgtoGg=0,"NO",('Activity data'!BF7*EF!$H38*EF!AE56)*NtoN2O*kgtoGg)</f>
        <v>1.5110798611943581E-2</v>
      </c>
      <c r="BG38" s="28">
        <f>IF(('Activity data'!BG7*EF!$H38*EF!AF56)*NtoN2O*kgtoGg=0,"NO",('Activity data'!BG7*EF!$H38*EF!AF56)*NtoN2O*kgtoGg)</f>
        <v>1.5347251841763217E-2</v>
      </c>
      <c r="BH38" s="28">
        <f>IF(('Activity data'!BH7*EF!$H38*EF!AG56)*NtoN2O*kgtoGg=0,"NO",('Activity data'!BH7*EF!$H38*EF!AG56)*NtoN2O*kgtoGg)</f>
        <v>1.5596001973545196E-2</v>
      </c>
      <c r="BI38" s="28">
        <f>IF(('Activity data'!BI7*EF!$H38*EF!AH56)*NtoN2O*kgtoGg=0,"NO",('Activity data'!BI7*EF!$H38*EF!AH56)*NtoN2O*kgtoGg)</f>
        <v>1.5859831717550989E-2</v>
      </c>
      <c r="BJ38" s="28">
        <f>IF(('Activity data'!BJ7*EF!$H38*EF!AI56)*NtoN2O*kgtoGg=0,"NO",('Activity data'!BJ7*EF!$H38*EF!AI56)*NtoN2O*kgtoGg)</f>
        <v>1.6137716887216817E-2</v>
      </c>
      <c r="BK38" s="28">
        <f>IF(('Activity data'!BK7*EF!$H38*EF!AJ56)*NtoN2O*kgtoGg=0,"NO",('Activity data'!BK7*EF!$H38*EF!AJ56)*NtoN2O*kgtoGg)</f>
        <v>1.6435521950101752E-2</v>
      </c>
      <c r="BL38" s="28">
        <f>IF(('Activity data'!BL7*EF!$H38*EF!AK56)*NtoN2O*kgtoGg=0,"NO",('Activity data'!BL7*EF!$H38*EF!AK56)*NtoN2O*kgtoGg)</f>
        <v>1.6744298855459576E-2</v>
      </c>
      <c r="BM38" s="28">
        <f>IF(('Activity data'!BM7*EF!$H38*EF!AL56)*NtoN2O*kgtoGg=0,"NO",('Activity data'!BM7*EF!$H38*EF!AL56)*NtoN2O*kgtoGg)</f>
        <v>1.7067350595290524E-2</v>
      </c>
      <c r="BN38" s="28">
        <f>IF(('Activity data'!BN7*EF!$H38*EF!AM56)*NtoN2O*kgtoGg=0,"NO",('Activity data'!BN7*EF!$H38*EF!AM56)*NtoN2O*kgtoGg)</f>
        <v>1.7390005763780945E-2</v>
      </c>
      <c r="BO38" s="28">
        <f>IF(('Activity data'!BO7*EF!$H38*EF!AN56)*NtoN2O*kgtoGg=0,"NO",('Activity data'!BO7*EF!$H38*EF!AN56)*NtoN2O*kgtoGg)</f>
        <v>1.7728249822501034E-2</v>
      </c>
      <c r="BP38" s="28">
        <f>IF(('Activity data'!BP7*EF!$H38*EF!AO56)*NtoN2O*kgtoGg=0,"NO",('Activity data'!BP7*EF!$H38*EF!AO56)*NtoN2O*kgtoGg)</f>
        <v>1.8085841098743637E-2</v>
      </c>
    </row>
    <row r="39" spans="1:68" x14ac:dyDescent="0.25">
      <c r="A39" t="str">
        <f t="shared" si="1"/>
        <v>3A Livestock</v>
      </c>
      <c r="B39" t="str">
        <f t="shared" si="11"/>
        <v>3A2 Manure management (N2O)</v>
      </c>
      <c r="C39" t="str">
        <f>EF!C57</f>
        <v>3A1aii Other cattle</v>
      </c>
      <c r="D39" t="str">
        <f>EF!D57</f>
        <v>Commercial</v>
      </c>
      <c r="E39" t="str">
        <f>E37</f>
        <v>Manure management Emissions</v>
      </c>
      <c r="F39" t="s">
        <v>139</v>
      </c>
      <c r="G39" t="str">
        <f>G37</f>
        <v>Gg N2O</v>
      </c>
      <c r="H39" s="28">
        <f>IF(('Activity data'!H8*EF!$H39*EF!$H57)*NtoN2O*kgtoGg=0,"NO",('Activity data'!H8*EF!$H39*EF!$H57)*NtoN2O*kgtoGg)</f>
        <v>0.60130464628072355</v>
      </c>
      <c r="I39" s="28">
        <f>IF(('Activity data'!I8*EF!$H39*EF!$H57)*NtoN2O*kgtoGg=0,"NO",('Activity data'!I8*EF!$H39*EF!$H57)*NtoN2O*kgtoGg)</f>
        <v>0.57535110604783257</v>
      </c>
      <c r="J39" s="28">
        <f>IF(('Activity data'!J8*EF!$H39*EF!$H57)*NtoN2O*kgtoGg=0,"NO",('Activity data'!J8*EF!$H39*EF!$H57)*NtoN2O*kgtoGg)</f>
        <v>0.57514205938404817</v>
      </c>
      <c r="K39" s="28">
        <f>IF(('Activity data'!K8*EF!$H39*EF!$H57)*NtoN2O*kgtoGg=0,"NO",('Activity data'!K8*EF!$H39*EF!$H57)*NtoN2O*kgtoGg)</f>
        <v>0.53806582535232794</v>
      </c>
      <c r="L39" s="28">
        <f>IF(('Activity data'!L8*EF!$H39*EF!$H57)*NtoN2O*kgtoGg=0,"NO",('Activity data'!L8*EF!$H39*EF!$H57)*NtoN2O*kgtoGg)</f>
        <v>0.55428678799788489</v>
      </c>
      <c r="M39" s="28">
        <f>IF(('Activity data'!M8*EF!$H39*EF!$H57)*NtoN2O*kgtoGg=0,"NO",('Activity data'!M8*EF!$H39*EF!$H57)*NtoN2O*kgtoGg)</f>
        <v>0.56688956745844588</v>
      </c>
      <c r="N39" s="28">
        <f>IF(('Activity data'!N8*EF!$H39*EF!$H57)*NtoN2O*kgtoGg=0,"NO",('Activity data'!N8*EF!$H39*EF!$H57)*NtoN2O*kgtoGg)</f>
        <v>0.59040599405405159</v>
      </c>
      <c r="O39" s="28">
        <f>IF(('Activity data'!O8*EF!$H39*EF!$H57)*NtoN2O*kgtoGg=0,"NO",('Activity data'!O8*EF!$H39*EF!$H57)*NtoN2O*kgtoGg)</f>
        <v>0.61277134091869179</v>
      </c>
      <c r="P39" s="28">
        <f>IF(('Activity data'!P8*EF!$H39*EF!$H57)*NtoN2O*kgtoGg=0,"NO",('Activity data'!P8*EF!$H39*EF!$H57)*NtoN2O*kgtoGg)</f>
        <v>0.6180786564292039</v>
      </c>
      <c r="Q39" s="28">
        <f>IF(('Activity data'!Q8*EF!$H39*EF!$H57)*NtoN2O*kgtoGg=0,"NO",('Activity data'!Q8*EF!$H39*EF!$H57)*NtoN2O*kgtoGg)</f>
        <v>0.60807705254459443</v>
      </c>
      <c r="R39" s="28">
        <f>IF(('Activity data'!R8*EF!$H39*EF!$H57)*NtoN2O*kgtoGg=0,"NO",('Activity data'!R8*EF!$H39*EF!$H57)*NtoN2O*kgtoGg)</f>
        <v>0.56676960819146394</v>
      </c>
      <c r="S39" s="28">
        <f>IF(('Activity data'!S8*EF!$H39*EF!$H57)*NtoN2O*kgtoGg=0,"NO",('Activity data'!S8*EF!$H39*EF!$H57)*NtoN2O*kgtoGg)</f>
        <v>0.56971478460655445</v>
      </c>
      <c r="T39" s="28">
        <f>IF(('Activity data'!T8*EF!$H39*EF!$H57)*NtoN2O*kgtoGg=0,"NO",('Activity data'!T8*EF!$H39*EF!$H57)*NtoN2O*kgtoGg)</f>
        <v>0.53097940806606359</v>
      </c>
      <c r="U39" s="28">
        <f>IF(('Activity data'!U8*EF!$H39*EF!$H57)*NtoN2O*kgtoGg=0,"NO",('Activity data'!U8*EF!$H39*EF!$H57)*NtoN2O*kgtoGg)</f>
        <v>0.54486822143294433</v>
      </c>
      <c r="V39" s="28">
        <f>IF(('Activity data'!V8*EF!$H39*EF!$H57)*NtoN2O*kgtoGg=0,"NO",('Activity data'!V8*EF!$H39*EF!$H57)*NtoN2O*kgtoGg)</f>
        <v>0.54989151573780826</v>
      </c>
      <c r="W39" s="28">
        <f>IF(('Activity data'!W8*EF!$H39*EF!$H57)*NtoN2O*kgtoGg=0,"NO",('Activity data'!W8*EF!$H39*EF!$H57)*NtoN2O*kgtoGg)</f>
        <v>0.55455581429516021</v>
      </c>
      <c r="X39" s="28">
        <f>IF(('Activity data'!X8*EF!$H39*EF!$H57)*NtoN2O*kgtoGg=0,"NO",('Activity data'!X8*EF!$H39*EF!$H57)*NtoN2O*kgtoGg)</f>
        <v>0.54192304501785393</v>
      </c>
      <c r="Y39" s="28">
        <f>IF(('Activity data'!Y8*EF!$H39*EF!$H57)*NtoN2O*kgtoGg=0,"NO",('Activity data'!Y8*EF!$H39*EF!$H57)*NtoN2O*kgtoGg)</f>
        <v>0.55780000682427144</v>
      </c>
      <c r="Z39" s="28">
        <f>IF(('Activity data'!Z8*EF!$H39*EF!$H57)*NtoN2O*kgtoGg=0,"NO",('Activity data'!Z8*EF!$H39*EF!$H57)*NtoN2O*kgtoGg)</f>
        <v>0.54229988029606202</v>
      </c>
      <c r="AA39" s="28">
        <f>IF(('Activity data'!AA8*EF!$H39*EF!$H57)*NtoN2O*kgtoGg=0,"NO",('Activity data'!AA8*EF!$H39*EF!$H57)*NtoN2O*kgtoGg)</f>
        <v>0.53319429569117582</v>
      </c>
      <c r="AB39" s="28">
        <f>IF(('Activity data'!AB8*EF!$H39*EF!$H57)*NtoN2O*kgtoGg=0,"NO",('Activity data'!AB8*EF!$H39*EF!$H57)*NtoN2O*kgtoGg)</f>
        <v>0.53151813690158023</v>
      </c>
      <c r="AC39" s="28">
        <f>IF(('Activity data'!AC8*EF!$H39*EF!$H57)*NtoN2O*kgtoGg=0,"NO",('Activity data'!AC8*EF!$H39*EF!$H57)*NtoN2O*kgtoGg)</f>
        <v>0.52960956438265261</v>
      </c>
      <c r="AD39" s="28">
        <f>IF(('Activity data'!AD8*EF!$H39*EF!$H57)*NtoN2O*kgtoGg=0,"NO",('Activity data'!AD8*EF!$H39*EF!$H57)*NtoN2O*kgtoGg)</f>
        <v>0.52536006863292095</v>
      </c>
      <c r="AE39" s="28">
        <f>IF(('Activity data'!AE8*EF!$H39*EF!$H57)*NtoN2O*kgtoGg=0,"NO",('Activity data'!AE8*EF!$H39*EF!$H57)*NtoN2O*kgtoGg)</f>
        <v>0.52358749582966324</v>
      </c>
      <c r="AF39" s="28">
        <f>IF(('Activity data'!AF8*EF!$H39*EF!$H57)*NtoN2O*kgtoGg=0,"NO",('Activity data'!AF8*EF!$H39*EF!$H57)*NtoN2O*kgtoGg)</f>
        <v>0.51801313817209216</v>
      </c>
      <c r="AG39" s="28">
        <f>IF(('Activity data'!AG8*EF!$H39*EF!$H57)*NtoN2O*kgtoGg=0,"NO",('Activity data'!AG8*EF!$H39*EF!$H57)*NtoN2O*kgtoGg)</f>
        <v>0.50976857741581527</v>
      </c>
      <c r="AH39" s="28">
        <f>IF(('Activity data'!AH8*EF!$H39*EF!$H57)*NtoN2O*kgtoGg=0,"NO",('Activity data'!AH8*EF!$H39*EF!$H57)*NtoN2O*kgtoGg)</f>
        <v>0.49887700410184938</v>
      </c>
      <c r="AI39" s="28">
        <f>IF(('Activity data'!AI8*EF!$H39*EF!$H57)*NtoN2O*kgtoGg=0,"NO",('Activity data'!AI8*EF!$H39*EF!H57)*NtoN2O*kgtoGg)</f>
        <v>0.49174564445148417</v>
      </c>
      <c r="AJ39" s="28">
        <f>IF(('Activity data'!AJ8*EF!$H39*EF!$H57)*NtoN2O*kgtoGg=0,"NO",('Activity data'!AJ8*EF!$H39*EF!I57)*NtoN2O*kgtoGg)</f>
        <v>0.48395344217260156</v>
      </c>
      <c r="AK39" s="28">
        <f>IF(('Activity data'!AK8*EF!$H39*EF!$H57)*NtoN2O*kgtoGg=0,"NO",('Activity data'!AK8*EF!$H39*EF!J57)*NtoN2O*kgtoGg)</f>
        <v>0.47598225157682611</v>
      </c>
      <c r="AL39" s="28">
        <f>IF(('Activity data'!AL8*EF!$H39*EF!$H57)*NtoN2O*kgtoGg=0,"NO",('Activity data'!AL8*EF!$H39*EF!K57)*NtoN2O*kgtoGg)</f>
        <v>0.41702581333032174</v>
      </c>
      <c r="AM39" s="28">
        <f>IF(('Activity data'!AM8*EF!$H39*EF!$H57)*NtoN2O*kgtoGg=0,"NO",('Activity data'!AM8*EF!$H39*EF!L57)*NtoN2O*kgtoGg)</f>
        <v>0.42198157211574866</v>
      </c>
      <c r="AN39" s="28">
        <f>IF(('Activity data'!AN8*EF!$H39*EF!$H57)*NtoN2O*kgtoGg=0,"NO",('Activity data'!AN8*EF!$H39*EF!M57)*NtoN2O*kgtoGg)</f>
        <v>0.42616368511625519</v>
      </c>
      <c r="AO39" s="28">
        <f>IF(('Activity data'!AO8*EF!$H39*EF!$H57)*NtoN2O*kgtoGg=0,"NO",('Activity data'!AO8*EF!$H39*EF!N57)*NtoN2O*kgtoGg)</f>
        <v>0.43045922592069064</v>
      </c>
      <c r="AP39" s="28">
        <f>IF(('Activity data'!AP8*EF!$H39*EF!$H57)*NtoN2O*kgtoGg=0,"NO",('Activity data'!AP8*EF!$H39*EF!O57)*NtoN2O*kgtoGg)</f>
        <v>0.43547478960858327</v>
      </c>
      <c r="AQ39" s="28">
        <f>IF(('Activity data'!AQ8*EF!$H39*EF!$H57)*NtoN2O*kgtoGg=0,"NO",('Activity data'!AQ8*EF!$H39*EF!P57)*NtoN2O*kgtoGg)</f>
        <v>0.44160948482519213</v>
      </c>
      <c r="AR39" s="28">
        <f>IF(('Activity data'!AR8*EF!$H39*EF!$H57)*NtoN2O*kgtoGg=0,"NO",('Activity data'!AR8*EF!$H39*EF!Q57)*NtoN2O*kgtoGg)</f>
        <v>0.44802195815129681</v>
      </c>
      <c r="AS39" s="28">
        <f>IF(('Activity data'!AS8*EF!$H39*EF!$H57)*NtoN2O*kgtoGg=0,"NO",('Activity data'!AS8*EF!$H39*EF!R57)*NtoN2O*kgtoGg)</f>
        <v>0.45506887608152891</v>
      </c>
      <c r="AT39" s="28">
        <f>IF(('Activity data'!AT8*EF!$H39*EF!$H57)*NtoN2O*kgtoGg=0,"NO",('Activity data'!AT8*EF!$H39*EF!S57)*NtoN2O*kgtoGg)</f>
        <v>0.46281477042710972</v>
      </c>
      <c r="AU39" s="28">
        <f>IF(('Activity data'!AU8*EF!$H39*EF!$H57)*NtoN2O*kgtoGg=0,"NO",('Activity data'!AU8*EF!$H39*EF!T57)*NtoN2O*kgtoGg)</f>
        <v>0.4720971697632837</v>
      </c>
      <c r="AV39" s="28">
        <f>IF(('Activity data'!AV8*EF!$H39*EF!$H57)*NtoN2O*kgtoGg=0,"NO",('Activity data'!AV8*EF!$H39*EF!U57)*NtoN2O*kgtoGg)</f>
        <v>0.48095008913028831</v>
      </c>
      <c r="AW39" s="28">
        <f>IF(('Activity data'!AW8*EF!$H39*EF!$H57)*NtoN2O*kgtoGg=0,"NO",('Activity data'!AW8*EF!$H39*EF!V57)*NtoN2O*kgtoGg)</f>
        <v>0.4879912384874231</v>
      </c>
      <c r="AX39" s="28">
        <f>IF(('Activity data'!AX8*EF!$H39*EF!$H57)*NtoN2O*kgtoGg=0,"NO",('Activity data'!AX8*EF!$H39*EF!W57)*NtoN2O*kgtoGg)</f>
        <v>0.49502501831609513</v>
      </c>
      <c r="AY39" s="28">
        <f>IF(('Activity data'!AY8*EF!$H39*EF!$H57)*NtoN2O*kgtoGg=0,"NO",('Activity data'!AY8*EF!$H39*EF!X57)*NtoN2O*kgtoGg)</f>
        <v>0.5019413840568494</v>
      </c>
      <c r="AZ39" s="28">
        <f>IF(('Activity data'!AZ8*EF!$H39*EF!$H57)*NtoN2O*kgtoGg=0,"NO",('Activity data'!AZ8*EF!$H39*EF!Y57)*NtoN2O*kgtoGg)</f>
        <v>0.5086326036841563</v>
      </c>
      <c r="BA39" s="28">
        <f>IF(('Activity data'!BA8*EF!$H39*EF!$H57)*NtoN2O*kgtoGg=0,"NO",('Activity data'!BA8*EF!$H39*EF!Z57)*NtoN2O*kgtoGg)</f>
        <v>0.5133422934807329</v>
      </c>
      <c r="BB39" s="28">
        <f>IF(('Activity data'!BB8*EF!$H39*EF!$H57)*NtoN2O*kgtoGg=0,"NO",('Activity data'!BB8*EF!$H39*EF!AA57)*NtoN2O*kgtoGg)</f>
        <v>0.51814968262893779</v>
      </c>
      <c r="BC39" s="28">
        <f>IF(('Activity data'!BC8*EF!$H39*EF!$H57)*NtoN2O*kgtoGg=0,"NO",('Activity data'!BC8*EF!$H39*EF!AB57)*NtoN2O*kgtoGg)</f>
        <v>0.52348842981525456</v>
      </c>
      <c r="BD39" s="28">
        <f>IF(('Activity data'!BD8*EF!$H39*EF!$H57)*NtoN2O*kgtoGg=0,"NO",('Activity data'!BD8*EF!$H39*EF!AC57)*NtoN2O*kgtoGg)</f>
        <v>0.52896188922989196</v>
      </c>
      <c r="BE39" s="28">
        <f>IF(('Activity data'!BE8*EF!$H39*EF!$H57)*NtoN2O*kgtoGg=0,"NO",('Activity data'!BE8*EF!$H39*EF!AD57)*NtoN2O*kgtoGg)</f>
        <v>0.5333556097800064</v>
      </c>
      <c r="BF39" s="28">
        <f>IF(('Activity data'!BF8*EF!$H39*EF!$H57)*NtoN2O*kgtoGg=0,"NO",('Activity data'!BF8*EF!$H39*EF!AE57)*NtoN2O*kgtoGg)</f>
        <v>0.53732992080346209</v>
      </c>
      <c r="BG39" s="28">
        <f>IF(('Activity data'!BG8*EF!$H39*EF!$H57)*NtoN2O*kgtoGg=0,"NO",('Activity data'!BG8*EF!$H39*EF!AF57)*NtoN2O*kgtoGg)</f>
        <v>0.54400287858156593</v>
      </c>
      <c r="BH39" s="28">
        <f>IF(('Activity data'!BH8*EF!$H39*EF!$H57)*NtoN2O*kgtoGg=0,"NO",('Activity data'!BH8*EF!$H39*EF!AG57)*NtoN2O*kgtoGg)</f>
        <v>0.55095007363627047</v>
      </c>
      <c r="BI39" s="28">
        <f>IF(('Activity data'!BI8*EF!$H39*EF!$H57)*NtoN2O*kgtoGg=0,"NO",('Activity data'!BI8*EF!$H39*EF!AH57)*NtoN2O*kgtoGg)</f>
        <v>0.55833035790057717</v>
      </c>
      <c r="BJ39" s="28">
        <f>IF(('Activity data'!BJ8*EF!$H39*EF!$H57)*NtoN2O*kgtoGg=0,"NO",('Activity data'!BJ8*EF!$H39*EF!AI57)*NtoN2O*kgtoGg)</f>
        <v>0.56601596294539214</v>
      </c>
      <c r="BK39" s="28">
        <f>IF(('Activity data'!BK8*EF!$H39*EF!$H57)*NtoN2O*kgtoGg=0,"NO",('Activity data'!BK8*EF!$H39*EF!AJ57)*NtoN2O*kgtoGg)</f>
        <v>0.57436540798037372</v>
      </c>
      <c r="BL39" s="28">
        <f>IF(('Activity data'!BL8*EF!$H39*EF!$H57)*NtoN2O*kgtoGg=0,"NO",('Activity data'!BL8*EF!$H39*EF!AK57)*NtoN2O*kgtoGg)</f>
        <v>0.58308892903917264</v>
      </c>
      <c r="BM39" s="28">
        <f>IF(('Activity data'!BM8*EF!$H39*EF!$H57)*NtoN2O*kgtoGg=0,"NO",('Activity data'!BM8*EF!$H39*EF!AL57)*NtoN2O*kgtoGg)</f>
        <v>0.59196387341858303</v>
      </c>
      <c r="BN39" s="28">
        <f>IF(('Activity data'!BN8*EF!$H39*EF!$H57)*NtoN2O*kgtoGg=0,"NO",('Activity data'!BN8*EF!$H39*EF!AM57)*NtoN2O*kgtoGg)</f>
        <v>0.59998702457494557</v>
      </c>
      <c r="BO39" s="28">
        <f>IF(('Activity data'!BO8*EF!$H39*EF!$H57)*NtoN2O*kgtoGg=0,"NO",('Activity data'!BO8*EF!$H39*EF!AN57)*NtoN2O*kgtoGg)</f>
        <v>0.60819355344141723</v>
      </c>
      <c r="BP39" s="28">
        <f>IF(('Activity data'!BP8*EF!$H39*EF!$H57)*NtoN2O*kgtoGg=0,"NO",('Activity data'!BP8*EF!$H39*EF!AO57)*NtoN2O*kgtoGg)</f>
        <v>0.61676562318416428</v>
      </c>
    </row>
    <row r="40" spans="1:68" x14ac:dyDescent="0.25">
      <c r="A40" t="str">
        <f t="shared" si="1"/>
        <v>3A Livestock</v>
      </c>
      <c r="B40" t="str">
        <f t="shared" si="11"/>
        <v>3A2 Manure management (N2O)</v>
      </c>
      <c r="C40" t="str">
        <f>EF!C58</f>
        <v>3A1aii Other cattle</v>
      </c>
      <c r="D40" t="str">
        <f>EF!D58</f>
        <v>Subsistence</v>
      </c>
      <c r="E40" t="str">
        <f t="shared" si="9"/>
        <v>Manure management Emissions</v>
      </c>
      <c r="F40" t="s">
        <v>139</v>
      </c>
      <c r="G40" t="str">
        <f t="shared" si="10"/>
        <v>Gg N2O</v>
      </c>
      <c r="H40" s="28">
        <f>IF(('Activity data'!H9*EF!$H40*EF!$H58)*NtoN2O*kgtoGg=0,"NO",('Activity data'!H9*EF!$H40*EF!$H58)*NtoN2O*kgtoGg)</f>
        <v>0.69929058547122203</v>
      </c>
      <c r="I40" s="28">
        <f>IF(('Activity data'!I9*EF!$H40*EF!$H58)*NtoN2O*kgtoGg=0,"NO",('Activity data'!I9*EF!$H40*EF!$H58)*NtoN2O*kgtoGg)</f>
        <v>0.7419488346938673</v>
      </c>
      <c r="J40" s="28">
        <f>IF(('Activity data'!J9*EF!$H40*EF!$H58)*NtoN2O*kgtoGg=0,"NO",('Activity data'!J9*EF!$H40*EF!$H58)*NtoN2O*kgtoGg)</f>
        <v>0.77698953941246884</v>
      </c>
      <c r="K40" s="28">
        <f>IF(('Activity data'!K9*EF!$H40*EF!$H58)*NtoN2O*kgtoGg=0,"NO",('Activity data'!K9*EF!$H40*EF!$H58)*NtoN2O*kgtoGg)</f>
        <v>0.76784848600761624</v>
      </c>
      <c r="L40" s="28">
        <f>IF(('Activity data'!L9*EF!$H40*EF!$H58)*NtoN2O*kgtoGg=0,"NO",('Activity data'!L9*EF!$H40*EF!$H58)*NtoN2O*kgtoGg)</f>
        <v>0.66882040745504678</v>
      </c>
      <c r="M40" s="28">
        <f>IF(('Activity data'!M9*EF!$H40*EF!$H58)*NtoN2O*kgtoGg=0,"NO",('Activity data'!M9*EF!$H40*EF!$H58)*NtoN2O*kgtoGg)</f>
        <v>0.64596777394291538</v>
      </c>
      <c r="N40" s="28">
        <f>IF(('Activity data'!N9*EF!$H40*EF!$H58)*NtoN2O*kgtoGg=0,"NO",('Activity data'!N9*EF!$H40*EF!$H58)*NtoN2O*kgtoGg)</f>
        <v>0.66424988075262037</v>
      </c>
      <c r="O40" s="28">
        <f>IF(('Activity data'!O9*EF!$H40*EF!$H58)*NtoN2O*kgtoGg=0,"NO",('Activity data'!O9*EF!$H40*EF!$H58)*NtoN2O*kgtoGg)</f>
        <v>0.69472005876879561</v>
      </c>
      <c r="P40" s="28">
        <f>IF(('Activity data'!P9*EF!$H40*EF!$H58)*NtoN2O*kgtoGg=0,"NO",('Activity data'!P9*EF!$H40*EF!$H58)*NtoN2O*kgtoGg)</f>
        <v>0.73737830799144111</v>
      </c>
      <c r="Q40" s="28">
        <f>IF(('Activity data'!Q9*EF!$H40*EF!$H58)*NtoN2O*kgtoGg=0,"NO",('Activity data'!Q9*EF!$H40*EF!$H58)*NtoN2O*kgtoGg)</f>
        <v>0.76784848600761624</v>
      </c>
      <c r="R40" s="28">
        <f>IF(('Activity data'!R9*EF!$H40*EF!$H58)*NtoN2O*kgtoGg=0,"NO",('Activity data'!R9*EF!$H40*EF!$H58)*NtoN2O*kgtoGg)</f>
        <v>0.74956637919791114</v>
      </c>
      <c r="S40" s="28">
        <f>IF(('Activity data'!S9*EF!$H40*EF!$H58)*NtoN2O*kgtoGg=0,"NO",('Activity data'!S9*EF!$H40*EF!$H58)*NtoN2O*kgtoGg)</f>
        <v>0.73128427238820592</v>
      </c>
      <c r="T40" s="28">
        <f>IF(('Activity data'!T9*EF!$H40*EF!$H58)*NtoN2O*kgtoGg=0,"NO",('Activity data'!T9*EF!$H40*EF!$H58)*NtoN2O*kgtoGg)</f>
        <v>0.82878884203996683</v>
      </c>
      <c r="U40" s="28">
        <f>IF(('Activity data'!U9*EF!$H40*EF!$H58)*NtoN2O*kgtoGg=0,"NO",('Activity data'!U9*EF!$H40*EF!$H58)*NtoN2O*kgtoGg)</f>
        <v>0.84859445775048059</v>
      </c>
      <c r="V40" s="28">
        <f>IF(('Activity data'!V9*EF!$H40*EF!$H58)*NtoN2O*kgtoGg=0,"NO",('Activity data'!V9*EF!$H40*EF!$H58)*NtoN2O*kgtoGg)</f>
        <v>0.83488287764320168</v>
      </c>
      <c r="W40" s="28">
        <f>IF(('Activity data'!W9*EF!$H40*EF!$H58)*NtoN2O*kgtoGg=0,"NO",('Activity data'!W9*EF!$H40*EF!$H58)*NtoN2O*kgtoGg)</f>
        <v>0.81050673523026162</v>
      </c>
      <c r="X40" s="28">
        <f>IF(('Activity data'!X9*EF!$H40*EF!$H58)*NtoN2O*kgtoGg=0,"NO",('Activity data'!X9*EF!$H40*EF!$H58)*NtoN2O*kgtoGg)</f>
        <v>0.83640638654401056</v>
      </c>
      <c r="Y40" s="28">
        <f>IF(('Activity data'!Y9*EF!$H40*EF!$H58)*NtoN2O*kgtoGg=0,"NO",('Activity data'!Y9*EF!$H40*EF!$H58)*NtoN2O*kgtoGg)</f>
        <v>0.86992358236180345</v>
      </c>
      <c r="Z40" s="28">
        <f>IF(('Activity data'!Z9*EF!$H40*EF!$H58)*NtoN2O*kgtoGg=0,"NO",('Activity data'!Z9*EF!$H40*EF!$H58)*NtoN2O*kgtoGg)</f>
        <v>0.85621200225452454</v>
      </c>
      <c r="AA40" s="28">
        <f>IF(('Activity data'!AA9*EF!$H40*EF!$H58)*NtoN2O*kgtoGg=0,"NO",('Activity data'!AA9*EF!$H40*EF!$H58)*NtoN2O*kgtoGg)</f>
        <v>0.84707094884967205</v>
      </c>
      <c r="AB40" s="28">
        <f>IF(('Activity data'!AB9*EF!$H40*EF!$H58)*NtoN2O*kgtoGg=0,"NO",('Activity data'!AB9*EF!$H40*EF!$H58)*NtoN2O*kgtoGg)</f>
        <v>0.83488287764320168</v>
      </c>
      <c r="AC40" s="28">
        <f>IF(('Activity data'!AC9*EF!$H40*EF!$H58)*NtoN2O*kgtoGg=0,"NO",('Activity data'!AC9*EF!$H40*EF!$H58)*NtoN2O*kgtoGg)</f>
        <v>0.84097691324643697</v>
      </c>
      <c r="AD40" s="28">
        <f>IF(('Activity data'!AD9*EF!$H40*EF!$H58)*NtoN2O*kgtoGg=0,"NO",('Activity data'!AD9*EF!$H40*EF!$H58)*NtoN2O*kgtoGg)</f>
        <v>0.80469100969473795</v>
      </c>
      <c r="AE40" s="28">
        <f>IF(('Activity data'!AE9*EF!$H40*EF!$H58)*NtoN2O*kgtoGg=0,"NO",('Activity data'!AE9*EF!$H40*EF!$H58)*NtoN2O*kgtoGg)</f>
        <v>0.80197597007910348</v>
      </c>
      <c r="AF40" s="28">
        <f>IF(('Activity data'!AF9*EF!$H40*EF!$H58)*NtoN2O*kgtoGg=0,"NO",('Activity data'!AF9*EF!$H40*EF!$H58)*NtoN2O*kgtoGg)</f>
        <v>0.79343775836548225</v>
      </c>
      <c r="AG40" s="28">
        <f>IF(('Activity data'!AG9*EF!$H40*EF!$H58)*NtoN2O*kgtoGg=0,"NO",('Activity data'!AG9*EF!$H40*EF!$H58)*NtoN2O*kgtoGg)</f>
        <v>0.7808096118511848</v>
      </c>
      <c r="AH40" s="28">
        <f>IF(('Activity data'!AH9*EF!$H40*EF!$H58)*NtoN2O*kgtoGg=0,"NO",('Activity data'!AH9*EF!$H40*EF!$H58)*NtoN2O*kgtoGg)</f>
        <v>0.76412705135513104</v>
      </c>
      <c r="AI40" s="28">
        <f>IF(('Activity data'!AI9*EF!$H40*EF!H58)*NtoN2O*kgtoGg=0,"NO",('Activity data'!AI9*EF!$H40*EF!H58)*NtoN2O*kgtoGg)</f>
        <v>0.75320398860222459</v>
      </c>
      <c r="AJ40" s="28">
        <f>IF(('Activity data'!AJ9*EF!$H40*EF!I58)*NtoN2O*kgtoGg=0,"NO",('Activity data'!AJ9*EF!$H40*EF!I58)*NtoN2O*kgtoGg)</f>
        <v>0.74126871697822005</v>
      </c>
      <c r="AK40" s="28">
        <f>IF(('Activity data'!AK9*EF!$H40*EF!J58)*NtoN2O*kgtoGg=0,"NO",('Activity data'!AK9*EF!$H40*EF!J58)*NtoN2O*kgtoGg)</f>
        <v>0.72905928997385117</v>
      </c>
      <c r="AL40" s="28">
        <f>IF(('Activity data'!AL9*EF!$H40*EF!K58)*NtoN2O*kgtoGg=0,"NO",('Activity data'!AL9*EF!$H40*EF!K58)*NtoN2O*kgtoGg)</f>
        <v>0.63875605100855126</v>
      </c>
      <c r="AM40" s="28">
        <f>IF(('Activity data'!AM9*EF!$H40*EF!L58)*NtoN2O*kgtoGg=0,"NO",('Activity data'!AM9*EF!$H40*EF!L58)*NtoN2O*kgtoGg)</f>
        <v>0.64634675837088629</v>
      </c>
      <c r="AN40" s="28">
        <f>IF(('Activity data'!AN9*EF!$H40*EF!M58)*NtoN2O*kgtoGg=0,"NO",('Activity data'!AN9*EF!$H40*EF!M58)*NtoN2O*kgtoGg)</f>
        <v>0.65275247691320371</v>
      </c>
      <c r="AO40" s="28">
        <f>IF(('Activity data'!AO9*EF!$H40*EF!N58)*NtoN2O*kgtoGg=0,"NO",('Activity data'!AO9*EF!$H40*EF!N58)*NtoN2O*kgtoGg)</f>
        <v>0.65933193217347996</v>
      </c>
      <c r="AP40" s="28">
        <f>IF(('Activity data'!AP9*EF!$H40*EF!O58)*NtoN2O*kgtoGg=0,"NO",('Activity data'!AP9*EF!$H40*EF!O58)*NtoN2O*kgtoGg)</f>
        <v>0.66701424236256812</v>
      </c>
      <c r="AQ40" s="28">
        <f>IF(('Activity data'!AQ9*EF!$H40*EF!P58)*NtoN2O*kgtoGg=0,"NO",('Activity data'!AQ9*EF!$H40*EF!P58)*NtoN2O*kgtoGg)</f>
        <v>0.67641071990770818</v>
      </c>
      <c r="AR40" s="28">
        <f>IF(('Activity data'!AR9*EF!$H40*EF!Q58)*NtoN2O*kgtoGg=0,"NO",('Activity data'!AR9*EF!$H40*EF!Q58)*NtoN2O*kgtoGg)</f>
        <v>0.68623266859301879</v>
      </c>
      <c r="AS40" s="28">
        <f>IF(('Activity data'!AS9*EF!$H40*EF!R58)*NtoN2O*kgtoGg=0,"NO",('Activity data'!AS9*EF!$H40*EF!R58)*NtoN2O*kgtoGg)</f>
        <v>0.69702639244658504</v>
      </c>
      <c r="AT40" s="28">
        <f>IF(('Activity data'!AT9*EF!$H40*EF!S58)*NtoN2O*kgtoGg=0,"NO",('Activity data'!AT9*EF!$H40*EF!S58)*NtoN2O*kgtoGg)</f>
        <v>0.70889073447424167</v>
      </c>
      <c r="AU40" s="28">
        <f>IF(('Activity data'!AU9*EF!$H40*EF!T58)*NtoN2O*kgtoGg=0,"NO",('Activity data'!AU9*EF!$H40*EF!T58)*NtoN2O*kgtoGg)</f>
        <v>0.72310853240024819</v>
      </c>
      <c r="AV40" s="28">
        <f>IF(('Activity data'!AV9*EF!$H40*EF!U58)*NtoN2O*kgtoGg=0,"NO",('Activity data'!AV9*EF!$H40*EF!U58)*NtoN2O*kgtoGg)</f>
        <v>0.73666849831604064</v>
      </c>
      <c r="AW40" s="28">
        <f>IF(('Activity data'!AW9*EF!$H40*EF!V58)*NtoN2O*kgtoGg=0,"NO",('Activity data'!AW9*EF!$H40*EF!V58)*NtoN2O*kgtoGg)</f>
        <v>0.74745338647921633</v>
      </c>
      <c r="AX40" s="28">
        <f>IF(('Activity data'!AX9*EF!$H40*EF!W58)*NtoN2O*kgtoGg=0,"NO",('Activity data'!AX9*EF!$H40*EF!W58)*NtoN2O*kgtoGg)</f>
        <v>0.7582269867778324</v>
      </c>
      <c r="AY40" s="28">
        <f>IF(('Activity data'!AY9*EF!$H40*EF!X58)*NtoN2O*kgtoGg=0,"NO",('Activity data'!AY9*EF!$H40*EF!X58)*NtoN2O*kgtoGg)</f>
        <v>0.76882074459012339</v>
      </c>
      <c r="AZ40" s="28">
        <f>IF(('Activity data'!AZ9*EF!$H40*EF!Y58)*NtoN2O*kgtoGg=0,"NO",('Activity data'!AZ9*EF!$H40*EF!Y58)*NtoN2O*kgtoGg)</f>
        <v>0.77906964738929863</v>
      </c>
      <c r="BA40" s="28">
        <f>IF(('Activity data'!BA9*EF!$H40*EF!Z58)*NtoN2O*kgtoGg=0,"NO",('Activity data'!BA9*EF!$H40*EF!Z58)*NtoN2O*kgtoGg)</f>
        <v>0.7862834522900366</v>
      </c>
      <c r="BB40" s="28">
        <f>IF(('Activity data'!BB9*EF!$H40*EF!AA58)*NtoN2O*kgtoGg=0,"NO",('Activity data'!BB9*EF!$H40*EF!AA58)*NtoN2O*kgtoGg)</f>
        <v>0.79364690272838223</v>
      </c>
      <c r="BC40" s="28">
        <f>IF(('Activity data'!BC9*EF!$H40*EF!AB58)*NtoN2O*kgtoGg=0,"NO",('Activity data'!BC9*EF!$H40*EF!AB58)*NtoN2O*kgtoGg)</f>
        <v>0.80182423123193858</v>
      </c>
      <c r="BD40" s="28">
        <f>IF(('Activity data'!BD9*EF!$H40*EF!AC58)*NtoN2O*kgtoGg=0,"NO",('Activity data'!BD9*EF!$H40*EF!AC58)*NtoN2O*kgtoGg)</f>
        <v>0.81020789768445145</v>
      </c>
      <c r="BE40" s="28">
        <f>IF(('Activity data'!BE9*EF!$H40*EF!AD58)*NtoN2O*kgtoGg=0,"NO",('Activity data'!BE9*EF!$H40*EF!AD58)*NtoN2O*kgtoGg)</f>
        <v>0.81693773429915317</v>
      </c>
      <c r="BF40" s="28">
        <f>IF(('Activity data'!BF9*EF!$H40*EF!AE58)*NtoN2O*kgtoGg=0,"NO",('Activity data'!BF9*EF!$H40*EF!AE58)*NtoN2O*kgtoGg)</f>
        <v>0.82302516374278711</v>
      </c>
      <c r="BG40" s="28">
        <f>IF(('Activity data'!BG9*EF!$H40*EF!AF58)*NtoN2O*kgtoGg=0,"NO",('Activity data'!BG9*EF!$H40*EF!AF58)*NtoN2O*kgtoGg)</f>
        <v>0.83324609497207802</v>
      </c>
      <c r="BH40" s="28">
        <f>IF(('Activity data'!BH9*EF!$H40*EF!AG58)*NtoN2O*kgtoGg=0,"NO",('Activity data'!BH9*EF!$H40*EF!AG58)*NtoN2O*kgtoGg)</f>
        <v>0.84388707386806372</v>
      </c>
      <c r="BI40" s="28">
        <f>IF(('Activity data'!BI9*EF!$H40*EF!AH58)*NtoN2O*kgtoGg=0,"NO",('Activity data'!BI9*EF!$H40*EF!AH58)*NtoN2O*kgtoGg)</f>
        <v>0.8551914130271725</v>
      </c>
      <c r="BJ40" s="28">
        <f>IF(('Activity data'!BJ9*EF!$H40*EF!AI58)*NtoN2O*kgtoGg=0,"NO",('Activity data'!BJ9*EF!$H40*EF!AI58)*NtoN2O*kgtoGg)</f>
        <v>0.86696341027797308</v>
      </c>
      <c r="BK40" s="28">
        <f>IF(('Activity data'!BK9*EF!$H40*EF!AJ58)*NtoN2O*kgtoGg=0,"NO",('Activity data'!BK9*EF!$H40*EF!AJ58)*NtoN2O*kgtoGg)</f>
        <v>0.87975220744155147</v>
      </c>
      <c r="BL40" s="28">
        <f>IF(('Activity data'!BL9*EF!$H40*EF!AK58)*NtoN2O*kgtoGg=0,"NO",('Activity data'!BL9*EF!$H40*EF!AK58)*NtoN2O*kgtoGg)</f>
        <v>0.8931139747094079</v>
      </c>
      <c r="BM40" s="28">
        <f>IF(('Activity data'!BM9*EF!$H40*EF!AL58)*NtoN2O*kgtoGg=0,"NO",('Activity data'!BM9*EF!$H40*EF!AL58)*NtoN2O*kgtoGg)</f>
        <v>0.90670767621062043</v>
      </c>
      <c r="BN40" s="28">
        <f>IF(('Activity data'!BN9*EF!$H40*EF!AM58)*NtoN2O*kgtoGg=0,"NO",('Activity data'!BN9*EF!$H40*EF!AM58)*NtoN2O*kgtoGg)</f>
        <v>0.91899669090819125</v>
      </c>
      <c r="BO40" s="28">
        <f>IF(('Activity data'!BO9*EF!$H40*EF!AN58)*NtoN2O*kgtoGg=0,"NO",('Activity data'!BO9*EF!$H40*EF!AN58)*NtoN2O*kgtoGg)</f>
        <v>0.93156658419458849</v>
      </c>
      <c r="BP40" s="28">
        <f>IF(('Activity data'!BP9*EF!$H40*EF!AO58)*NtoN2O*kgtoGg=0,"NO",('Activity data'!BP9*EF!$H40*EF!AO58)*NtoN2O*kgtoGg)</f>
        <v>0.94469637434863318</v>
      </c>
    </row>
    <row r="41" spans="1:68" x14ac:dyDescent="0.25">
      <c r="A41" t="str">
        <f t="shared" si="1"/>
        <v>3A Livestock</v>
      </c>
      <c r="B41" t="str">
        <f t="shared" si="11"/>
        <v>3A2 Manure management (N2O)</v>
      </c>
      <c r="C41" t="str">
        <f>EF!C59</f>
        <v>3A1aii Other cattle</v>
      </c>
      <c r="D41" t="str">
        <f>EF!D59</f>
        <v>Feedlot</v>
      </c>
      <c r="E41" t="str">
        <f t="shared" si="9"/>
        <v>Manure management Emissions</v>
      </c>
      <c r="F41" t="s">
        <v>139</v>
      </c>
      <c r="G41" t="str">
        <f t="shared" si="10"/>
        <v>Gg N2O</v>
      </c>
      <c r="H41" s="28">
        <f>IF(('Activity data'!H10*EF!$H41*EF!$H59)*NtoN2O*kgtoGg=0,"NO",('Activity data'!H10*EF!$H41*EF!$H59)*NtoN2O*kgtoGg)</f>
        <v>0.75959383499999988</v>
      </c>
      <c r="I41" s="28">
        <f>IF(('Activity data'!I10*EF!$H41*EF!$H59)*NtoN2O*kgtoGg=0,"NO",('Activity data'!I10*EF!$H41*EF!$H59)*NtoN2O*kgtoGg)</f>
        <v>0.75959383499999988</v>
      </c>
      <c r="J41" s="28">
        <f>IF(('Activity data'!J10*EF!$H41*EF!$H59)*NtoN2O*kgtoGg=0,"NO",('Activity data'!J10*EF!$H41*EF!$H59)*NtoN2O*kgtoGg)</f>
        <v>0.75959383499999988</v>
      </c>
      <c r="K41" s="28">
        <f>IF(('Activity data'!K10*EF!$H41*EF!$H59)*NtoN2O*kgtoGg=0,"NO",('Activity data'!K10*EF!$H41*EF!$H59)*NtoN2O*kgtoGg)</f>
        <v>0.75959383499999988</v>
      </c>
      <c r="L41" s="28">
        <f>IF(('Activity data'!L10*EF!$H41*EF!$H59)*NtoN2O*kgtoGg=0,"NO",('Activity data'!L10*EF!$H41*EF!$H59)*NtoN2O*kgtoGg)</f>
        <v>0.75959383499999988</v>
      </c>
      <c r="M41" s="28">
        <f>IF(('Activity data'!M10*EF!$H41*EF!$H59)*NtoN2O*kgtoGg=0,"NO",('Activity data'!M10*EF!$H41*EF!$H59)*NtoN2O*kgtoGg)</f>
        <v>0.75959383499999988</v>
      </c>
      <c r="N41" s="28">
        <f>IF(('Activity data'!N10*EF!$H41*EF!$H59)*NtoN2O*kgtoGg=0,"NO",('Activity data'!N10*EF!$H41*EF!$H59)*NtoN2O*kgtoGg)</f>
        <v>0.75959383499999988</v>
      </c>
      <c r="O41" s="28">
        <f>IF(('Activity data'!O10*EF!$H41*EF!$H59)*NtoN2O*kgtoGg=0,"NO",('Activity data'!O10*EF!$H41*EF!$H59)*NtoN2O*kgtoGg)</f>
        <v>0.75959383499999988</v>
      </c>
      <c r="P41" s="28">
        <f>IF(('Activity data'!P10*EF!$H41*EF!$H59)*NtoN2O*kgtoGg=0,"NO",('Activity data'!P10*EF!$H41*EF!$H59)*NtoN2O*kgtoGg)</f>
        <v>0.75959383499999988</v>
      </c>
      <c r="Q41" s="28">
        <f>IF(('Activity data'!Q10*EF!$H41*EF!$H59)*NtoN2O*kgtoGg=0,"NO",('Activity data'!Q10*EF!$H41*EF!$H59)*NtoN2O*kgtoGg)</f>
        <v>0.75959383499999988</v>
      </c>
      <c r="R41" s="28">
        <f>IF(('Activity data'!R10*EF!$H41*EF!$H59)*NtoN2O*kgtoGg=0,"NO",('Activity data'!R10*EF!$H41*EF!$H59)*NtoN2O*kgtoGg)</f>
        <v>0.75959383499999988</v>
      </c>
      <c r="S41" s="28">
        <f>IF(('Activity data'!S10*EF!$H41*EF!$H59)*NtoN2O*kgtoGg=0,"NO",('Activity data'!S10*EF!$H41*EF!$H59)*NtoN2O*kgtoGg)</f>
        <v>0.75959383499999988</v>
      </c>
      <c r="T41" s="28">
        <f>IF(('Activity data'!T10*EF!$H41*EF!$H59)*NtoN2O*kgtoGg=0,"NO",('Activity data'!T10*EF!$H41*EF!$H59)*NtoN2O*kgtoGg)</f>
        <v>0.75959383499999988</v>
      </c>
      <c r="U41" s="28">
        <f>IF(('Activity data'!U10*EF!$H41*EF!$H59)*NtoN2O*kgtoGg=0,"NO",('Activity data'!U10*EF!$H41*EF!$H59)*NtoN2O*kgtoGg)</f>
        <v>0.75959383499999988</v>
      </c>
      <c r="V41" s="28">
        <f>IF(('Activity data'!V10*EF!$H41*EF!$H59)*NtoN2O*kgtoGg=0,"NO",('Activity data'!V10*EF!$H41*EF!$H59)*NtoN2O*kgtoGg)</f>
        <v>0.75959383499999988</v>
      </c>
      <c r="W41" s="28">
        <f>IF(('Activity data'!W10*EF!$H41*EF!$H59)*NtoN2O*kgtoGg=0,"NO",('Activity data'!W10*EF!$H41*EF!$H59)*NtoN2O*kgtoGg)</f>
        <v>0.75959383499999988</v>
      </c>
      <c r="X41" s="28">
        <f>IF(('Activity data'!X10*EF!$H41*EF!$H59)*NtoN2O*kgtoGg=0,"NO",('Activity data'!X10*EF!$H41*EF!$H59)*NtoN2O*kgtoGg)</f>
        <v>0.75959383499999988</v>
      </c>
      <c r="Y41" s="28">
        <f>IF(('Activity data'!Y10*EF!$H41*EF!$H59)*NtoN2O*kgtoGg=0,"NO",('Activity data'!Y10*EF!$H41*EF!$H59)*NtoN2O*kgtoGg)</f>
        <v>0.75959383499999988</v>
      </c>
      <c r="Z41" s="28">
        <f>IF(('Activity data'!Z10*EF!$H41*EF!$H59)*NtoN2O*kgtoGg=0,"NO",('Activity data'!Z10*EF!$H41*EF!$H59)*NtoN2O*kgtoGg)</f>
        <v>0.70741290350981256</v>
      </c>
      <c r="AA41" s="28">
        <f>IF(('Activity data'!AA10*EF!$H41*EF!$H59)*NtoN2O*kgtoGg=0,"NO",('Activity data'!AA10*EF!$H41*EF!$H59)*NtoN2O*kgtoGg)</f>
        <v>0.72490466154356248</v>
      </c>
      <c r="AB41" s="28">
        <f>IF(('Activity data'!AB10*EF!$H41*EF!$H59)*NtoN2O*kgtoGg=0,"NO",('Activity data'!AB10*EF!$H41*EF!$H59)*NtoN2O*kgtoGg)</f>
        <v>0.72310137975074984</v>
      </c>
      <c r="AC41" s="28">
        <f>IF(('Activity data'!AC10*EF!$H41*EF!$H59)*NtoN2O*kgtoGg=0,"NO",('Activity data'!AC10*EF!$H41*EF!$H59)*NtoN2O*kgtoGg)</f>
        <v>0.83519180857612507</v>
      </c>
      <c r="AD41" s="28">
        <f>IF(('Activity data'!AD10*EF!$H41*EF!$H59)*NtoN2O*kgtoGg=0,"NO",('Activity data'!AD10*EF!$H41*EF!$H59)*NtoN2O*kgtoGg)</f>
        <v>0.97916332399344685</v>
      </c>
      <c r="AE41" s="28">
        <f>IF(('Activity data'!AE10*EF!$H41*EF!$H59)*NtoN2O*kgtoGg=0,"NO",('Activity data'!AE10*EF!$H41*EF!$H59)*NtoN2O*kgtoGg)</f>
        <v>1.017567940515067</v>
      </c>
      <c r="AF41" s="28">
        <f>IF(('Activity data'!AF10*EF!$H41*EF!$H59)*NtoN2O*kgtoGg=0,"NO",('Activity data'!AF10*EF!$H41*EF!$H59)*NtoN2O*kgtoGg)</f>
        <v>1.0491827304421613</v>
      </c>
      <c r="AG41" s="28">
        <f>IF(('Activity data'!AG10*EF!$H41*EF!$H59)*NtoN2O*kgtoGg=0,"NO",('Activity data'!AG10*EF!$H41*EF!$H59)*NtoN2O*kgtoGg)</f>
        <v>1.0755248465256049</v>
      </c>
      <c r="AH41" s="28">
        <f>IF(('Activity data'!AH10*EF!$H41*EF!$H59)*NtoN2O*kgtoGg=0,"NO",('Activity data'!AH10*EF!$H41*EF!$H59)*NtoN2O*kgtoGg)</f>
        <v>1.0960088873228271</v>
      </c>
      <c r="AI41" s="28">
        <f>IF(('Activity data'!AI10*EF!$H41*EF!H59)*NtoN2O*kgtoGg=0,"NO",('Activity data'!AI10*EF!$H41*EF!H59)*NtoN2O*kgtoGg)</f>
        <v>1.12460923394507</v>
      </c>
      <c r="AJ41" s="28">
        <f>IF(('Activity data'!AJ10*EF!$H41*EF!I59)*NtoN2O*kgtoGg=0,"NO",('Activity data'!AJ10*EF!$H41*EF!I59)*NtoN2O*kgtoGg)</f>
        <v>1.1518617795954564</v>
      </c>
      <c r="AK41" s="28">
        <f>IF(('Activity data'!AK10*EF!$H41*EF!J59)*NtoN2O*kgtoGg=0,"NO",('Activity data'!AK10*EF!$H41*EF!J59)*NtoN2O*kgtoGg)</f>
        <v>1.1788090194856613</v>
      </c>
      <c r="AL41" s="28">
        <f>IF(('Activity data'!AL10*EF!$H41*EF!K59)*NtoN2O*kgtoGg=0,"NO",('Activity data'!AL10*EF!$H41*EF!K59)*NtoN2O*kgtoGg)</f>
        <v>1.0745205870459433</v>
      </c>
      <c r="AM41" s="28">
        <f>IF(('Activity data'!AM10*EF!$H41*EF!L59)*NtoN2O*kgtoGg=0,"NO",('Activity data'!AM10*EF!$H41*EF!L59)*NtoN2O*kgtoGg)</f>
        <v>1.1134659594999565</v>
      </c>
      <c r="AN41" s="28">
        <f>IF(('Activity data'!AN10*EF!$H41*EF!M59)*NtoN2O*kgtoGg=0,"NO",('Activity data'!AN10*EF!$H41*EF!M59)*NtoN2O*kgtoGg)</f>
        <v>1.1512014966358832</v>
      </c>
      <c r="AO41" s="28">
        <f>IF(('Activity data'!AO10*EF!$H41*EF!N59)*NtoN2O*kgtoGg=0,"NO",('Activity data'!AO10*EF!$H41*EF!N59)*NtoN2O*kgtoGg)</f>
        <v>1.19006408047526</v>
      </c>
      <c r="AP41" s="28">
        <f>IF(('Activity data'!AP10*EF!$H41*EF!O59)*NtoN2O*kgtoGg=0,"NO",('Activity data'!AP10*EF!$H41*EF!O59)*NtoN2O*kgtoGg)</f>
        <v>1.2318211948898581</v>
      </c>
      <c r="AQ41" s="28">
        <f>IF(('Activity data'!AQ10*EF!$H41*EF!P59)*NtoN2O*kgtoGg=0,"NO",('Activity data'!AQ10*EF!$H41*EF!P59)*NtoN2O*kgtoGg)</f>
        <v>1.277797826074154</v>
      </c>
      <c r="AR41" s="28">
        <f>IF(('Activity data'!AR10*EF!$H41*EF!Q59)*NtoN2O*kgtoGg=0,"NO",('Activity data'!AR10*EF!$H41*EF!Q59)*NtoN2O*kgtoGg)</f>
        <v>1.3257567876028393</v>
      </c>
      <c r="AS41" s="28">
        <f>IF(('Activity data'!AS10*EF!$H41*EF!R59)*NtoN2O*kgtoGg=0,"NO",('Activity data'!AS10*EF!$H41*EF!R59)*NtoN2O*kgtoGg)</f>
        <v>1.3768681207392639</v>
      </c>
      <c r="AT41" s="28">
        <f>IF(('Activity data'!AT10*EF!$H41*EF!S59)*NtoN2O*kgtoGg=0,"NO",('Activity data'!AT10*EF!$H41*EF!S59)*NtoN2O*kgtoGg)</f>
        <v>1.431496709770248</v>
      </c>
      <c r="AU41" s="28">
        <f>IF(('Activity data'!AU10*EF!$H41*EF!T59)*NtoN2O*kgtoGg=0,"NO",('Activity data'!AU10*EF!$H41*EF!T59)*NtoN2O*kgtoGg)</f>
        <v>1.4924733183373071</v>
      </c>
      <c r="AV41" s="28">
        <f>IF(('Activity data'!AV10*EF!$H41*EF!U59)*NtoN2O*kgtoGg=0,"NO",('Activity data'!AV10*EF!$H41*EF!U59)*NtoN2O*kgtoGg)</f>
        <v>1.5538089233205921</v>
      </c>
      <c r="AW41" s="28">
        <f>IF(('Activity data'!AW10*EF!$H41*EF!V59)*NtoN2O*kgtoGg=0,"NO",('Activity data'!AW10*EF!$H41*EF!V59)*NtoN2O*kgtoGg)</f>
        <v>1.6288143469863714</v>
      </c>
      <c r="AX41" s="28">
        <f>IF(('Activity data'!AX10*EF!$H41*EF!W59)*NtoN2O*kgtoGg=0,"NO",('Activity data'!AX10*EF!$H41*EF!W59)*NtoN2O*kgtoGg)</f>
        <v>1.7071648098150141</v>
      </c>
      <c r="AY41" s="28">
        <f>IF(('Activity data'!AY10*EF!$H41*EF!X59)*NtoN2O*kgtoGg=0,"NO",('Activity data'!AY10*EF!$H41*EF!X59)*NtoN2O*kgtoGg)</f>
        <v>1.788651645057459</v>
      </c>
      <c r="AZ41" s="28">
        <f>IF(('Activity data'!AZ10*EF!$H41*EF!Y59)*NtoN2O*kgtoGg=0,"NO",('Activity data'!AZ10*EF!$H41*EF!Y59)*NtoN2O*kgtoGg)</f>
        <v>1.8730353030030948</v>
      </c>
      <c r="BA41" s="28">
        <f>IF(('Activity data'!BA10*EF!$H41*EF!Z59)*NtoN2O*kgtoGg=0,"NO",('Activity data'!BA10*EF!$H41*EF!Z59)*NtoN2O*kgtoGg)</f>
        <v>1.9537595869930853</v>
      </c>
      <c r="BB41" s="28">
        <f>IF(('Activity data'!BB10*EF!$H41*EF!AA59)*NtoN2O*kgtoGg=0,"NO",('Activity data'!BB10*EF!$H41*EF!AA59)*NtoN2O*kgtoGg)</f>
        <v>2.03846690113147</v>
      </c>
      <c r="BC41" s="28">
        <f>IF(('Activity data'!BC10*EF!$H41*EF!AB59)*NtoN2O*kgtoGg=0,"NO",('Activity data'!BC10*EF!$H41*EF!AB59)*NtoN2O*kgtoGg)</f>
        <v>2.1291716962735658</v>
      </c>
      <c r="BD41" s="28">
        <f>IF(('Activity data'!BD10*EF!$H41*EF!AC59)*NtoN2O*kgtoGg=0,"NO",('Activity data'!BD10*EF!$H41*EF!AC59)*NtoN2O*kgtoGg)</f>
        <v>2.2246557468603383</v>
      </c>
      <c r="BE41" s="28">
        <f>IF(('Activity data'!BE10*EF!$H41*EF!AD59)*NtoN2O*kgtoGg=0,"NO",('Activity data'!BE10*EF!$H41*EF!AD59)*NtoN2O*kgtoGg)</f>
        <v>2.3199507913776372</v>
      </c>
      <c r="BF41" s="28">
        <f>IF(('Activity data'!BF10*EF!$H41*EF!AE59)*NtoN2O*kgtoGg=0,"NO",('Activity data'!BF10*EF!$H41*EF!AE59)*NtoN2O*kgtoGg)</f>
        <v>2.4178211798363369</v>
      </c>
      <c r="BG41" s="28">
        <f>IF(('Activity data'!BG10*EF!$H41*EF!AF59)*NtoN2O*kgtoGg=0,"NO",('Activity data'!BG10*EF!$H41*EF!AF59)*NtoN2O*kgtoGg)</f>
        <v>2.5168774104462965</v>
      </c>
      <c r="BH41" s="28">
        <f>IF(('Activity data'!BH10*EF!$H41*EF!AG59)*NtoN2O*kgtoGg=0,"NO",('Activity data'!BH10*EF!$H41*EF!AG59)*NtoN2O*kgtoGg)</f>
        <v>2.6211510539434726</v>
      </c>
      <c r="BI41" s="28">
        <f>IF(('Activity data'!BI10*EF!$H41*EF!AH59)*NtoN2O*kgtoGg=0,"NO",('Activity data'!BI10*EF!$H41*EF!AH59)*NtoN2O*kgtoGg)</f>
        <v>2.73172254418709</v>
      </c>
      <c r="BJ41" s="28">
        <f>IF(('Activity data'!BJ10*EF!$H41*EF!AI59)*NtoN2O*kgtoGg=0,"NO",('Activity data'!BJ10*EF!$H41*EF!AI59)*NtoN2O*kgtoGg)</f>
        <v>2.8483382159426722</v>
      </c>
      <c r="BK41" s="28">
        <f>IF(('Activity data'!BK10*EF!$H41*EF!AJ59)*NtoN2O*kgtoGg=0,"NO",('Activity data'!BK10*EF!$H41*EF!AJ59)*NtoN2O*kgtoGg)</f>
        <v>2.9732135680272487</v>
      </c>
      <c r="BL41" s="28">
        <f>IF(('Activity data'!BL10*EF!$H41*EF!AK59)*NtoN2O*kgtoGg=0,"NO",('Activity data'!BL10*EF!$H41*EF!AK59)*NtoN2O*kgtoGg)</f>
        <v>3.105349473562014</v>
      </c>
      <c r="BM41" s="28">
        <f>IF(('Activity data'!BM10*EF!$H41*EF!AL59)*NtoN2O*kgtoGg=0,"NO",('Activity data'!BM10*EF!$H41*EF!AL59)*NtoN2O*kgtoGg)</f>
        <v>3.2439728554616081</v>
      </c>
      <c r="BN41" s="28">
        <f>IF(('Activity data'!BN10*EF!$H41*EF!AM59)*NtoN2O*kgtoGg=0,"NO",('Activity data'!BN10*EF!$H41*EF!AM59)*NtoN2O*kgtoGg)</f>
        <v>3.3837970709079253</v>
      </c>
      <c r="BO41" s="28">
        <f>IF(('Activity data'!BO10*EF!$H41*EF!AN59)*NtoN2O*kgtoGg=0,"NO",('Activity data'!BO10*EF!$H41*EF!AN59)*NtoN2O*kgtoGg)</f>
        <v>3.5307307831846289</v>
      </c>
      <c r="BP41" s="28">
        <f>IF(('Activity data'!BP10*EF!$H41*EF!AO59)*NtoN2O*kgtoGg=0,"NO",('Activity data'!BP10*EF!$H41*EF!AO59)*NtoN2O*kgtoGg)</f>
        <v>3.6862866097834499</v>
      </c>
    </row>
    <row r="42" spans="1:68" x14ac:dyDescent="0.25">
      <c r="A42" t="str">
        <f t="shared" si="1"/>
        <v>3A Livestock</v>
      </c>
      <c r="B42" t="str">
        <f t="shared" si="11"/>
        <v>3A2 Manure management (N2O)</v>
      </c>
      <c r="C42" t="str">
        <f>EF!C60</f>
        <v>3A1c Sheep</v>
      </c>
      <c r="D42" t="str">
        <f>EF!D60</f>
        <v>Commercial</v>
      </c>
      <c r="E42" t="str">
        <f t="shared" si="9"/>
        <v>Manure management Emissions</v>
      </c>
      <c r="F42" t="s">
        <v>139</v>
      </c>
      <c r="G42" t="str">
        <f t="shared" si="10"/>
        <v>Gg N2O</v>
      </c>
      <c r="H42" s="28">
        <f>IF(('Activity data'!H11*EF!$H42*EF!$H60)*NtoN2O*kgtoGg=0,"NO",('Activity data'!H11*EF!$H42*EF!$H60)*NtoN2O*kgtoGg)</f>
        <v>0.18472261121735453</v>
      </c>
      <c r="I42" s="28">
        <f>IF(('Activity data'!I11*EF!$H42*EF!$H60)*NtoN2O*kgtoGg=0,"NO",('Activity data'!I11*EF!$H42*EF!$H60)*NtoN2O*kgtoGg)</f>
        <v>0.17641659434150833</v>
      </c>
      <c r="J42" s="28">
        <f>IF(('Activity data'!J11*EF!$H42*EF!$H60)*NtoN2O*kgtoGg=0,"NO",('Activity data'!J11*EF!$H42*EF!$H60)*NtoN2O*kgtoGg)</f>
        <v>0.16912726350758692</v>
      </c>
      <c r="K42" s="28">
        <f>IF(('Activity data'!K11*EF!$H42*EF!$H60)*NtoN2O*kgtoGg=0,"NO",('Activity data'!K11*EF!$H42*EF!$H60)*NtoN2O*kgtoGg)</f>
        <v>0.15817170118914878</v>
      </c>
      <c r="L42" s="28">
        <f>IF(('Activity data'!L11*EF!$H42*EF!$H60)*NtoN2O*kgtoGg=0,"NO",('Activity data'!L11*EF!$H42*EF!$H60)*NtoN2O*kgtoGg)</f>
        <v>0.15928697496847238</v>
      </c>
      <c r="M42" s="28">
        <f>IF(('Activity data'!M11*EF!$H42*EF!$H60)*NtoN2O*kgtoGg=0,"NO",('Activity data'!M11*EF!$H42*EF!$H60)*NtoN2O*kgtoGg)</f>
        <v>0.15700713354112583</v>
      </c>
      <c r="N42" s="28">
        <f>IF(('Activity data'!N11*EF!$H42*EF!$H60)*NtoN2O*kgtoGg=0,"NO",('Activity data'!N11*EF!$H42*EF!$H60)*NtoN2O*kgtoGg)</f>
        <v>0.1575308808960568</v>
      </c>
      <c r="O42" s="28">
        <f>IF(('Activity data'!O11*EF!$H42*EF!$H60)*NtoN2O*kgtoGg=0,"NO",('Activity data'!O11*EF!$H42*EF!$H60)*NtoN2O*kgtoGg)</f>
        <v>0.15410495702144961</v>
      </c>
      <c r="P42" s="28">
        <f>IF(('Activity data'!P11*EF!$H42*EF!$H60)*NtoN2O*kgtoGg=0,"NO",('Activity data'!P11*EF!$H42*EF!$H60)*NtoN2O*kgtoGg)</f>
        <v>0.15453011663898178</v>
      </c>
      <c r="Q42" s="28">
        <f>IF(('Activity data'!Q11*EF!$H42*EF!$H60)*NtoN2O*kgtoGg=0,"NO",('Activity data'!Q11*EF!$H42*EF!$H60)*NtoN2O*kgtoGg)</f>
        <v>0.1507344887491292</v>
      </c>
      <c r="R42" s="28">
        <f>IF(('Activity data'!R11*EF!$H42*EF!$H60)*NtoN2O*kgtoGg=0,"NO",('Activity data'!R11*EF!$H42*EF!$H60)*NtoN2O*kgtoGg)</f>
        <v>0.14533064839295923</v>
      </c>
      <c r="S42" s="28">
        <f>IF(('Activity data'!S11*EF!$H42*EF!$H60)*NtoN2O*kgtoGg=0,"NO",('Activity data'!S11*EF!$H42*EF!$H60)*NtoN2O*kgtoGg)</f>
        <v>0.14170754904355451</v>
      </c>
      <c r="T42" s="28">
        <f>IF(('Activity data'!T11*EF!$H42*EF!$H60)*NtoN2O*kgtoGg=0,"NO",('Activity data'!T11*EF!$H42*EF!$H60)*NtoN2O*kgtoGg)</f>
        <v>0.13934144334598406</v>
      </c>
      <c r="U42" s="28">
        <f>IF(('Activity data'!U11*EF!$H42*EF!$H60)*NtoN2O*kgtoGg=0,"NO",('Activity data'!U11*EF!$H42*EF!$H60)*NtoN2O*kgtoGg)</f>
        <v>0.13982822029939046</v>
      </c>
      <c r="V42" s="28">
        <f>IF(('Activity data'!V11*EF!$H42*EF!$H60)*NtoN2O*kgtoGg=0,"NO",('Activity data'!V11*EF!$H42*EF!$H60)*NtoN2O*kgtoGg)</f>
        <v>0.13733887993007157</v>
      </c>
      <c r="W42" s="28">
        <f>IF(('Activity data'!W11*EF!$H42*EF!$H60)*NtoN2O*kgtoGg=0,"NO",('Activity data'!W11*EF!$H42*EF!$H60)*NtoN2O*kgtoGg)</f>
        <v>0.13701230804993814</v>
      </c>
      <c r="X42" s="28">
        <f>IF(('Activity data'!X11*EF!$H42*EF!$H60)*NtoN2O*kgtoGg=0,"NO",('Activity data'!X11*EF!$H42*EF!$H60)*NtoN2O*kgtoGg)</f>
        <v>0.13521924357599804</v>
      </c>
      <c r="Y42" s="28">
        <f>IF(('Activity data'!Y11*EF!$H42*EF!$H60)*NtoN2O*kgtoGg=0,"NO",('Activity data'!Y11*EF!$H42*EF!$H60)*NtoN2O*kgtoGg)</f>
        <v>0.13508984717066219</v>
      </c>
      <c r="Z42" s="28">
        <f>IF(('Activity data'!Z11*EF!$H42*EF!$H60)*NtoN2O*kgtoGg=0,"NO",('Activity data'!Z11*EF!$H42*EF!$H60)*NtoN2O*kgtoGg)</f>
        <v>0.1355273302553692</v>
      </c>
      <c r="AA42" s="28">
        <f>IF(('Activity data'!AA11*EF!$H42*EF!$H60)*NtoN2O*kgtoGg=0,"NO",('Activity data'!AA11*EF!$H42*EF!$H60)*NtoN2O*kgtoGg)</f>
        <v>0.13504671503555021</v>
      </c>
      <c r="AB42" s="28">
        <f>IF(('Activity data'!AB11*EF!$H42*EF!$H60)*NtoN2O*kgtoGg=0,"NO",('Activity data'!AB11*EF!$H42*EF!$H60)*NtoN2O*kgtoGg)</f>
        <v>0.13243413999448284</v>
      </c>
      <c r="AC42" s="28">
        <f>IF(('Activity data'!AC11*EF!$H42*EF!$H60)*NtoN2O*kgtoGg=0,"NO",('Activity data'!AC11*EF!$H42*EF!$H60)*NtoN2O*kgtoGg)</f>
        <v>0.1313989687517958</v>
      </c>
      <c r="AD42" s="28">
        <f>IF(('Activity data'!AD11*EF!$H42*EF!$H60)*NtoN2O*kgtoGg=0,"NO",('Activity data'!AD11*EF!$H42*EF!$H60)*NtoN2O*kgtoGg)</f>
        <v>0.11716583498540391</v>
      </c>
      <c r="AE42" s="28">
        <f>IF(('Activity data'!AE11*EF!$H42*EF!$H60)*NtoN2O*kgtoGg=0,"NO",('Activity data'!AE11*EF!$H42*EF!$H60)*NtoN2O*kgtoGg)</f>
        <v>0.11722932522716671</v>
      </c>
      <c r="AF42" s="28">
        <f>IF(('Activity data'!AF11*EF!$H42*EF!$H60)*NtoN2O*kgtoGg=0,"NO",('Activity data'!AF11*EF!$H42*EF!$H60)*NtoN2O*kgtoGg)</f>
        <v>0.11737373774174649</v>
      </c>
      <c r="AG42" s="28">
        <f>IF(('Activity data'!AG11*EF!$H42*EF!$H60)*NtoN2O*kgtoGg=0,"NO",('Activity data'!AG11*EF!$H42*EF!$H60)*NtoN2O*kgtoGg)</f>
        <v>0.11759489243538472</v>
      </c>
      <c r="AH42" s="28">
        <f>IF(('Activity data'!AH11*EF!$H42*EF!$H60)*NtoN2O*kgtoGg=0,"NO",('Activity data'!AH11*EF!$H42*EF!$H60)*NtoN2O*kgtoGg)</f>
        <v>0.11788869250948955</v>
      </c>
      <c r="AI42" s="28">
        <f>IF(('Activity data'!AI11*EF!$H42*EF!H60)*NtoN2O*kgtoGg=0,"NO",('Activity data'!AI11*EF!$H42*EF!H60)*NtoN2O*kgtoGg)</f>
        <v>0.11825827711031994</v>
      </c>
      <c r="AJ42" s="28">
        <f>IF(('Activity data'!AJ11*EF!$H42*EF!I60)*NtoN2O*kgtoGg=0,"NO",('Activity data'!AJ11*EF!$H42*EF!I60)*NtoN2O*kgtoGg)</f>
        <v>0.1186679116169837</v>
      </c>
      <c r="AK42" s="28">
        <f>IF(('Activity data'!AK11*EF!$H42*EF!J60)*NtoN2O*kgtoGg=0,"NO",('Activity data'!AK11*EF!$H42*EF!J60)*NtoN2O*kgtoGg)</f>
        <v>0.11911868702579155</v>
      </c>
      <c r="AL42" s="28">
        <f>IF(('Activity data'!AL11*EF!$H42*EF!K60)*NtoN2O*kgtoGg=0,"NO",('Activity data'!AL11*EF!$H42*EF!K60)*NtoN2O*kgtoGg)</f>
        <v>0.11955326565133954</v>
      </c>
      <c r="AM42" s="28">
        <f>IF(('Activity data'!AM11*EF!$H42*EF!L60)*NtoN2O*kgtoGg=0,"NO",('Activity data'!AM11*EF!$H42*EF!L60)*NtoN2O*kgtoGg)</f>
        <v>0.1197255414402565</v>
      </c>
      <c r="AN42" s="28">
        <f>IF(('Activity data'!AN11*EF!$H42*EF!M60)*NtoN2O*kgtoGg=0,"NO",('Activity data'!AN11*EF!$H42*EF!M60)*NtoN2O*kgtoGg)</f>
        <v>0.11992675204594688</v>
      </c>
      <c r="AO42" s="28">
        <f>IF(('Activity data'!AO11*EF!$H42*EF!N60)*NtoN2O*kgtoGg=0,"NO",('Activity data'!AO11*EF!$H42*EF!N60)*NtoN2O*kgtoGg)</f>
        <v>0.12015608394448543</v>
      </c>
      <c r="AP42" s="28">
        <f>IF(('Activity data'!AP11*EF!$H42*EF!O60)*NtoN2O*kgtoGg=0,"NO",('Activity data'!AP11*EF!$H42*EF!O60)*NtoN2O*kgtoGg)</f>
        <v>0.12041267563340377</v>
      </c>
      <c r="AQ42" s="28">
        <f>IF(('Activity data'!AQ11*EF!$H42*EF!P60)*NtoN2O*kgtoGg=0,"NO",('Activity data'!AQ11*EF!$H42*EF!P60)*NtoN2O*kgtoGg)</f>
        <v>0.12069564887411641</v>
      </c>
      <c r="AR42" s="28">
        <f>IF(('Activity data'!AR11*EF!$H42*EF!Q60)*NtoN2O*kgtoGg=0,"NO",('Activity data'!AR11*EF!$H42*EF!Q60)*NtoN2O*kgtoGg)</f>
        <v>0.12086942401331552</v>
      </c>
      <c r="AS42" s="28">
        <f>IF(('Activity data'!AS11*EF!$H42*EF!R60)*NtoN2O*kgtoGg=0,"NO",('Activity data'!AS11*EF!$H42*EF!R60)*NtoN2O*kgtoGg)</f>
        <v>0.12106530136437239</v>
      </c>
      <c r="AT42" s="28">
        <f>IF(('Activity data'!AT11*EF!$H42*EF!S60)*NtoN2O*kgtoGg=0,"NO",('Activity data'!AT11*EF!$H42*EF!S60)*NtoN2O*kgtoGg)</f>
        <v>0.12128235727358862</v>
      </c>
      <c r="AU42" s="28">
        <f>IF(('Activity data'!AU11*EF!$H42*EF!T60)*NtoN2O*kgtoGg=0,"NO",('Activity data'!AU11*EF!$H42*EF!T60)*NtoN2O*kgtoGg)</f>
        <v>0.12152073406843694</v>
      </c>
      <c r="AV42" s="28">
        <f>IF(('Activity data'!AV11*EF!$H42*EF!U60)*NtoN2O*kgtoGg=0,"NO",('Activity data'!AV11*EF!$H42*EF!U60)*NtoN2O*kgtoGg)</f>
        <v>0.12177721848297941</v>
      </c>
      <c r="AW42" s="28">
        <f>IF(('Activity data'!AW11*EF!$H42*EF!V60)*NtoN2O*kgtoGg=0,"NO",('Activity data'!AW11*EF!$H42*EF!V60)*NtoN2O*kgtoGg)</f>
        <v>0.12194691476274817</v>
      </c>
      <c r="AX42" s="28">
        <f>IF(('Activity data'!AX11*EF!$H42*EF!W60)*NtoN2O*kgtoGg=0,"NO",('Activity data'!AX11*EF!$H42*EF!W60)*NtoN2O*kgtoGg)</f>
        <v>0.12213321642657522</v>
      </c>
      <c r="AY42" s="28">
        <f>IF(('Activity data'!AY11*EF!$H42*EF!X60)*NtoN2O*kgtoGg=0,"NO",('Activity data'!AY11*EF!$H42*EF!X60)*NtoN2O*kgtoGg)</f>
        <v>0.12233535424286332</v>
      </c>
      <c r="AZ42" s="28">
        <f>IF(('Activity data'!AZ11*EF!$H42*EF!Y60)*NtoN2O*kgtoGg=0,"NO",('Activity data'!AZ11*EF!$H42*EF!Y60)*NtoN2O*kgtoGg)</f>
        <v>0.12255261023520628</v>
      </c>
      <c r="BA42" s="28">
        <f>IF(('Activity data'!BA11*EF!$H42*EF!Z60)*NtoN2O*kgtoGg=0,"NO",('Activity data'!BA11*EF!$H42*EF!Z60)*NtoN2O*kgtoGg)</f>
        <v>0.12278198948023196</v>
      </c>
      <c r="BB42" s="28">
        <f>IF(('Activity data'!BB11*EF!$H42*EF!AA60)*NtoN2O*kgtoGg=0,"NO",('Activity data'!BB11*EF!$H42*EF!AA60)*NtoN2O*kgtoGg)</f>
        <v>0.12292420627006839</v>
      </c>
      <c r="BC42" s="28">
        <f>IF(('Activity data'!BC11*EF!$H42*EF!AB60)*NtoN2O*kgtoGg=0,"NO",('Activity data'!BC11*EF!$H42*EF!AB60)*NtoN2O*kgtoGg)</f>
        <v>0.12308032394795584</v>
      </c>
      <c r="BD42" s="28">
        <f>IF(('Activity data'!BD11*EF!$H42*EF!AC60)*NtoN2O*kgtoGg=0,"NO",('Activity data'!BD11*EF!$H42*EF!AC60)*NtoN2O*kgtoGg)</f>
        <v>0.12324939938836849</v>
      </c>
      <c r="BE42" s="28">
        <f>IF(('Activity data'!BE11*EF!$H42*EF!AD60)*NtoN2O*kgtoGg=0,"NO",('Activity data'!BE11*EF!$H42*EF!AD60)*NtoN2O*kgtoGg)</f>
        <v>0.12342920588419841</v>
      </c>
      <c r="BF42" s="28">
        <f>IF(('Activity data'!BF11*EF!$H42*EF!AE60)*NtoN2O*kgtoGg=0,"NO",('Activity data'!BF11*EF!$H42*EF!AE60)*NtoN2O*kgtoGg)</f>
        <v>0.12362034327215503</v>
      </c>
      <c r="BG42" s="28">
        <f>IF(('Activity data'!BG11*EF!$H42*EF!AF60)*NtoN2O*kgtoGg=0,"NO",('Activity data'!BG11*EF!$H42*EF!AF60)*NtoN2O*kgtoGg)</f>
        <v>0.12372841484557728</v>
      </c>
      <c r="BH42" s="28">
        <f>IF(('Activity data'!BH11*EF!$H42*EF!AG60)*NtoN2O*kgtoGg=0,"NO",('Activity data'!BH11*EF!$H42*EF!AG60)*NtoN2O*kgtoGg)</f>
        <v>0.12384749028556287</v>
      </c>
      <c r="BI42" s="28">
        <f>IF(('Activity data'!BI11*EF!$H42*EF!AH60)*NtoN2O*kgtoGg=0,"NO",('Activity data'!BI11*EF!$H42*EF!AH60)*NtoN2O*kgtoGg)</f>
        <v>0.12397757976718179</v>
      </c>
      <c r="BJ42" s="28">
        <f>IF(('Activity data'!BJ11*EF!$H42*EF!AI60)*NtoN2O*kgtoGg=0,"NO",('Activity data'!BJ11*EF!$H42*EF!AI60)*NtoN2O*kgtoGg)</f>
        <v>0.1241182488855673</v>
      </c>
      <c r="BK42" s="28">
        <f>IF(('Activity data'!BK11*EF!$H42*EF!AJ60)*NtoN2O*kgtoGg=0,"NO",('Activity data'!BK11*EF!$H42*EF!AJ60)*NtoN2O*kgtoGg)</f>
        <v>0.12426992893617578</v>
      </c>
      <c r="BL42" s="28">
        <f>IF(('Activity data'!BL11*EF!$H42*EF!AK60)*NtoN2O*kgtoGg=0,"NO",('Activity data'!BL11*EF!$H42*EF!AK60)*NtoN2O*kgtoGg)</f>
        <v>0.12433639083561282</v>
      </c>
      <c r="BM42" s="28">
        <f>IF(('Activity data'!BM11*EF!$H42*EF!AL60)*NtoN2O*kgtoGg=0,"NO",('Activity data'!BM11*EF!$H42*EF!AL60)*NtoN2O*kgtoGg)</f>
        <v>0.1244122045774089</v>
      </c>
      <c r="BN42" s="28">
        <f>IF(('Activity data'!BN11*EF!$H42*EF!AM60)*NtoN2O*kgtoGg=0,"NO",('Activity data'!BN11*EF!$H42*EF!AM60)*NtoN2O*kgtoGg)</f>
        <v>0.12449531890847369</v>
      </c>
      <c r="BO42" s="28">
        <f>IF(('Activity data'!BO11*EF!$H42*EF!AN60)*NtoN2O*kgtoGg=0,"NO",('Activity data'!BO11*EF!$H42*EF!AN60)*NtoN2O*kgtoGg)</f>
        <v>0.1245874567188681</v>
      </c>
      <c r="BP42" s="28">
        <f>IF(('Activity data'!BP11*EF!$H42*EF!AO60)*NtoN2O*kgtoGg=0,"NO",('Activity data'!BP11*EF!$H42*EF!AO60)*NtoN2O*kgtoGg)</f>
        <v>0.12468885542789687</v>
      </c>
    </row>
    <row r="43" spans="1:68" x14ac:dyDescent="0.25">
      <c r="A43" t="str">
        <f t="shared" si="1"/>
        <v>3A Livestock</v>
      </c>
      <c r="B43" t="str">
        <f t="shared" si="11"/>
        <v>3A2 Manure management (N2O)</v>
      </c>
      <c r="C43" t="str">
        <f>EF!C61</f>
        <v>3A1c Sheep</v>
      </c>
      <c r="D43" t="str">
        <f>EF!D61</f>
        <v>Subsistence</v>
      </c>
      <c r="E43" t="str">
        <f t="shared" si="9"/>
        <v>Manure management Emissions</v>
      </c>
      <c r="F43" t="s">
        <v>139</v>
      </c>
      <c r="G43" t="str">
        <f t="shared" si="10"/>
        <v>Gg N2O</v>
      </c>
      <c r="H43" s="28">
        <f>IF(('Activity data'!H12*EF!$H43*EF!$H61)*NtoN2O*kgtoGg=0,"NO",('Activity data'!H12*EF!$H43*EF!$H61)*NtoN2O*kgtoGg)</f>
        <v>9.2257162292800898E-2</v>
      </c>
      <c r="I43" s="28">
        <f>IF(('Activity data'!I12*EF!$H43*EF!$H61)*NtoN2O*kgtoGg=0,"NO",('Activity data'!I12*EF!$H43*EF!$H61)*NtoN2O*kgtoGg)</f>
        <v>8.810883663915349E-2</v>
      </c>
      <c r="J43" s="28">
        <f>IF(('Activity data'!J12*EF!$H43*EF!$H61)*NtoN2O*kgtoGg=0,"NO",('Activity data'!J12*EF!$H43*EF!$H61)*NtoN2O*kgtoGg)</f>
        <v>8.4468280816998517E-2</v>
      </c>
      <c r="K43" s="28">
        <f>IF(('Activity data'!K12*EF!$H43*EF!$H61)*NtoN2O*kgtoGg=0,"NO",('Activity data'!K12*EF!$H43*EF!$H61)*NtoN2O*kgtoGg)</f>
        <v>7.8996676208552608E-2</v>
      </c>
      <c r="L43" s="28">
        <f>IF(('Activity data'!L12*EF!$H43*EF!$H61)*NtoN2O*kgtoGg=0,"NO",('Activity data'!L12*EF!$H43*EF!$H61)*NtoN2O*kgtoGg)</f>
        <v>7.9553684326735249E-2</v>
      </c>
      <c r="M43" s="28">
        <f>IF(('Activity data'!M12*EF!$H43*EF!$H61)*NtoN2O*kgtoGg=0,"NO",('Activity data'!M12*EF!$H43*EF!$H61)*NtoN2O*kgtoGg)</f>
        <v>7.8415048947024904E-2</v>
      </c>
      <c r="N43" s="28">
        <f>IF(('Activity data'!N12*EF!$H43*EF!$H61)*NtoN2O*kgtoGg=0,"NO",('Activity data'!N12*EF!$H43*EF!$H61)*NtoN2O*kgtoGg)</f>
        <v>7.867662734506646E-2</v>
      </c>
      <c r="O43" s="28">
        <f>IF(('Activity data'!O12*EF!$H43*EF!$H61)*NtoN2O*kgtoGg=0,"NO",('Activity data'!O12*EF!$H43*EF!$H61)*NtoN2O*kgtoGg)</f>
        <v>7.6965596882582824E-2</v>
      </c>
      <c r="P43" s="28">
        <f>IF(('Activity data'!P12*EF!$H43*EF!$H61)*NtoN2O*kgtoGg=0,"NO",('Activity data'!P12*EF!$H43*EF!$H61)*NtoN2O*kgtoGg)</f>
        <v>7.7177936993934437E-2</v>
      </c>
      <c r="Q43" s="28">
        <f>IF(('Activity data'!Q12*EF!$H43*EF!$H61)*NtoN2O*kgtoGg=0,"NO",('Activity data'!Q12*EF!$H43*EF!$H61)*NtoN2O*kgtoGg)</f>
        <v>7.5282262956362631E-2</v>
      </c>
      <c r="R43" s="28">
        <f>IF(('Activity data'!R12*EF!$H43*EF!$H61)*NtoN2O*kgtoGg=0,"NO",('Activity data'!R12*EF!$H43*EF!$H61)*NtoN2O*kgtoGg)</f>
        <v>7.2583389367157303E-2</v>
      </c>
      <c r="S43" s="28">
        <f>IF(('Activity data'!S12*EF!$H43*EF!$H61)*NtoN2O*kgtoGg=0,"NO",('Activity data'!S12*EF!$H43*EF!$H61)*NtoN2O*kgtoGg)</f>
        <v>7.0773882331293281E-2</v>
      </c>
      <c r="T43" s="28">
        <f>IF(('Activity data'!T12*EF!$H43*EF!$H61)*NtoN2O*kgtoGg=0,"NO",('Activity data'!T12*EF!$H43*EF!$H61)*NtoN2O*kgtoGg)</f>
        <v>6.9592163450729036E-2</v>
      </c>
      <c r="U43" s="28">
        <f>IF(('Activity data'!U12*EF!$H43*EF!$H61)*NtoN2O*kgtoGg=0,"NO",('Activity data'!U12*EF!$H43*EF!$H61)*NtoN2O*kgtoGg)</f>
        <v>6.9835277491261782E-2</v>
      </c>
      <c r="V43" s="28">
        <f>IF(('Activity data'!V12*EF!$H43*EF!$H61)*NtoN2O*kgtoGg=0,"NO",('Activity data'!V12*EF!$H43*EF!$H61)*NtoN2O*kgtoGg)</f>
        <v>6.8592010752334814E-2</v>
      </c>
      <c r="W43" s="28">
        <f>IF(('Activity data'!W12*EF!$H43*EF!$H61)*NtoN2O*kgtoGg=0,"NO",('Activity data'!W12*EF!$H43*EF!$H61)*NtoN2O*kgtoGg)</f>
        <v>6.8428908927673615E-2</v>
      </c>
      <c r="X43" s="28">
        <f>IF(('Activity data'!X12*EF!$H43*EF!$H61)*NtoN2O*kgtoGg=0,"NO",('Activity data'!X12*EF!$H43*EF!$H61)*NtoN2O*kgtoGg)</f>
        <v>6.7533387588496016E-2</v>
      </c>
      <c r="Y43" s="28">
        <f>IF(('Activity data'!Y12*EF!$H43*EF!$H61)*NtoN2O*kgtoGg=0,"NO",('Activity data'!Y12*EF!$H43*EF!$H61)*NtoN2O*kgtoGg)</f>
        <v>6.746876233721516E-2</v>
      </c>
      <c r="Z43" s="28">
        <f>IF(('Activity data'!Z12*EF!$H43*EF!$H61)*NtoN2O*kgtoGg=0,"NO",('Activity data'!Z12*EF!$H43*EF!$H61)*NtoN2O*kgtoGg)</f>
        <v>6.7687257234402817E-2</v>
      </c>
      <c r="AA43" s="28">
        <f>IF(('Activity data'!AA12*EF!$H43*EF!$H61)*NtoN2O*kgtoGg=0,"NO",('Activity data'!AA12*EF!$H43*EF!$H61)*NtoN2O*kgtoGg)</f>
        <v>6.7447220586788204E-2</v>
      </c>
      <c r="AB43" s="28">
        <f>IF(('Activity data'!AB12*EF!$H43*EF!$H61)*NtoN2O*kgtoGg=0,"NO",('Activity data'!AB12*EF!$H43*EF!$H61)*NtoN2O*kgtoGg)</f>
        <v>6.6142405989498512E-2</v>
      </c>
      <c r="AC43" s="28">
        <f>IF(('Activity data'!AC12*EF!$H43*EF!$H61)*NtoN2O*kgtoGg=0,"NO",('Activity data'!AC12*EF!$H43*EF!$H61)*NtoN2O*kgtoGg)</f>
        <v>6.5625403979251651E-2</v>
      </c>
      <c r="AD43" s="28">
        <f>IF(('Activity data'!AD12*EF!$H43*EF!$H61)*NtoN2O*kgtoGg=0,"NO",('Activity data'!AD12*EF!$H43*EF!$H61)*NtoN2O*kgtoGg)</f>
        <v>6.265342772252662E-2</v>
      </c>
      <c r="AE43" s="28">
        <f>IF(('Activity data'!AE12*EF!$H43*EF!$H61)*NtoN2O*kgtoGg=0,"NO",('Activity data'!AE12*EF!$H43*EF!$H61)*NtoN2O*kgtoGg)</f>
        <v>6.2687378586051543E-2</v>
      </c>
      <c r="AF43" s="28">
        <f>IF(('Activity data'!AF12*EF!$H43*EF!$H61)*NtoN2O*kgtoGg=0,"NO",('Activity data'!AF12*EF!$H43*EF!$H61)*NtoN2O*kgtoGg)</f>
        <v>6.2764601942549444E-2</v>
      </c>
      <c r="AG43" s="28">
        <f>IF(('Activity data'!AG12*EF!$H43*EF!$H61)*NtoN2O*kgtoGg=0,"NO",('Activity data'!AG12*EF!$H43*EF!$H61)*NtoN2O*kgtoGg)</f>
        <v>6.2882862522650171E-2</v>
      </c>
      <c r="AH43" s="28">
        <f>IF(('Activity data'!AH12*EF!$H43*EF!$H61)*NtoN2O*kgtoGg=0,"NO",('Activity data'!AH12*EF!$H43*EF!$H61)*NtoN2O*kgtoGg)</f>
        <v>6.3039969598361209E-2</v>
      </c>
      <c r="AI43" s="28">
        <f>IF(('Activity data'!AI12*EF!$H43*EF!H61)*NtoN2O*kgtoGg=0,"NO",('Activity data'!AI12*EF!$H43*EF!H61)*NtoN2O*kgtoGg)</f>
        <v>6.3237601801284279E-2</v>
      </c>
      <c r="AJ43" s="28">
        <f>IF(('Activity data'!AJ12*EF!$H43*EF!I61)*NtoN2O*kgtoGg=0,"NO",('Activity data'!AJ12*EF!$H43*EF!I61)*NtoN2O*kgtoGg)</f>
        <v>6.3456650348662519E-2</v>
      </c>
      <c r="AK43" s="28">
        <f>IF(('Activity data'!AK12*EF!$H43*EF!J61)*NtoN2O*kgtoGg=0,"NO",('Activity data'!AK12*EF!$H43*EF!J61)*NtoN2O*kgtoGg)</f>
        <v>6.36976986414379E-2</v>
      </c>
      <c r="AL43" s="28">
        <f>IF(('Activity data'!AL12*EF!$H43*EF!K61)*NtoN2O*kgtoGg=0,"NO",('Activity data'!AL12*EF!$H43*EF!K61)*NtoN2O*kgtoGg)</f>
        <v>6.393008584295376E-2</v>
      </c>
      <c r="AM43" s="28">
        <f>IF(('Activity data'!AM12*EF!$H43*EF!L61)*NtoN2O*kgtoGg=0,"NO",('Activity data'!AM12*EF!$H43*EF!L61)*NtoN2O*kgtoGg)</f>
        <v>6.4022208846989823E-2</v>
      </c>
      <c r="AN43" s="28">
        <f>IF(('Activity data'!AN12*EF!$H43*EF!M61)*NtoN2O*kgtoGg=0,"NO",('Activity data'!AN12*EF!$H43*EF!M61)*NtoN2O*kgtoGg)</f>
        <v>6.4129804496713141E-2</v>
      </c>
      <c r="AO43" s="28">
        <f>IF(('Activity data'!AO12*EF!$H43*EF!N61)*NtoN2O*kgtoGg=0,"NO",('Activity data'!AO12*EF!$H43*EF!N61)*NtoN2O*kgtoGg)</f>
        <v>6.4252437767165604E-2</v>
      </c>
      <c r="AP43" s="28">
        <f>IF(('Activity data'!AP12*EF!$H43*EF!O61)*NtoN2O*kgtoGg=0,"NO",('Activity data'!AP12*EF!$H43*EF!O61)*NtoN2O*kgtoGg)</f>
        <v>6.4389647977273784E-2</v>
      </c>
      <c r="AQ43" s="28">
        <f>IF(('Activity data'!AQ12*EF!$H43*EF!P61)*NtoN2O*kgtoGg=0,"NO",('Activity data'!AQ12*EF!$H43*EF!P61)*NtoN2O*kgtoGg)</f>
        <v>6.4540965496468747E-2</v>
      </c>
      <c r="AR43" s="28">
        <f>IF(('Activity data'!AR12*EF!$H43*EF!Q61)*NtoN2O*kgtoGg=0,"NO",('Activity data'!AR12*EF!$H43*EF!Q61)*NtoN2O*kgtoGg)</f>
        <v>6.4633890265238927E-2</v>
      </c>
      <c r="AS43" s="28">
        <f>IF(('Activity data'!AS12*EF!$H43*EF!R61)*NtoN2O*kgtoGg=0,"NO",('Activity data'!AS12*EF!$H43*EF!R61)*NtoN2O*kgtoGg)</f>
        <v>6.4738634002681247E-2</v>
      </c>
      <c r="AT43" s="28">
        <f>IF(('Activity data'!AT12*EF!$H43*EF!S61)*NtoN2O*kgtoGg=0,"NO",('Activity data'!AT12*EF!$H43*EF!S61)*NtoN2O*kgtoGg)</f>
        <v>6.4854702792883787E-2</v>
      </c>
      <c r="AU43" s="28">
        <f>IF(('Activity data'!AU12*EF!$H43*EF!T61)*NtoN2O*kgtoGg=0,"NO",('Activity data'!AU12*EF!$H43*EF!T61)*NtoN2O*kgtoGg)</f>
        <v>6.4982172744244768E-2</v>
      </c>
      <c r="AV43" s="28">
        <f>IF(('Activity data'!AV12*EF!$H43*EF!U61)*NtoN2O*kgtoGg=0,"NO",('Activity data'!AV12*EF!$H43*EF!U61)*NtoN2O*kgtoGg)</f>
        <v>6.5119325590298316E-2</v>
      </c>
      <c r="AW43" s="28">
        <f>IF(('Activity data'!AW12*EF!$H43*EF!V61)*NtoN2O*kgtoGg=0,"NO",('Activity data'!AW12*EF!$H43*EF!V61)*NtoN2O*kgtoGg)</f>
        <v>6.5210069223889111E-2</v>
      </c>
      <c r="AX43" s="28">
        <f>IF(('Activity data'!AX12*EF!$H43*EF!W61)*NtoN2O*kgtoGg=0,"NO",('Activity data'!AX12*EF!$H43*EF!W61)*NtoN2O*kgtoGg)</f>
        <v>6.5309692444520187E-2</v>
      </c>
      <c r="AY43" s="28">
        <f>IF(('Activity data'!AY12*EF!$H43*EF!X61)*NtoN2O*kgtoGg=0,"NO",('Activity data'!AY12*EF!$H43*EF!X61)*NtoN2O*kgtoGg)</f>
        <v>6.5417783912176897E-2</v>
      </c>
      <c r="AZ43" s="28">
        <f>IF(('Activity data'!AZ12*EF!$H43*EF!Y61)*NtoN2O*kgtoGg=0,"NO",('Activity data'!AZ12*EF!$H43*EF!Y61)*NtoN2O*kgtoGg)</f>
        <v>6.5533959695119423E-2</v>
      </c>
      <c r="BA43" s="28">
        <f>IF(('Activity data'!BA12*EF!$H43*EF!Z61)*NtoN2O*kgtoGg=0,"NO",('Activity data'!BA12*EF!$H43*EF!Z61)*NtoN2O*kgtoGg)</f>
        <v>6.5656618283700757E-2</v>
      </c>
      <c r="BB43" s="28">
        <f>IF(('Activity data'!BB12*EF!$H43*EF!AA61)*NtoN2O*kgtoGg=0,"NO",('Activity data'!BB12*EF!$H43*EF!AA61)*NtoN2O*kgtoGg)</f>
        <v>6.5732667495180003E-2</v>
      </c>
      <c r="BC43" s="28">
        <f>IF(('Activity data'!BC12*EF!$H43*EF!AB61)*NtoN2O*kgtoGg=0,"NO",('Activity data'!BC12*EF!$H43*EF!AB61)*NtoN2O*kgtoGg)</f>
        <v>6.5816150087600805E-2</v>
      </c>
      <c r="BD43" s="28">
        <f>IF(('Activity data'!BD12*EF!$H43*EF!AC61)*NtoN2O*kgtoGg=0,"NO",('Activity data'!BD12*EF!$H43*EF!AC61)*NtoN2O*kgtoGg)</f>
        <v>6.5906561732658145E-2</v>
      </c>
      <c r="BE43" s="28">
        <f>IF(('Activity data'!BE12*EF!$H43*EF!AD61)*NtoN2O*kgtoGg=0,"NO",('Activity data'!BE12*EF!$H43*EF!AD61)*NtoN2O*kgtoGg)</f>
        <v>6.6002711717779022E-2</v>
      </c>
      <c r="BF43" s="28">
        <f>IF(('Activity data'!BF12*EF!$H43*EF!AE61)*NtoN2O*kgtoGg=0,"NO",('Activity data'!BF12*EF!$H43*EF!AE61)*NtoN2O*kgtoGg)</f>
        <v>6.6104920800511252E-2</v>
      </c>
      <c r="BG43" s="28">
        <f>IF(('Activity data'!BG12*EF!$H43*EF!AF61)*NtoN2O*kgtoGg=0,"NO",('Activity data'!BG12*EF!$H43*EF!AF61)*NtoN2O*kgtoGg)</f>
        <v>6.6162711149678449E-2</v>
      </c>
      <c r="BH43" s="28">
        <f>IF(('Activity data'!BH12*EF!$H43*EF!AG61)*NtoN2O*kgtoGg=0,"NO",('Activity data'!BH12*EF!$H43*EF!AG61)*NtoN2O*kgtoGg)</f>
        <v>6.6226385722335163E-2</v>
      </c>
      <c r="BI43" s="28">
        <f>IF(('Activity data'!BI12*EF!$H43*EF!AH61)*NtoN2O*kgtoGg=0,"NO",('Activity data'!BI12*EF!$H43*EF!AH61)*NtoN2O*kgtoGg)</f>
        <v>6.6295949959513087E-2</v>
      </c>
      <c r="BJ43" s="28">
        <f>IF(('Activity data'!BJ12*EF!$H43*EF!AI61)*NtoN2O*kgtoGg=0,"NO",('Activity data'!BJ12*EF!$H43*EF!AI61)*NtoN2O*kgtoGg)</f>
        <v>6.6371171566926665E-2</v>
      </c>
      <c r="BK43" s="28">
        <f>IF(('Activity data'!BK12*EF!$H43*EF!AJ61)*NtoN2O*kgtoGg=0,"NO",('Activity data'!BK12*EF!$H43*EF!AJ61)*NtoN2O*kgtoGg)</f>
        <v>6.6452281176130834E-2</v>
      </c>
      <c r="BL43" s="28">
        <f>IF(('Activity data'!BL12*EF!$H43*EF!AK61)*NtoN2O*kgtoGg=0,"NO",('Activity data'!BL12*EF!$H43*EF!AK61)*NtoN2O*kgtoGg)</f>
        <v>6.6487821108169906E-2</v>
      </c>
      <c r="BM43" s="28">
        <f>IF(('Activity data'!BM12*EF!$H43*EF!AL61)*NtoN2O*kgtoGg=0,"NO",('Activity data'!BM12*EF!$H43*EF!AL61)*NtoN2O*kgtoGg)</f>
        <v>6.6528361857890891E-2</v>
      </c>
      <c r="BN43" s="28">
        <f>IF(('Activity data'!BN12*EF!$H43*EF!AM61)*NtoN2O*kgtoGg=0,"NO",('Activity data'!BN12*EF!$H43*EF!AM61)*NtoN2O*kgtoGg)</f>
        <v>6.6572806535255435E-2</v>
      </c>
      <c r="BO43" s="28">
        <f>IF(('Activity data'!BO12*EF!$H43*EF!AN61)*NtoN2O*kgtoGg=0,"NO",('Activity data'!BO12*EF!$H43*EF!AN61)*NtoN2O*kgtoGg)</f>
        <v>6.6622076440981615E-2</v>
      </c>
      <c r="BP43" s="28">
        <f>IF(('Activity data'!BP12*EF!$H43*EF!AO61)*NtoN2O*kgtoGg=0,"NO",('Activity data'!BP12*EF!$H43*EF!AO61)*NtoN2O*kgtoGg)</f>
        <v>6.6676298533011102E-2</v>
      </c>
    </row>
    <row r="44" spans="1:68" x14ac:dyDescent="0.25">
      <c r="A44" t="str">
        <f t="shared" si="1"/>
        <v>3A Livestock</v>
      </c>
      <c r="B44" t="str">
        <f t="shared" si="11"/>
        <v>3A2 Manure management (N2O)</v>
      </c>
      <c r="C44" t="str">
        <f>EF!C62</f>
        <v>3A1d Goats</v>
      </c>
      <c r="D44" t="str">
        <f>EF!D62</f>
        <v>Commercial</v>
      </c>
      <c r="E44" t="str">
        <f t="shared" si="9"/>
        <v>Manure management Emissions</v>
      </c>
      <c r="F44" t="s">
        <v>139</v>
      </c>
      <c r="G44" t="str">
        <f t="shared" si="10"/>
        <v>Gg N2O</v>
      </c>
      <c r="H44" s="28">
        <f>IF(('Activity data'!H13*EF!$H44*EF!$H62)*NtoN2O*kgtoGg=0,"NO",('Activity data'!H13*EF!$H44*EF!$H62)*NtoN2O*kgtoGg)</f>
        <v>1.9430751682320124E-2</v>
      </c>
      <c r="I44" s="28">
        <f>IF(('Activity data'!I13*EF!$H44*EF!$H62)*NtoN2O*kgtoGg=0,"NO",('Activity data'!I13*EF!$H44*EF!$H62)*NtoN2O*kgtoGg)</f>
        <v>1.7182276091107163E-2</v>
      </c>
      <c r="J44" s="28">
        <f>IF(('Activity data'!J13*EF!$H44*EF!$H62)*NtoN2O*kgtoGg=0,"NO",('Activity data'!J13*EF!$H44*EF!$H62)*NtoN2O*kgtoGg)</f>
        <v>1.6005503819070465E-2</v>
      </c>
      <c r="K44" s="28">
        <f>IF(('Activity data'!K13*EF!$H44*EF!$H62)*NtoN2O*kgtoGg=0,"NO",('Activity data'!K13*EF!$H44*EF!$H62)*NtoN2O*kgtoGg)</f>
        <v>1.5122924615042945E-2</v>
      </c>
      <c r="L44" s="28">
        <f>IF(('Activity data'!L13*EF!$H44*EF!$H62)*NtoN2O*kgtoGg=0,"NO",('Activity data'!L13*EF!$H44*EF!$H62)*NtoN2O*kgtoGg)</f>
        <v>1.6369742855653249E-2</v>
      </c>
      <c r="M44" s="28">
        <f>IF(('Activity data'!M13*EF!$H44*EF!$H62)*NtoN2O*kgtoGg=0,"NO",('Activity data'!M13*EF!$H44*EF!$H62)*NtoN2O*kgtoGg)</f>
        <v>1.6593889955088814E-2</v>
      </c>
      <c r="N44" s="28">
        <f>IF(('Activity data'!N13*EF!$H44*EF!$H62)*NtoN2O*kgtoGg=0,"NO",('Activity data'!N13*EF!$H44*EF!$H62)*NtoN2O*kgtoGg)</f>
        <v>1.6853060038811176E-2</v>
      </c>
      <c r="O44" s="28">
        <f>IF(('Activity data'!O13*EF!$H44*EF!$H62)*NtoN2O*kgtoGg=0,"NO",('Activity data'!O13*EF!$H44*EF!$H62)*NtoN2O*kgtoGg)</f>
        <v>1.6769004876522844E-2</v>
      </c>
      <c r="P44" s="28">
        <f>IF(('Activity data'!P13*EF!$H44*EF!$H62)*NtoN2O*kgtoGg=0,"NO",('Activity data'!P13*EF!$H44*EF!$H62)*NtoN2O*kgtoGg)</f>
        <v>1.6530848583372559E-2</v>
      </c>
      <c r="Q44" s="28">
        <f>IF(('Activity data'!Q13*EF!$H44*EF!$H62)*NtoN2O*kgtoGg=0,"NO",('Activity data'!Q13*EF!$H44*EF!$H62)*NtoN2O*kgtoGg)</f>
        <v>1.6285687693364925E-2</v>
      </c>
      <c r="R44" s="28">
        <f>IF(('Activity data'!R13*EF!$H44*EF!$H62)*NtoN2O*kgtoGg=0,"NO",('Activity data'!R13*EF!$H44*EF!$H62)*NtoN2O*kgtoGg)</f>
        <v>1.6495825599085752E-2</v>
      </c>
      <c r="S44" s="28">
        <f>IF(('Activity data'!S13*EF!$H44*EF!$H62)*NtoN2O*kgtoGg=0,"NO",('Activity data'!S13*EF!$H44*EF!$H62)*NtoN2O*kgtoGg)</f>
        <v>1.7000156572815769E-2</v>
      </c>
      <c r="T44" s="28">
        <f>IF(('Activity data'!T13*EF!$H44*EF!$H62)*NtoN2O*kgtoGg=0,"NO",('Activity data'!T13*EF!$H44*EF!$H62)*NtoN2O*kgtoGg)</f>
        <v>1.5522186635912547E-2</v>
      </c>
      <c r="U44" s="28">
        <f>IF(('Activity data'!U13*EF!$H44*EF!$H62)*NtoN2O*kgtoGg=0,"NO",('Activity data'!U13*EF!$H44*EF!$H62)*NtoN2O*kgtoGg)</f>
        <v>1.512992921190031E-2</v>
      </c>
      <c r="V44" s="28">
        <f>IF(('Activity data'!V13*EF!$H44*EF!$H62)*NtoN2O*kgtoGg=0,"NO",('Activity data'!V13*EF!$H44*EF!$H62)*NtoN2O*kgtoGg)</f>
        <v>1.5157947599329761E-2</v>
      </c>
      <c r="W44" s="28">
        <f>IF(('Activity data'!W13*EF!$H44*EF!$H62)*NtoN2O*kgtoGg=0,"NO",('Activity data'!W13*EF!$H44*EF!$H62)*NtoN2O*kgtoGg)</f>
        <v>1.4961818887323638E-2</v>
      </c>
      <c r="X44" s="28">
        <f>IF(('Activity data'!X13*EF!$H44*EF!$H62)*NtoN2O*kgtoGg=0,"NO",('Activity data'!X13*EF!$H44*EF!$H62)*NtoN2O*kgtoGg)</f>
        <v>1.5277025745904898E-2</v>
      </c>
      <c r="Y44" s="28">
        <f>IF(('Activity data'!Y13*EF!$H44*EF!$H62)*NtoN2O*kgtoGg=0,"NO",('Activity data'!Y13*EF!$H44*EF!$H62)*NtoN2O*kgtoGg)</f>
        <v>1.4821726950176417E-2</v>
      </c>
      <c r="Z44" s="28">
        <f>IF(('Activity data'!Z13*EF!$H44*EF!$H62)*NtoN2O*kgtoGg=0,"NO",('Activity data'!Z13*EF!$H44*EF!$H62)*NtoN2O*kgtoGg)</f>
        <v>1.4807717756461695E-2</v>
      </c>
      <c r="AA44" s="28">
        <f>IF(('Activity data'!AA13*EF!$H44*EF!$H62)*NtoN2O*kgtoGg=0,"NO",('Activity data'!AA13*EF!$H44*EF!$H62)*NtoN2O*kgtoGg)</f>
        <v>1.4548547672739326E-2</v>
      </c>
      <c r="AB44" s="28">
        <f>IF(('Activity data'!AB13*EF!$H44*EF!$H62)*NtoN2O*kgtoGg=0,"NO",('Activity data'!AB13*EF!$H44*EF!$H62)*NtoN2O*kgtoGg)</f>
        <v>1.4373432751305298E-2</v>
      </c>
      <c r="AC44" s="28">
        <f>IF(('Activity data'!AC13*EF!$H44*EF!$H62)*NtoN2O*kgtoGg=0,"NO",('Activity data'!AC13*EF!$H44*EF!$H62)*NtoN2O*kgtoGg)</f>
        <v>1.4240345411015433E-2</v>
      </c>
      <c r="AD44" s="28">
        <f>IF(('Activity data'!AD13*EF!$H44*EF!$H62)*NtoN2O*kgtoGg=0,"NO",('Activity data'!AD13*EF!$H44*EF!$H62)*NtoN2O*kgtoGg)</f>
        <v>1.4481716361756916E-2</v>
      </c>
      <c r="AE44" s="28">
        <f>IF(('Activity data'!AE13*EF!$H44*EF!$H62)*NtoN2O*kgtoGg=0,"NO",('Activity data'!AE13*EF!$H44*EF!$H62)*NtoN2O*kgtoGg)</f>
        <v>1.4519413213322062E-2</v>
      </c>
      <c r="AF44" s="28">
        <f>IF(('Activity data'!AF13*EF!$H44*EF!$H62)*NtoN2O*kgtoGg=0,"NO",('Activity data'!AF13*EF!$H44*EF!$H62)*NtoN2O*kgtoGg)</f>
        <v>1.4569992091523104E-2</v>
      </c>
      <c r="AG44" s="28">
        <f>IF(('Activity data'!AG13*EF!$H44*EF!$H62)*NtoN2O*kgtoGg=0,"NO",('Activity data'!AG13*EF!$H44*EF!$H62)*NtoN2O*kgtoGg)</f>
        <v>1.4632860723784915E-2</v>
      </c>
      <c r="AH44" s="28">
        <f>IF(('Activity data'!AH13*EF!$H44*EF!$H62)*NtoN2O*kgtoGg=0,"NO",('Activity data'!AH13*EF!$H44*EF!$H62)*NtoN2O*kgtoGg)</f>
        <v>1.4707400984762359E-2</v>
      </c>
      <c r="AI44" s="28">
        <f>IF(('Activity data'!AI13*EF!$H44*EF!H62)*NtoN2O*kgtoGg=0,"NO",('Activity data'!AI13*EF!$H44*EF!H62)*NtoN2O*kgtoGg)</f>
        <v>1.4794361532588757E-2</v>
      </c>
      <c r="AJ44" s="28">
        <f>IF(('Activity data'!AJ13*EF!$H44*EF!I62)*NtoN2O*kgtoGg=0,"NO",('Activity data'!AJ13*EF!$H44*EF!I62)*NtoN2O*kgtoGg)</f>
        <v>1.4886962009801753E-2</v>
      </c>
      <c r="AK44" s="28">
        <f>IF(('Activity data'!AK13*EF!$H44*EF!J62)*NtoN2O*kgtoGg=0,"NO",('Activity data'!AK13*EF!$H44*EF!J62)*NtoN2O*kgtoGg)</f>
        <v>1.4985548220145197E-2</v>
      </c>
      <c r="AL44" s="28">
        <f>IF(('Activity data'!AL13*EF!$H44*EF!K62)*NtoN2O*kgtoGg=0,"NO",('Activity data'!AL13*EF!$H44*EF!K62)*NtoN2O*kgtoGg)</f>
        <v>1.5079243424638483E-2</v>
      </c>
      <c r="AM44" s="28">
        <f>IF(('Activity data'!AM13*EF!$H44*EF!L62)*NtoN2O*kgtoGg=0,"NO",('Activity data'!AM13*EF!$H44*EF!L62)*NtoN2O*kgtoGg)</f>
        <v>1.5121186526146179E-2</v>
      </c>
      <c r="AN44" s="28">
        <f>IF(('Activity data'!AN13*EF!$H44*EF!M62)*NtoN2O*kgtoGg=0,"NO",('Activity data'!AN13*EF!$H44*EF!M62)*NtoN2O*kgtoGg)</f>
        <v>1.5167413611269663E-2</v>
      </c>
      <c r="AO44" s="28">
        <f>IF(('Activity data'!AO13*EF!$H44*EF!N62)*NtoN2O*kgtoGg=0,"NO",('Activity data'!AO13*EF!$H44*EF!N62)*NtoN2O*kgtoGg)</f>
        <v>1.5217834995969508E-2</v>
      </c>
      <c r="AP44" s="28">
        <f>IF(('Activity data'!AP13*EF!$H44*EF!O62)*NtoN2O*kgtoGg=0,"NO",('Activity data'!AP13*EF!$H44*EF!O62)*NtoN2O*kgtoGg)</f>
        <v>1.5272342797309416E-2</v>
      </c>
      <c r="AQ44" s="28">
        <f>IF(('Activity data'!AQ13*EF!$H44*EF!P62)*NtoN2O*kgtoGg=0,"NO",('Activity data'!AQ13*EF!$H44*EF!P62)*NtoN2O*kgtoGg)</f>
        <v>1.5330818561282033E-2</v>
      </c>
      <c r="AR44" s="28">
        <f>IF(('Activity data'!AR13*EF!$H44*EF!Q62)*NtoN2O*kgtoGg=0,"NO",('Activity data'!AR13*EF!$H44*EF!Q62)*NtoN2O*kgtoGg)</f>
        <v>1.536770073318325E-2</v>
      </c>
      <c r="AS44" s="28">
        <f>IF(('Activity data'!AS13*EF!$H44*EF!R62)*NtoN2O*kgtoGg=0,"NO",('Activity data'!AS13*EF!$H44*EF!R62)*NtoN2O*kgtoGg)</f>
        <v>1.5407935633837312E-2</v>
      </c>
      <c r="AT44" s="28">
        <f>IF(('Activity data'!AT13*EF!$H44*EF!S62)*NtoN2O*kgtoGg=0,"NO",('Activity data'!AT13*EF!$H44*EF!S62)*NtoN2O*kgtoGg)</f>
        <v>1.545138021566621E-2</v>
      </c>
      <c r="AU44" s="28">
        <f>IF(('Activity data'!AU13*EF!$H44*EF!T62)*NtoN2O*kgtoGg=0,"NO",('Activity data'!AU13*EF!$H44*EF!T62)*NtoN2O*kgtoGg)</f>
        <v>1.5498088201804053E-2</v>
      </c>
      <c r="AV44" s="28">
        <f>IF(('Activity data'!AV13*EF!$H44*EF!U62)*NtoN2O*kgtoGg=0,"NO",('Activity data'!AV13*EF!$H44*EF!U62)*NtoN2O*kgtoGg)</f>
        <v>1.5547480823461173E-2</v>
      </c>
      <c r="AW44" s="28">
        <f>IF(('Activity data'!AW13*EF!$H44*EF!V62)*NtoN2O*kgtoGg=0,"NO",('Activity data'!AW13*EF!$H44*EF!V62)*NtoN2O*kgtoGg)</f>
        <v>1.5579985149932234E-2</v>
      </c>
      <c r="AX44" s="28">
        <f>IF(('Activity data'!AX13*EF!$H44*EF!W62)*NtoN2O*kgtoGg=0,"NO",('Activity data'!AX13*EF!$H44*EF!W62)*NtoN2O*kgtoGg)</f>
        <v>1.5615016494381058E-2</v>
      </c>
      <c r="AY44" s="28">
        <f>IF(('Activity data'!AY13*EF!$H44*EF!X62)*NtoN2O*kgtoGg=0,"NO",('Activity data'!AY13*EF!$H44*EF!X62)*NtoN2O*kgtoGg)</f>
        <v>1.5652448001292479E-2</v>
      </c>
      <c r="AZ44" s="28">
        <f>IF(('Activity data'!AZ13*EF!$H44*EF!Y62)*NtoN2O*kgtoGg=0,"NO",('Activity data'!AZ13*EF!$H44*EF!Y62)*NtoN2O*kgtoGg)</f>
        <v>1.5692161081985144E-2</v>
      </c>
      <c r="BA44" s="28">
        <f>IF(('Activity data'!BA13*EF!$H44*EF!Z62)*NtoN2O*kgtoGg=0,"NO",('Activity data'!BA13*EF!$H44*EF!Z62)*NtoN2O*kgtoGg)</f>
        <v>1.5733614061856131E-2</v>
      </c>
      <c r="BB44" s="28">
        <f>IF(('Activity data'!BB13*EF!$H44*EF!AA62)*NtoN2O*kgtoGg=0,"NO",('Activity data'!BB13*EF!$H44*EF!AA62)*NtoN2O*kgtoGg)</f>
        <v>1.5758455409131129E-2</v>
      </c>
      <c r="BC44" s="28">
        <f>IF(('Activity data'!BC13*EF!$H44*EF!AB62)*NtoN2O*kgtoGg=0,"NO",('Activity data'!BC13*EF!$H44*EF!AB62)*NtoN2O*kgtoGg)</f>
        <v>1.5785461182573055E-2</v>
      </c>
      <c r="BD44" s="28">
        <f>IF(('Activity data'!BD13*EF!$H44*EF!AC62)*NtoN2O*kgtoGg=0,"NO",('Activity data'!BD13*EF!$H44*EF!AC62)*NtoN2O*kgtoGg)</f>
        <v>1.5814465297867283E-2</v>
      </c>
      <c r="BE44" s="28">
        <f>IF(('Activity data'!BE13*EF!$H44*EF!AD62)*NtoN2O*kgtoGg=0,"NO",('Activity data'!BE13*EF!$H44*EF!AD62)*NtoN2O*kgtoGg)</f>
        <v>1.5845065550915086E-2</v>
      </c>
      <c r="BF44" s="28">
        <f>IF(('Activity data'!BF13*EF!$H44*EF!AE62)*NtoN2O*kgtoGg=0,"NO",('Activity data'!BF13*EF!$H44*EF!AE62)*NtoN2O*kgtoGg)</f>
        <v>1.5877380572193355E-2</v>
      </c>
      <c r="BG44" s="28">
        <f>IF(('Activity data'!BG13*EF!$H44*EF!AF62)*NtoN2O*kgtoGg=0,"NO",('Activity data'!BG13*EF!$H44*EF!AF62)*NtoN2O*kgtoGg)</f>
        <v>1.589411347379412E-2</v>
      </c>
      <c r="BH44" s="28">
        <f>IF(('Activity data'!BH13*EF!$H44*EF!AG62)*NtoN2O*kgtoGg=0,"NO",('Activity data'!BH13*EF!$H44*EF!AG62)*NtoN2O*kgtoGg)</f>
        <v>1.591257422571225E-2</v>
      </c>
      <c r="BI44" s="28">
        <f>IF(('Activity data'!BI13*EF!$H44*EF!AH62)*NtoN2O*kgtoGg=0,"NO",('Activity data'!BI13*EF!$H44*EF!AH62)*NtoN2O*kgtoGg)</f>
        <v>1.5932768629482615E-2</v>
      </c>
      <c r="BJ44" s="28">
        <f>IF(('Activity data'!BJ13*EF!$H44*EF!AI62)*NtoN2O*kgtoGg=0,"NO",('Activity data'!BJ13*EF!$H44*EF!AI62)*NtoN2O*kgtoGg)</f>
        <v>1.5954620684065241E-2</v>
      </c>
      <c r="BK44" s="28">
        <f>IF(('Activity data'!BK13*EF!$H44*EF!AJ62)*NtoN2O*kgtoGg=0,"NO",('Activity data'!BK13*EF!$H44*EF!AJ62)*NtoN2O*kgtoGg)</f>
        <v>1.597821188651509E-2</v>
      </c>
      <c r="BL44" s="28">
        <f>IF(('Activity data'!BL13*EF!$H44*EF!AK62)*NtoN2O*kgtoGg=0,"NO",('Activity data'!BL13*EF!$H44*EF!AK62)*NtoN2O*kgtoGg)</f>
        <v>1.5986053811910265E-2</v>
      </c>
      <c r="BM44" s="28">
        <f>IF(('Activity data'!BM13*EF!$H44*EF!AL62)*NtoN2O*kgtoGg=0,"NO",('Activity data'!BM13*EF!$H44*EF!AL62)*NtoN2O*kgtoGg)</f>
        <v>1.5995394466362205E-2</v>
      </c>
      <c r="BN44" s="28">
        <f>IF(('Activity data'!BN13*EF!$H44*EF!AM62)*NtoN2O*kgtoGg=0,"NO",('Activity data'!BN13*EF!$H44*EF!AM62)*NtoN2O*kgtoGg)</f>
        <v>1.6005863548719513E-2</v>
      </c>
      <c r="BO44" s="28">
        <f>IF(('Activity data'!BO13*EF!$H44*EF!AN62)*NtoN2O*kgtoGg=0,"NO",('Activity data'!BO13*EF!$H44*EF!AN62)*NtoN2O*kgtoGg)</f>
        <v>1.6017775384057326E-2</v>
      </c>
      <c r="BP44" s="28">
        <f>IF(('Activity data'!BP13*EF!$H44*EF!AO62)*NtoN2O*kgtoGg=0,"NO",('Activity data'!BP13*EF!$H44*EF!AO62)*NtoN2O*kgtoGg)</f>
        <v>1.6031173647710013E-2</v>
      </c>
    </row>
    <row r="45" spans="1:68" x14ac:dyDescent="0.25">
      <c r="A45" t="str">
        <f t="shared" si="1"/>
        <v>3A Livestock</v>
      </c>
      <c r="B45" t="str">
        <f t="shared" si="11"/>
        <v>3A2 Manure management (N2O)</v>
      </c>
      <c r="C45" t="str">
        <f>EF!C63</f>
        <v>3A1d Goats</v>
      </c>
      <c r="D45" t="str">
        <f>EF!D63</f>
        <v>Subsistence</v>
      </c>
      <c r="E45" t="str">
        <f t="shared" si="9"/>
        <v>Manure management Emissions</v>
      </c>
      <c r="F45" t="s">
        <v>139</v>
      </c>
      <c r="G45" t="str">
        <f t="shared" si="10"/>
        <v>Gg N2O</v>
      </c>
      <c r="H45" s="28">
        <f>IF(('Activity data'!H14*EF!$H45*EF!$H63)*NtoN2O*kgtoGg=0,"NO",('Activity data'!H14*EF!$H45*EF!$H63)*NtoN2O*kgtoGg)</f>
        <v>0.15674707216898293</v>
      </c>
      <c r="I45" s="28">
        <f>IF(('Activity data'!I14*EF!$H45*EF!$H63)*NtoN2O*kgtoGg=0,"NO",('Activity data'!I14*EF!$H45*EF!$H63)*NtoN2O*kgtoGg)</f>
        <v>0.13860871233976757</v>
      </c>
      <c r="J45" s="28">
        <f>IF(('Activity data'!J14*EF!$H45*EF!$H63)*NtoN2O*kgtoGg=0,"NO",('Activity data'!J14*EF!$H45*EF!$H63)*NtoN2O*kgtoGg)</f>
        <v>0.12911573897120623</v>
      </c>
      <c r="K45" s="28">
        <f>IF(('Activity data'!K14*EF!$H45*EF!$H63)*NtoN2O*kgtoGg=0,"NO",('Activity data'!K14*EF!$H45*EF!$H63)*NtoN2O*kgtoGg)</f>
        <v>0.12199600894478523</v>
      </c>
      <c r="L45" s="28">
        <f>IF(('Activity data'!L14*EF!$H45*EF!$H63)*NtoN2O*kgtoGg=0,"NO",('Activity data'!L14*EF!$H45*EF!$H63)*NtoN2O*kgtoGg)</f>
        <v>0.13205404025195139</v>
      </c>
      <c r="M45" s="28">
        <f>IF(('Activity data'!M14*EF!$H45*EF!$H63)*NtoN2O*kgtoGg=0,"NO",('Activity data'!M14*EF!$H45*EF!$H63)*NtoN2O*kgtoGg)</f>
        <v>0.13386222565548689</v>
      </c>
      <c r="N45" s="28">
        <f>IF(('Activity data'!N14*EF!$H45*EF!$H63)*NtoN2O*kgtoGg=0,"NO",('Activity data'!N14*EF!$H45*EF!$H63)*NtoN2O*kgtoGg)</f>
        <v>0.13595294002832481</v>
      </c>
      <c r="O45" s="28">
        <f>IF(('Activity data'!O14*EF!$H45*EF!$H63)*NtoN2O*kgtoGg=0,"NO",('Activity data'!O14*EF!$H45*EF!$H63)*NtoN2O*kgtoGg)</f>
        <v>0.13527487050199902</v>
      </c>
      <c r="P45" s="28">
        <f>IF(('Activity data'!P14*EF!$H45*EF!$H63)*NtoN2O*kgtoGg=0,"NO",('Activity data'!P14*EF!$H45*EF!$H63)*NtoN2O*kgtoGg)</f>
        <v>0.13335367351074254</v>
      </c>
      <c r="Q45" s="28">
        <f>IF(('Activity data'!Q14*EF!$H45*EF!$H63)*NtoN2O*kgtoGg=0,"NO",('Activity data'!Q14*EF!$H45*EF!$H63)*NtoN2O*kgtoGg)</f>
        <v>0.1313759707256256</v>
      </c>
      <c r="R45" s="28">
        <f>IF(('Activity data'!R14*EF!$H45*EF!$H63)*NtoN2O*kgtoGg=0,"NO",('Activity data'!R14*EF!$H45*EF!$H63)*NtoN2O*kgtoGg)</f>
        <v>0.13307114454144012</v>
      </c>
      <c r="S45" s="28">
        <f>IF(('Activity data'!S14*EF!$H45*EF!$H63)*NtoN2O*kgtoGg=0,"NO",('Activity data'!S14*EF!$H45*EF!$H63)*NtoN2O*kgtoGg)</f>
        <v>0.13713956169939495</v>
      </c>
      <c r="T45" s="28">
        <f>IF(('Activity data'!T14*EF!$H45*EF!$H63)*NtoN2O*kgtoGg=0,"NO",('Activity data'!T14*EF!$H45*EF!$H63)*NtoN2O*kgtoGg)</f>
        <v>0.12521683919483284</v>
      </c>
      <c r="U45" s="28">
        <f>IF(('Activity data'!U14*EF!$H45*EF!$H63)*NtoN2O*kgtoGg=0,"NO",('Activity data'!U14*EF!$H45*EF!$H63)*NtoN2O*kgtoGg)</f>
        <v>0.12205251473864571</v>
      </c>
      <c r="V45" s="28">
        <f>IF(('Activity data'!V14*EF!$H45*EF!$H63)*NtoN2O*kgtoGg=0,"NO",('Activity data'!V14*EF!$H45*EF!$H63)*NtoN2O*kgtoGg)</f>
        <v>0.12227853791408765</v>
      </c>
      <c r="W45" s="28">
        <f>IF(('Activity data'!W14*EF!$H45*EF!$H63)*NtoN2O*kgtoGg=0,"NO",('Activity data'!W14*EF!$H45*EF!$H63)*NtoN2O*kgtoGg)</f>
        <v>0.12069637568599409</v>
      </c>
      <c r="X45" s="28">
        <f>IF(('Activity data'!X14*EF!$H45*EF!$H63)*NtoN2O*kgtoGg=0,"NO",('Activity data'!X14*EF!$H45*EF!$H63)*NtoN2O*kgtoGg)</f>
        <v>0.12323913640971589</v>
      </c>
      <c r="Y45" s="28">
        <f>IF(('Activity data'!Y14*EF!$H45*EF!$H63)*NtoN2O*kgtoGg=0,"NO",('Activity data'!Y14*EF!$H45*EF!$H63)*NtoN2O*kgtoGg)</f>
        <v>0.11956625980878442</v>
      </c>
      <c r="Z45" s="28">
        <f>IF(('Activity data'!Z14*EF!$H45*EF!$H63)*NtoN2O*kgtoGg=0,"NO",('Activity data'!Z14*EF!$H45*EF!$H63)*NtoN2O*kgtoGg)</f>
        <v>0.11945324822106343</v>
      </c>
      <c r="AA45" s="28">
        <f>IF(('Activity data'!AA14*EF!$H45*EF!$H63)*NtoN2O*kgtoGg=0,"NO",('Activity data'!AA14*EF!$H45*EF!$H63)*NtoN2O*kgtoGg)</f>
        <v>0.11736253384822554</v>
      </c>
      <c r="AB45" s="28">
        <f>IF(('Activity data'!AB14*EF!$H45*EF!$H63)*NtoN2O*kgtoGg=0,"NO",('Activity data'!AB14*EF!$H45*EF!$H63)*NtoN2O*kgtoGg)</f>
        <v>0.11594988900171342</v>
      </c>
      <c r="AC45" s="28">
        <f>IF(('Activity data'!AC14*EF!$H45*EF!$H63)*NtoN2O*kgtoGg=0,"NO",('Activity data'!AC14*EF!$H45*EF!$H63)*NtoN2O*kgtoGg)</f>
        <v>0.11487627891836423</v>
      </c>
      <c r="AD45" s="28">
        <f>IF(('Activity data'!AD14*EF!$H45*EF!$H63)*NtoN2O*kgtoGg=0,"NO",('Activity data'!AD14*EF!$H45*EF!$H63)*NtoN2O*kgtoGg)</f>
        <v>0.11480940461072547</v>
      </c>
      <c r="AE45" s="28">
        <f>IF(('Activity data'!AE14*EF!$H45*EF!$H63)*NtoN2O*kgtoGg=0,"NO",('Activity data'!AE14*EF!$H45*EF!$H63)*NtoN2O*kgtoGg)</f>
        <v>0.11510826097386503</v>
      </c>
      <c r="AF45" s="28">
        <f>IF(('Activity data'!AF14*EF!$H45*EF!$H63)*NtoN2O*kgtoGg=0,"NO",('Activity data'!AF14*EF!$H45*EF!$H63)*NtoN2O*kgtoGg)</f>
        <v>0.11550924458292636</v>
      </c>
      <c r="AG45" s="28">
        <f>IF(('Activity data'!AG14*EF!$H45*EF!$H63)*NtoN2O*kgtoGg=0,"NO",('Activity data'!AG14*EF!$H45*EF!$H63)*NtoN2O*kgtoGg)</f>
        <v>0.11600765996811717</v>
      </c>
      <c r="AH45" s="28">
        <f>IF(('Activity data'!AH14*EF!$H45*EF!$H63)*NtoN2O*kgtoGg=0,"NO",('Activity data'!AH14*EF!$H45*EF!$H63)*NtoN2O*kgtoGg)</f>
        <v>0.11659860670181707</v>
      </c>
      <c r="AI45" s="28">
        <f>IF(('Activity data'!AI14*EF!$H45*EF!H63)*NtoN2O*kgtoGg=0,"NO",('Activity data'!AI14*EF!$H45*EF!H63)*NtoN2O*kgtoGg)</f>
        <v>0.11728802006078441</v>
      </c>
      <c r="AJ45" s="28">
        <f>IF(('Activity data'!AJ14*EF!$H45*EF!I63)*NtoN2O*kgtoGg=0,"NO",('Activity data'!AJ14*EF!$H45*EF!I63)*NtoN2O*kgtoGg)</f>
        <v>0.11802214614017431</v>
      </c>
      <c r="AK45" s="28">
        <f>IF(('Activity data'!AK14*EF!$H45*EF!J63)*NtoN2O*kgtoGg=0,"NO",('Activity data'!AK14*EF!$H45*EF!J63)*NtoN2O*kgtoGg)</f>
        <v>0.1188037264328424</v>
      </c>
      <c r="AL45" s="28">
        <f>IF(('Activity data'!AL14*EF!$H45*EF!K63)*NtoN2O*kgtoGg=0,"NO",('Activity data'!AL14*EF!$H45*EF!K63)*NtoN2O*kgtoGg)</f>
        <v>0.11954653138593219</v>
      </c>
      <c r="AM45" s="28">
        <f>IF(('Activity data'!AM14*EF!$H45*EF!L63)*NtoN2O*kgtoGg=0,"NO",('Activity data'!AM14*EF!$H45*EF!L63)*NtoN2O*kgtoGg)</f>
        <v>0.11987905153695121</v>
      </c>
      <c r="AN45" s="28">
        <f>IF(('Activity data'!AN14*EF!$H45*EF!M63)*NtoN2O*kgtoGg=0,"NO",('Activity data'!AN14*EF!$H45*EF!M63)*NtoN2O*kgtoGg)</f>
        <v>0.12024553462413089</v>
      </c>
      <c r="AO45" s="28">
        <f>IF(('Activity data'!AO14*EF!$H45*EF!N63)*NtoN2O*kgtoGg=0,"NO",('Activity data'!AO14*EF!$H45*EF!N63)*NtoN2O*kgtoGg)</f>
        <v>0.12064526964257966</v>
      </c>
      <c r="AP45" s="28">
        <f>IF(('Activity data'!AP14*EF!$H45*EF!O63)*NtoN2O*kgtoGg=0,"NO",('Activity data'!AP14*EF!$H45*EF!O63)*NtoN2O*kgtoGg)</f>
        <v>0.12107740130861618</v>
      </c>
      <c r="AQ45" s="28">
        <f>IF(('Activity data'!AQ14*EF!$H45*EF!P63)*NtoN2O*kgtoGg=0,"NO",('Activity data'!AQ14*EF!$H45*EF!P63)*NtoN2O*kgtoGg)</f>
        <v>0.12154099053230673</v>
      </c>
      <c r="AR45" s="28">
        <f>IF(('Activity data'!AR14*EF!$H45*EF!Q63)*NtoN2O*kgtoGg=0,"NO",('Activity data'!AR14*EF!$H45*EF!Q63)*NtoN2O*kgtoGg)</f>
        <v>0.1218333882074823</v>
      </c>
      <c r="AS45" s="28">
        <f>IF(('Activity data'!AS14*EF!$H45*EF!R63)*NtoN2O*kgtoGg=0,"NO",('Activity data'!AS14*EF!$H45*EF!R63)*NtoN2O*kgtoGg)</f>
        <v>0.12215236593590009</v>
      </c>
      <c r="AT45" s="28">
        <f>IF(('Activity data'!AT14*EF!$H45*EF!S63)*NtoN2O*kgtoGg=0,"NO",('Activity data'!AT14*EF!$H45*EF!S63)*NtoN2O*kgtoGg)</f>
        <v>0.12249678965258809</v>
      </c>
      <c r="AU45" s="28">
        <f>IF(('Activity data'!AU14*EF!$H45*EF!T63)*NtoN2O*kgtoGg=0,"NO",('Activity data'!AU14*EF!$H45*EF!T63)*NtoN2O*kgtoGg)</f>
        <v>0.12286708526845951</v>
      </c>
      <c r="AV45" s="28">
        <f>IF(('Activity data'!AV14*EF!$H45*EF!U63)*NtoN2O*kgtoGg=0,"NO",('Activity data'!AV14*EF!$H45*EF!U63)*NtoN2O*kgtoGg)</f>
        <v>0.12325866437020132</v>
      </c>
      <c r="AW45" s="28">
        <f>IF(('Activity data'!AW14*EF!$H45*EF!V63)*NtoN2O*kgtoGg=0,"NO",('Activity data'!AW14*EF!$H45*EF!V63)*NtoN2O*kgtoGg)</f>
        <v>0.12351635498339894</v>
      </c>
      <c r="AX45" s="28">
        <f>IF(('Activity data'!AX14*EF!$H45*EF!W63)*NtoN2O*kgtoGg=0,"NO",('Activity data'!AX14*EF!$H45*EF!W63)*NtoN2O*kgtoGg)</f>
        <v>0.12379407950847691</v>
      </c>
      <c r="AY45" s="28">
        <f>IF(('Activity data'!AY14*EF!$H45*EF!X63)*NtoN2O*kgtoGg=0,"NO",('Activity data'!AY14*EF!$H45*EF!X63)*NtoN2O*kgtoGg)</f>
        <v>0.12409083224930061</v>
      </c>
      <c r="AZ45" s="28">
        <f>IF(('Activity data'!AZ14*EF!$H45*EF!Y63)*NtoN2O*kgtoGg=0,"NO",('Activity data'!AZ14*EF!$H45*EF!Y63)*NtoN2O*kgtoGg)</f>
        <v>0.12440567304825607</v>
      </c>
      <c r="BA45" s="28">
        <f>IF(('Activity data'!BA14*EF!$H45*EF!Z63)*NtoN2O*kgtoGg=0,"NO",('Activity data'!BA14*EF!$H45*EF!Z63)*NtoN2O*kgtoGg)</f>
        <v>0.12473430757053526</v>
      </c>
      <c r="BB45" s="28">
        <f>IF(('Activity data'!BB14*EF!$H45*EF!AA63)*NtoN2O*kgtoGg=0,"NO",('Activity data'!BB14*EF!$H45*EF!AA63)*NtoN2O*kgtoGg)</f>
        <v>0.12493124695390169</v>
      </c>
      <c r="BC45" s="28">
        <f>IF(('Activity data'!BC14*EF!$H45*EF!AB63)*NtoN2O*kgtoGg=0,"NO",('Activity data'!BC14*EF!$H45*EF!AB63)*NtoN2O*kgtoGg)</f>
        <v>0.12514534566240187</v>
      </c>
      <c r="BD45" s="28">
        <f>IF(('Activity data'!BD14*EF!$H45*EF!AC63)*NtoN2O*kgtoGg=0,"NO",('Activity data'!BD14*EF!$H45*EF!AC63)*NtoN2O*kgtoGg)</f>
        <v>0.12537528699842923</v>
      </c>
      <c r="BE45" s="28">
        <f>IF(('Activity data'!BE14*EF!$H45*EF!AD63)*NtoN2O*kgtoGg=0,"NO",('Activity data'!BE14*EF!$H45*EF!AD63)*NtoN2O*kgtoGg)</f>
        <v>0.12561788233351212</v>
      </c>
      <c r="BF45" s="28">
        <f>IF(('Activity data'!BF14*EF!$H45*EF!AE63)*NtoN2O*kgtoGg=0,"NO",('Activity data'!BF14*EF!$H45*EF!AE63)*NtoN2O*kgtoGg)</f>
        <v>0.12587407215661478</v>
      </c>
      <c r="BG45" s="28">
        <f>IF(('Activity data'!BG14*EF!$H45*EF!AF63)*NtoN2O*kgtoGg=0,"NO",('Activity data'!BG14*EF!$H45*EF!AF63)*NtoN2O*kgtoGg)</f>
        <v>0.12600672870244153</v>
      </c>
      <c r="BH45" s="28">
        <f>IF(('Activity data'!BH14*EF!$H45*EF!AG63)*NtoN2O*kgtoGg=0,"NO",('Activity data'!BH14*EF!$H45*EF!AG63)*NtoN2O*kgtoGg)</f>
        <v>0.12615308344958906</v>
      </c>
      <c r="BI45" s="28">
        <f>IF(('Activity data'!BI14*EF!$H45*EF!AH63)*NtoN2O*kgtoGg=0,"NO",('Activity data'!BI14*EF!$H45*EF!AH63)*NtoN2O*kgtoGg)</f>
        <v>0.12631318239196762</v>
      </c>
      <c r="BJ45" s="28">
        <f>IF(('Activity data'!BJ14*EF!$H45*EF!AI63)*NtoN2O*kgtoGg=0,"NO",('Activity data'!BJ14*EF!$H45*EF!AI63)*NtoN2O*kgtoGg)</f>
        <v>0.12648642300195345</v>
      </c>
      <c r="BK45" s="28">
        <f>IF(('Activity data'!BK14*EF!$H45*EF!AJ63)*NtoN2O*kgtoGg=0,"NO",('Activity data'!BK14*EF!$H45*EF!AJ63)*NtoN2O*kgtoGg)</f>
        <v>0.12667345137895375</v>
      </c>
      <c r="BL45" s="28">
        <f>IF(('Activity data'!BL14*EF!$H45*EF!AK63)*NtoN2O*kgtoGg=0,"NO",('Activity data'!BL14*EF!$H45*EF!AK63)*NtoN2O*kgtoGg)</f>
        <v>0.12673562127395316</v>
      </c>
      <c r="BM45" s="28">
        <f>IF(('Activity data'!BM14*EF!$H45*EF!AL63)*NtoN2O*kgtoGg=0,"NO",('Activity data'!BM14*EF!$H45*EF!AL63)*NtoN2O*kgtoGg)</f>
        <v>0.12680967292290921</v>
      </c>
      <c r="BN45" s="28">
        <f>IF(('Activity data'!BN14*EF!$H45*EF!AM63)*NtoN2O*kgtoGg=0,"NO",('Activity data'!BN14*EF!$H45*EF!AM63)*NtoN2O*kgtoGg)</f>
        <v>0.12689267062029799</v>
      </c>
      <c r="BO45" s="28">
        <f>IF(('Activity data'!BO14*EF!$H45*EF!AN63)*NtoN2O*kgtoGg=0,"NO",('Activity data'!BO14*EF!$H45*EF!AN63)*NtoN2O*kgtoGg)</f>
        <v>0.12698710629966031</v>
      </c>
      <c r="BP45" s="28">
        <f>IF(('Activity data'!BP14*EF!$H45*EF!AO63)*NtoN2O*kgtoGg=0,"NO",('Activity data'!BP14*EF!$H45*EF!AO63)*NtoN2O*kgtoGg)</f>
        <v>0.12709332621409294</v>
      </c>
    </row>
    <row r="46" spans="1:68" x14ac:dyDescent="0.25">
      <c r="A46" t="str">
        <f t="shared" si="1"/>
        <v>3A Livestock</v>
      </c>
      <c r="B46" t="str">
        <f t="shared" si="11"/>
        <v>3A2 Manure management (N2O)</v>
      </c>
      <c r="C46" t="str">
        <f>EF!C64</f>
        <v>3A1f Horses</v>
      </c>
      <c r="D46" t="str">
        <f>EF!D64</f>
        <v>Horses</v>
      </c>
      <c r="E46" t="str">
        <f t="shared" si="9"/>
        <v>Manure management Emissions</v>
      </c>
      <c r="F46" t="s">
        <v>139</v>
      </c>
      <c r="G46" t="str">
        <f t="shared" si="10"/>
        <v>Gg N2O</v>
      </c>
      <c r="H46" s="28" t="str">
        <f>IF(('Activity data'!H15*EF!$H46*EF!$H64)*NtoN2O*kgtoGg=0,"NO",('Activity data'!H15*EF!$H46*EF!$H64)*NtoN2O*kgtoGg)</f>
        <v>NO</v>
      </c>
      <c r="I46" s="28" t="str">
        <f>IF(('Activity data'!I15*EF!$H46*EF!$H64)*NtoN2O*kgtoGg=0,"NO",('Activity data'!I15*EF!$H46*EF!$H64)*NtoN2O*kgtoGg)</f>
        <v>NO</v>
      </c>
      <c r="J46" s="28" t="str">
        <f>IF(('Activity data'!J15*EF!$H46*EF!$H64)*NtoN2O*kgtoGg=0,"NO",('Activity data'!J15*EF!$H46*EF!$H64)*NtoN2O*kgtoGg)</f>
        <v>NO</v>
      </c>
      <c r="K46" s="28" t="str">
        <f>IF(('Activity data'!K15*EF!$H46*EF!$H64)*NtoN2O*kgtoGg=0,"NO",('Activity data'!K15*EF!$H46*EF!$H64)*NtoN2O*kgtoGg)</f>
        <v>NO</v>
      </c>
      <c r="L46" s="28" t="str">
        <f>IF(('Activity data'!L15*EF!$H46*EF!$H64)*NtoN2O*kgtoGg=0,"NO",('Activity data'!L15*EF!$H46*EF!$H64)*NtoN2O*kgtoGg)</f>
        <v>NO</v>
      </c>
      <c r="M46" s="28" t="str">
        <f>IF(('Activity data'!M15*EF!$H46*EF!$H64)*NtoN2O*kgtoGg=0,"NO",('Activity data'!M15*EF!$H46*EF!$H64)*NtoN2O*kgtoGg)</f>
        <v>NO</v>
      </c>
      <c r="N46" s="28" t="str">
        <f>IF(('Activity data'!N15*EF!$H46*EF!$H64)*NtoN2O*kgtoGg=0,"NO",('Activity data'!N15*EF!$H46*EF!$H64)*NtoN2O*kgtoGg)</f>
        <v>NO</v>
      </c>
      <c r="O46" s="28" t="str">
        <f>IF(('Activity data'!O15*EF!$H46*EF!$H64)*NtoN2O*kgtoGg=0,"NO",('Activity data'!O15*EF!$H46*EF!$H64)*NtoN2O*kgtoGg)</f>
        <v>NO</v>
      </c>
      <c r="P46" s="28" t="str">
        <f>IF(('Activity data'!P15*EF!$H46*EF!$H64)*NtoN2O*kgtoGg=0,"NO",('Activity data'!P15*EF!$H46*EF!$H64)*NtoN2O*kgtoGg)</f>
        <v>NO</v>
      </c>
      <c r="Q46" s="28" t="str">
        <f>IF(('Activity data'!Q15*EF!$H46*EF!$H64)*NtoN2O*kgtoGg=0,"NO",('Activity data'!Q15*EF!$H46*EF!$H64)*NtoN2O*kgtoGg)</f>
        <v>NO</v>
      </c>
      <c r="R46" s="28" t="str">
        <f>IF(('Activity data'!R15*EF!$H46*EF!$H64)*NtoN2O*kgtoGg=0,"NO",('Activity data'!R15*EF!$H46*EF!$H64)*NtoN2O*kgtoGg)</f>
        <v>NO</v>
      </c>
      <c r="S46" s="28" t="str">
        <f>IF(('Activity data'!S15*EF!$H46*EF!$H64)*NtoN2O*kgtoGg=0,"NO",('Activity data'!S15*EF!$H46*EF!$H64)*NtoN2O*kgtoGg)</f>
        <v>NO</v>
      </c>
      <c r="T46" s="28" t="str">
        <f>IF(('Activity data'!T15*EF!$H46*EF!$H64)*NtoN2O*kgtoGg=0,"NO",('Activity data'!T15*EF!$H46*EF!$H64)*NtoN2O*kgtoGg)</f>
        <v>NO</v>
      </c>
      <c r="U46" s="28" t="str">
        <f>IF(('Activity data'!U15*EF!$H46*EF!$H64)*NtoN2O*kgtoGg=0,"NO",('Activity data'!U15*EF!$H46*EF!$H64)*NtoN2O*kgtoGg)</f>
        <v>NO</v>
      </c>
      <c r="V46" s="28" t="str">
        <f>IF(('Activity data'!V15*EF!$H46*EF!$H64)*NtoN2O*kgtoGg=0,"NO",('Activity data'!V15*EF!$H46*EF!$H64)*NtoN2O*kgtoGg)</f>
        <v>NO</v>
      </c>
      <c r="W46" s="28" t="str">
        <f>IF(('Activity data'!W15*EF!$H46*EF!$H64)*NtoN2O*kgtoGg=0,"NO",('Activity data'!W15*EF!$H46*EF!$H64)*NtoN2O*kgtoGg)</f>
        <v>NO</v>
      </c>
      <c r="X46" s="28" t="str">
        <f>IF(('Activity data'!X15*EF!$H46*EF!$H64)*NtoN2O*kgtoGg=0,"NO",('Activity data'!X15*EF!$H46*EF!$H64)*NtoN2O*kgtoGg)</f>
        <v>NO</v>
      </c>
      <c r="Y46" s="28" t="str">
        <f>IF(('Activity data'!Y15*EF!$H46*EF!$H64)*NtoN2O*kgtoGg=0,"NO",('Activity data'!Y15*EF!$H46*EF!$H64)*NtoN2O*kgtoGg)</f>
        <v>NO</v>
      </c>
      <c r="Z46" s="28" t="str">
        <f>IF(('Activity data'!Z15*EF!$H46*EF!$H64)*NtoN2O*kgtoGg=0,"NO",('Activity data'!Z15*EF!$H46*EF!$H64)*NtoN2O*kgtoGg)</f>
        <v>NO</v>
      </c>
      <c r="AA46" s="28" t="str">
        <f>IF(('Activity data'!AA15*EF!$H46*EF!$H64)*NtoN2O*kgtoGg=0,"NO",('Activity data'!AA15*EF!$H46*EF!$H64)*NtoN2O*kgtoGg)</f>
        <v>NO</v>
      </c>
      <c r="AB46" s="28" t="str">
        <f>IF(('Activity data'!AB15*EF!$H46*EF!$H64)*NtoN2O*kgtoGg=0,"NO",('Activity data'!AB15*EF!$H46*EF!$H64)*NtoN2O*kgtoGg)</f>
        <v>NO</v>
      </c>
      <c r="AC46" s="28" t="str">
        <f>IF(('Activity data'!AC15*EF!$H46*EF!$H64)*NtoN2O*kgtoGg=0,"NO",('Activity data'!AC15*EF!$H46*EF!$H64)*NtoN2O*kgtoGg)</f>
        <v>NO</v>
      </c>
      <c r="AD46" s="28" t="str">
        <f>IF(('Activity data'!AD15*EF!$H46*EF!$H64)*NtoN2O*kgtoGg=0,"NO",('Activity data'!AD15*EF!$H46*EF!$H64)*NtoN2O*kgtoGg)</f>
        <v>NO</v>
      </c>
      <c r="AE46" s="28" t="str">
        <f>IF(('Activity data'!AE15*EF!$H46*EF!$H64)*NtoN2O*kgtoGg=0,"NO",('Activity data'!AE15*EF!$H46*EF!$H64)*NtoN2O*kgtoGg)</f>
        <v>NO</v>
      </c>
      <c r="AF46" s="28" t="str">
        <f>IF(('Activity data'!AF15*EF!$H46*EF!$H64)*NtoN2O*kgtoGg=0,"NO",('Activity data'!AF15*EF!$H46*EF!$H64)*NtoN2O*kgtoGg)</f>
        <v>NO</v>
      </c>
      <c r="AG46" s="28" t="str">
        <f>IF(('Activity data'!AG15*EF!$H46*EF!$H64)*NtoN2O*kgtoGg=0,"NO",('Activity data'!AG15*EF!$H46*EF!$H64)*NtoN2O*kgtoGg)</f>
        <v>NO</v>
      </c>
      <c r="AH46" s="28" t="str">
        <f>IF(('Activity data'!AH15*EF!$H46*EF!$H64)*NtoN2O*kgtoGg=0,"NO",('Activity data'!AH15*EF!$H46*EF!$H64)*NtoN2O*kgtoGg)</f>
        <v>NO</v>
      </c>
      <c r="AI46" s="28" t="str">
        <f>IF(('Activity data'!AI15*EF!$H46*EF!H64)*NtoN2O*kgtoGg=0,"NO",('Activity data'!AI15*EF!$H46*EF!H64)*NtoN2O*kgtoGg)</f>
        <v>NO</v>
      </c>
      <c r="AJ46" s="28" t="str">
        <f>IF(('Activity data'!AJ15*EF!$H46*EF!I64)*NtoN2O*kgtoGg=0,"NO",('Activity data'!AJ15*EF!$H46*EF!I64)*NtoN2O*kgtoGg)</f>
        <v>NO</v>
      </c>
      <c r="AK46" s="28" t="str">
        <f>IF(('Activity data'!AK15*EF!$H46*EF!J64)*NtoN2O*kgtoGg=0,"NO",('Activity data'!AK15*EF!$H46*EF!J64)*NtoN2O*kgtoGg)</f>
        <v>NO</v>
      </c>
      <c r="AL46" s="28" t="str">
        <f>IF(('Activity data'!AL15*EF!$H46*EF!K64)*NtoN2O*kgtoGg=0,"NO",('Activity data'!AL15*EF!$H46*EF!K64)*NtoN2O*kgtoGg)</f>
        <v>NO</v>
      </c>
      <c r="AM46" s="28" t="str">
        <f>IF(('Activity data'!AM15*EF!$H46*EF!L64)*NtoN2O*kgtoGg=0,"NO",('Activity data'!AM15*EF!$H46*EF!L64)*NtoN2O*kgtoGg)</f>
        <v>NO</v>
      </c>
      <c r="AN46" s="28" t="str">
        <f>IF(('Activity data'!AN15*EF!$H46*EF!M64)*NtoN2O*kgtoGg=0,"NO",('Activity data'!AN15*EF!$H46*EF!M64)*NtoN2O*kgtoGg)</f>
        <v>NO</v>
      </c>
      <c r="AO46" s="28" t="str">
        <f>IF(('Activity data'!AO15*EF!$H46*EF!N64)*NtoN2O*kgtoGg=0,"NO",('Activity data'!AO15*EF!$H46*EF!N64)*NtoN2O*kgtoGg)</f>
        <v>NO</v>
      </c>
      <c r="AP46" s="28" t="str">
        <f>IF(('Activity data'!AP15*EF!$H46*EF!O64)*NtoN2O*kgtoGg=0,"NO",('Activity data'!AP15*EF!$H46*EF!O64)*NtoN2O*kgtoGg)</f>
        <v>NO</v>
      </c>
      <c r="AQ46" s="28" t="str">
        <f>IF(('Activity data'!AQ15*EF!$H46*EF!P64)*NtoN2O*kgtoGg=0,"NO",('Activity data'!AQ15*EF!$H46*EF!P64)*NtoN2O*kgtoGg)</f>
        <v>NO</v>
      </c>
      <c r="AR46" s="28" t="str">
        <f>IF(('Activity data'!AR15*EF!$H46*EF!Q64)*NtoN2O*kgtoGg=0,"NO",('Activity data'!AR15*EF!$H46*EF!Q64)*NtoN2O*kgtoGg)</f>
        <v>NO</v>
      </c>
      <c r="AS46" s="28" t="str">
        <f>IF(('Activity data'!AS15*EF!$H46*EF!R64)*NtoN2O*kgtoGg=0,"NO",('Activity data'!AS15*EF!$H46*EF!R64)*NtoN2O*kgtoGg)</f>
        <v>NO</v>
      </c>
      <c r="AT46" s="28" t="str">
        <f>IF(('Activity data'!AT15*EF!$H46*EF!S64)*NtoN2O*kgtoGg=0,"NO",('Activity data'!AT15*EF!$H46*EF!S64)*NtoN2O*kgtoGg)</f>
        <v>NO</v>
      </c>
      <c r="AU46" s="28" t="str">
        <f>IF(('Activity data'!AU15*EF!$H46*EF!T64)*NtoN2O*kgtoGg=0,"NO",('Activity data'!AU15*EF!$H46*EF!T64)*NtoN2O*kgtoGg)</f>
        <v>NO</v>
      </c>
      <c r="AV46" s="28" t="str">
        <f>IF(('Activity data'!AV15*EF!$H46*EF!U64)*NtoN2O*kgtoGg=0,"NO",('Activity data'!AV15*EF!$H46*EF!U64)*NtoN2O*kgtoGg)</f>
        <v>NO</v>
      </c>
      <c r="AW46" s="28" t="str">
        <f>IF(('Activity data'!AW15*EF!$H46*EF!V64)*NtoN2O*kgtoGg=0,"NO",('Activity data'!AW15*EF!$H46*EF!V64)*NtoN2O*kgtoGg)</f>
        <v>NO</v>
      </c>
      <c r="AX46" s="28" t="str">
        <f>IF(('Activity data'!AX15*EF!$H46*EF!W64)*NtoN2O*kgtoGg=0,"NO",('Activity data'!AX15*EF!$H46*EF!W64)*NtoN2O*kgtoGg)</f>
        <v>NO</v>
      </c>
      <c r="AY46" s="28" t="str">
        <f>IF(('Activity data'!AY15*EF!$H46*EF!X64)*NtoN2O*kgtoGg=0,"NO",('Activity data'!AY15*EF!$H46*EF!X64)*NtoN2O*kgtoGg)</f>
        <v>NO</v>
      </c>
      <c r="AZ46" s="28" t="str">
        <f>IF(('Activity data'!AZ15*EF!$H46*EF!Y64)*NtoN2O*kgtoGg=0,"NO",('Activity data'!AZ15*EF!$H46*EF!Y64)*NtoN2O*kgtoGg)</f>
        <v>NO</v>
      </c>
      <c r="BA46" s="28" t="str">
        <f>IF(('Activity data'!BA15*EF!$H46*EF!Z64)*NtoN2O*kgtoGg=0,"NO",('Activity data'!BA15*EF!$H46*EF!Z64)*NtoN2O*kgtoGg)</f>
        <v>NO</v>
      </c>
      <c r="BB46" s="28" t="str">
        <f>IF(('Activity data'!BB15*EF!$H46*EF!AA64)*NtoN2O*kgtoGg=0,"NO",('Activity data'!BB15*EF!$H46*EF!AA64)*NtoN2O*kgtoGg)</f>
        <v>NO</v>
      </c>
      <c r="BC46" s="28" t="str">
        <f>IF(('Activity data'!BC15*EF!$H46*EF!AB64)*NtoN2O*kgtoGg=0,"NO",('Activity data'!BC15*EF!$H46*EF!AB64)*NtoN2O*kgtoGg)</f>
        <v>NO</v>
      </c>
      <c r="BD46" s="28" t="str">
        <f>IF(('Activity data'!BD15*EF!$H46*EF!AC64)*NtoN2O*kgtoGg=0,"NO",('Activity data'!BD15*EF!$H46*EF!AC64)*NtoN2O*kgtoGg)</f>
        <v>NO</v>
      </c>
      <c r="BE46" s="28" t="str">
        <f>IF(('Activity data'!BE15*EF!$H46*EF!AD64)*NtoN2O*kgtoGg=0,"NO",('Activity data'!BE15*EF!$H46*EF!AD64)*NtoN2O*kgtoGg)</f>
        <v>NO</v>
      </c>
      <c r="BF46" s="28" t="str">
        <f>IF(('Activity data'!BF15*EF!$H46*EF!AE64)*NtoN2O*kgtoGg=0,"NO",('Activity data'!BF15*EF!$H46*EF!AE64)*NtoN2O*kgtoGg)</f>
        <v>NO</v>
      </c>
      <c r="BG46" s="28" t="str">
        <f>IF(('Activity data'!BG15*EF!$H46*EF!AF64)*NtoN2O*kgtoGg=0,"NO",('Activity data'!BG15*EF!$H46*EF!AF64)*NtoN2O*kgtoGg)</f>
        <v>NO</v>
      </c>
      <c r="BH46" s="28" t="str">
        <f>IF(('Activity data'!BH15*EF!$H46*EF!AG64)*NtoN2O*kgtoGg=0,"NO",('Activity data'!BH15*EF!$H46*EF!AG64)*NtoN2O*kgtoGg)</f>
        <v>NO</v>
      </c>
      <c r="BI46" s="28" t="str">
        <f>IF(('Activity data'!BI15*EF!$H46*EF!AH64)*NtoN2O*kgtoGg=0,"NO",('Activity data'!BI15*EF!$H46*EF!AH64)*NtoN2O*kgtoGg)</f>
        <v>NO</v>
      </c>
      <c r="BJ46" s="28" t="str">
        <f>IF(('Activity data'!BJ15*EF!$H46*EF!AI64)*NtoN2O*kgtoGg=0,"NO",('Activity data'!BJ15*EF!$H46*EF!AI64)*NtoN2O*kgtoGg)</f>
        <v>NO</v>
      </c>
      <c r="BK46" s="28" t="str">
        <f>IF(('Activity data'!BK15*EF!$H46*EF!AJ64)*NtoN2O*kgtoGg=0,"NO",('Activity data'!BK15*EF!$H46*EF!AJ64)*NtoN2O*kgtoGg)</f>
        <v>NO</v>
      </c>
      <c r="BL46" s="28" t="str">
        <f>IF(('Activity data'!BL15*EF!$H46*EF!AK64)*NtoN2O*kgtoGg=0,"NO",('Activity data'!BL15*EF!$H46*EF!AK64)*NtoN2O*kgtoGg)</f>
        <v>NO</v>
      </c>
      <c r="BM46" s="28" t="str">
        <f>IF(('Activity data'!BM15*EF!$H46*EF!AL64)*NtoN2O*kgtoGg=0,"NO",('Activity data'!BM15*EF!$H46*EF!AL64)*NtoN2O*kgtoGg)</f>
        <v>NO</v>
      </c>
      <c r="BN46" s="28" t="str">
        <f>IF(('Activity data'!BN15*EF!$H46*EF!AM64)*NtoN2O*kgtoGg=0,"NO",('Activity data'!BN15*EF!$H46*EF!AM64)*NtoN2O*kgtoGg)</f>
        <v>NO</v>
      </c>
      <c r="BO46" s="28" t="str">
        <f>IF(('Activity data'!BO15*EF!$H46*EF!AN64)*NtoN2O*kgtoGg=0,"NO",('Activity data'!BO15*EF!$H46*EF!AN64)*NtoN2O*kgtoGg)</f>
        <v>NO</v>
      </c>
      <c r="BP46" s="28" t="str">
        <f>IF(('Activity data'!BP15*EF!$H46*EF!AO64)*NtoN2O*kgtoGg=0,"NO",('Activity data'!BP15*EF!$H46*EF!AO64)*NtoN2O*kgtoGg)</f>
        <v>NO</v>
      </c>
    </row>
    <row r="47" spans="1:68" x14ac:dyDescent="0.25">
      <c r="A47" t="str">
        <f t="shared" si="1"/>
        <v>3A Livestock</v>
      </c>
      <c r="B47" t="str">
        <f t="shared" si="11"/>
        <v>3A2 Manure management (N2O)</v>
      </c>
      <c r="C47" t="str">
        <f>EF!C65</f>
        <v>3A1g Mules &amp; asses</v>
      </c>
      <c r="D47" t="str">
        <f>EF!D65</f>
        <v>Mules &amp; Asses</v>
      </c>
      <c r="E47" t="str">
        <f t="shared" si="9"/>
        <v>Manure management Emissions</v>
      </c>
      <c r="F47" t="s">
        <v>139</v>
      </c>
      <c r="G47" t="str">
        <f t="shared" si="10"/>
        <v>Gg N2O</v>
      </c>
      <c r="H47" s="28" t="str">
        <f>IF(('Activity data'!H16*EF!$H47*EF!$H65)*NtoN2O*kgtoGg=0,"NO",('Activity data'!H16*EF!$H47*EF!$H65)*NtoN2O*kgtoGg)</f>
        <v>NO</v>
      </c>
      <c r="I47" s="28" t="str">
        <f>IF(('Activity data'!I16*EF!$H47*EF!$H65)*NtoN2O*kgtoGg=0,"NO",('Activity data'!I16*EF!$H47*EF!$H65)*NtoN2O*kgtoGg)</f>
        <v>NO</v>
      </c>
      <c r="J47" s="28" t="str">
        <f>IF(('Activity data'!J16*EF!$H47*EF!$H65)*NtoN2O*kgtoGg=0,"NO",('Activity data'!J16*EF!$H47*EF!$H65)*NtoN2O*kgtoGg)</f>
        <v>NO</v>
      </c>
      <c r="K47" s="28" t="str">
        <f>IF(('Activity data'!K16*EF!$H47*EF!$H65)*NtoN2O*kgtoGg=0,"NO",('Activity data'!K16*EF!$H47*EF!$H65)*NtoN2O*kgtoGg)</f>
        <v>NO</v>
      </c>
      <c r="L47" s="28" t="str">
        <f>IF(('Activity data'!L16*EF!$H47*EF!$H65)*NtoN2O*kgtoGg=0,"NO",('Activity data'!L16*EF!$H47*EF!$H65)*NtoN2O*kgtoGg)</f>
        <v>NO</v>
      </c>
      <c r="M47" s="28" t="str">
        <f>IF(('Activity data'!M16*EF!$H47*EF!$H65)*NtoN2O*kgtoGg=0,"NO",('Activity data'!M16*EF!$H47*EF!$H65)*NtoN2O*kgtoGg)</f>
        <v>NO</v>
      </c>
      <c r="N47" s="28" t="str">
        <f>IF(('Activity data'!N16*EF!$H47*EF!$H65)*NtoN2O*kgtoGg=0,"NO",('Activity data'!N16*EF!$H47*EF!$H65)*NtoN2O*kgtoGg)</f>
        <v>NO</v>
      </c>
      <c r="O47" s="28" t="str">
        <f>IF(('Activity data'!O16*EF!$H47*EF!$H65)*NtoN2O*kgtoGg=0,"NO",('Activity data'!O16*EF!$H47*EF!$H65)*NtoN2O*kgtoGg)</f>
        <v>NO</v>
      </c>
      <c r="P47" s="28" t="str">
        <f>IF(('Activity data'!P16*EF!$H47*EF!$H65)*NtoN2O*kgtoGg=0,"NO",('Activity data'!P16*EF!$H47*EF!$H65)*NtoN2O*kgtoGg)</f>
        <v>NO</v>
      </c>
      <c r="Q47" s="28" t="str">
        <f>IF(('Activity data'!Q16*EF!$H47*EF!$H65)*NtoN2O*kgtoGg=0,"NO",('Activity data'!Q16*EF!$H47*EF!$H65)*NtoN2O*kgtoGg)</f>
        <v>NO</v>
      </c>
      <c r="R47" s="28" t="str">
        <f>IF(('Activity data'!R16*EF!$H47*EF!$H65)*NtoN2O*kgtoGg=0,"NO",('Activity data'!R16*EF!$H47*EF!$H65)*NtoN2O*kgtoGg)</f>
        <v>NO</v>
      </c>
      <c r="S47" s="28" t="str">
        <f>IF(('Activity data'!S16*EF!$H47*EF!$H65)*NtoN2O*kgtoGg=0,"NO",('Activity data'!S16*EF!$H47*EF!$H65)*NtoN2O*kgtoGg)</f>
        <v>NO</v>
      </c>
      <c r="T47" s="28" t="str">
        <f>IF(('Activity data'!T16*EF!$H47*EF!$H65)*NtoN2O*kgtoGg=0,"NO",('Activity data'!T16*EF!$H47*EF!$H65)*NtoN2O*kgtoGg)</f>
        <v>NO</v>
      </c>
      <c r="U47" s="28" t="str">
        <f>IF(('Activity data'!U16*EF!$H47*EF!$H65)*NtoN2O*kgtoGg=0,"NO",('Activity data'!U16*EF!$H47*EF!$H65)*NtoN2O*kgtoGg)</f>
        <v>NO</v>
      </c>
      <c r="V47" s="28" t="str">
        <f>IF(('Activity data'!V16*EF!$H47*EF!$H65)*NtoN2O*kgtoGg=0,"NO",('Activity data'!V16*EF!$H47*EF!$H65)*NtoN2O*kgtoGg)</f>
        <v>NO</v>
      </c>
      <c r="W47" s="28" t="str">
        <f>IF(('Activity data'!W16*EF!$H47*EF!$H65)*NtoN2O*kgtoGg=0,"NO",('Activity data'!W16*EF!$H47*EF!$H65)*NtoN2O*kgtoGg)</f>
        <v>NO</v>
      </c>
      <c r="X47" s="28" t="str">
        <f>IF(('Activity data'!X16*EF!$H47*EF!$H65)*NtoN2O*kgtoGg=0,"NO",('Activity data'!X16*EF!$H47*EF!$H65)*NtoN2O*kgtoGg)</f>
        <v>NO</v>
      </c>
      <c r="Y47" s="28" t="str">
        <f>IF(('Activity data'!Y16*EF!$H47*EF!$H65)*NtoN2O*kgtoGg=0,"NO",('Activity data'!Y16*EF!$H47*EF!$H65)*NtoN2O*kgtoGg)</f>
        <v>NO</v>
      </c>
      <c r="Z47" s="28" t="str">
        <f>IF(('Activity data'!Z16*EF!$H47*EF!$H65)*NtoN2O*kgtoGg=0,"NO",('Activity data'!Z16*EF!$H47*EF!$H65)*NtoN2O*kgtoGg)</f>
        <v>NO</v>
      </c>
      <c r="AA47" s="28" t="str">
        <f>IF(('Activity data'!AA16*EF!$H47*EF!$H65)*NtoN2O*kgtoGg=0,"NO",('Activity data'!AA16*EF!$H47*EF!$H65)*NtoN2O*kgtoGg)</f>
        <v>NO</v>
      </c>
      <c r="AB47" s="28" t="str">
        <f>IF(('Activity data'!AB16*EF!$H47*EF!$H65)*NtoN2O*kgtoGg=0,"NO",('Activity data'!AB16*EF!$H47*EF!$H65)*NtoN2O*kgtoGg)</f>
        <v>NO</v>
      </c>
      <c r="AC47" s="28" t="str">
        <f>IF(('Activity data'!AC16*EF!$H47*EF!$H65)*NtoN2O*kgtoGg=0,"NO",('Activity data'!AC16*EF!$H47*EF!$H65)*NtoN2O*kgtoGg)</f>
        <v>NO</v>
      </c>
      <c r="AD47" s="28" t="str">
        <f>IF(('Activity data'!AD16*EF!$H47*EF!$H65)*NtoN2O*kgtoGg=0,"NO",('Activity data'!AD16*EF!$H47*EF!$H65)*NtoN2O*kgtoGg)</f>
        <v>NO</v>
      </c>
      <c r="AE47" s="28" t="str">
        <f>IF(('Activity data'!AE16*EF!$H47*EF!$H65)*NtoN2O*kgtoGg=0,"NO",('Activity data'!AE16*EF!$H47*EF!$H65)*NtoN2O*kgtoGg)</f>
        <v>NO</v>
      </c>
      <c r="AF47" s="28" t="str">
        <f>IF(('Activity data'!AF16*EF!$H47*EF!$H65)*NtoN2O*kgtoGg=0,"NO",('Activity data'!AF16*EF!$H47*EF!$H65)*NtoN2O*kgtoGg)</f>
        <v>NO</v>
      </c>
      <c r="AG47" s="28" t="str">
        <f>IF(('Activity data'!AG16*EF!$H47*EF!$H65)*NtoN2O*kgtoGg=0,"NO",('Activity data'!AG16*EF!$H47*EF!$H65)*NtoN2O*kgtoGg)</f>
        <v>NO</v>
      </c>
      <c r="AH47" s="28" t="str">
        <f>IF(('Activity data'!AH16*EF!$H47*EF!$H65)*NtoN2O*kgtoGg=0,"NO",('Activity data'!AH16*EF!$H47*EF!$H65)*NtoN2O*kgtoGg)</f>
        <v>NO</v>
      </c>
      <c r="AI47" s="28" t="str">
        <f>IF(('Activity data'!AI16*EF!$H47*EF!H65)*NtoN2O*kgtoGg=0,"NO",('Activity data'!AI16*EF!$H47*EF!H65)*NtoN2O*kgtoGg)</f>
        <v>NO</v>
      </c>
      <c r="AJ47" s="28" t="str">
        <f>IF(('Activity data'!AJ16*EF!$H47*EF!I65)*NtoN2O*kgtoGg=0,"NO",('Activity data'!AJ16*EF!$H47*EF!I65)*NtoN2O*kgtoGg)</f>
        <v>NO</v>
      </c>
      <c r="AK47" s="28" t="str">
        <f>IF(('Activity data'!AK16*EF!$H47*EF!J65)*NtoN2O*kgtoGg=0,"NO",('Activity data'!AK16*EF!$H47*EF!J65)*NtoN2O*kgtoGg)</f>
        <v>NO</v>
      </c>
      <c r="AL47" s="28" t="str">
        <f>IF(('Activity data'!AL16*EF!$H47*EF!K65)*NtoN2O*kgtoGg=0,"NO",('Activity data'!AL16*EF!$H47*EF!K65)*NtoN2O*kgtoGg)</f>
        <v>NO</v>
      </c>
      <c r="AM47" s="28" t="str">
        <f>IF(('Activity data'!AM16*EF!$H47*EF!L65)*NtoN2O*kgtoGg=0,"NO",('Activity data'!AM16*EF!$H47*EF!L65)*NtoN2O*kgtoGg)</f>
        <v>NO</v>
      </c>
      <c r="AN47" s="28" t="str">
        <f>IF(('Activity data'!AN16*EF!$H47*EF!M65)*NtoN2O*kgtoGg=0,"NO",('Activity data'!AN16*EF!$H47*EF!M65)*NtoN2O*kgtoGg)</f>
        <v>NO</v>
      </c>
      <c r="AO47" s="28" t="str">
        <f>IF(('Activity data'!AO16*EF!$H47*EF!N65)*NtoN2O*kgtoGg=0,"NO",('Activity data'!AO16*EF!$H47*EF!N65)*NtoN2O*kgtoGg)</f>
        <v>NO</v>
      </c>
      <c r="AP47" s="28" t="str">
        <f>IF(('Activity data'!AP16*EF!$H47*EF!O65)*NtoN2O*kgtoGg=0,"NO",('Activity data'!AP16*EF!$H47*EF!O65)*NtoN2O*kgtoGg)</f>
        <v>NO</v>
      </c>
      <c r="AQ47" s="28" t="str">
        <f>IF(('Activity data'!AQ16*EF!$H47*EF!P65)*NtoN2O*kgtoGg=0,"NO",('Activity data'!AQ16*EF!$H47*EF!P65)*NtoN2O*kgtoGg)</f>
        <v>NO</v>
      </c>
      <c r="AR47" s="28" t="str">
        <f>IF(('Activity data'!AR16*EF!$H47*EF!Q65)*NtoN2O*kgtoGg=0,"NO",('Activity data'!AR16*EF!$H47*EF!Q65)*NtoN2O*kgtoGg)</f>
        <v>NO</v>
      </c>
      <c r="AS47" s="28" t="str">
        <f>IF(('Activity data'!AS16*EF!$H47*EF!R65)*NtoN2O*kgtoGg=0,"NO",('Activity data'!AS16*EF!$H47*EF!R65)*NtoN2O*kgtoGg)</f>
        <v>NO</v>
      </c>
      <c r="AT47" s="28" t="str">
        <f>IF(('Activity data'!AT16*EF!$H47*EF!S65)*NtoN2O*kgtoGg=0,"NO",('Activity data'!AT16*EF!$H47*EF!S65)*NtoN2O*kgtoGg)</f>
        <v>NO</v>
      </c>
      <c r="AU47" s="28" t="str">
        <f>IF(('Activity data'!AU16*EF!$H47*EF!T65)*NtoN2O*kgtoGg=0,"NO",('Activity data'!AU16*EF!$H47*EF!T65)*NtoN2O*kgtoGg)</f>
        <v>NO</v>
      </c>
      <c r="AV47" s="28" t="str">
        <f>IF(('Activity data'!AV16*EF!$H47*EF!U65)*NtoN2O*kgtoGg=0,"NO",('Activity data'!AV16*EF!$H47*EF!U65)*NtoN2O*kgtoGg)</f>
        <v>NO</v>
      </c>
      <c r="AW47" s="28" t="str">
        <f>IF(('Activity data'!AW16*EF!$H47*EF!V65)*NtoN2O*kgtoGg=0,"NO",('Activity data'!AW16*EF!$H47*EF!V65)*NtoN2O*kgtoGg)</f>
        <v>NO</v>
      </c>
      <c r="AX47" s="28" t="str">
        <f>IF(('Activity data'!AX16*EF!$H47*EF!W65)*NtoN2O*kgtoGg=0,"NO",('Activity data'!AX16*EF!$H47*EF!W65)*NtoN2O*kgtoGg)</f>
        <v>NO</v>
      </c>
      <c r="AY47" s="28" t="str">
        <f>IF(('Activity data'!AY16*EF!$H47*EF!X65)*NtoN2O*kgtoGg=0,"NO",('Activity data'!AY16*EF!$H47*EF!X65)*NtoN2O*kgtoGg)</f>
        <v>NO</v>
      </c>
      <c r="AZ47" s="28" t="str">
        <f>IF(('Activity data'!AZ16*EF!$H47*EF!Y65)*NtoN2O*kgtoGg=0,"NO",('Activity data'!AZ16*EF!$H47*EF!Y65)*NtoN2O*kgtoGg)</f>
        <v>NO</v>
      </c>
      <c r="BA47" s="28" t="str">
        <f>IF(('Activity data'!BA16*EF!$H47*EF!Z65)*NtoN2O*kgtoGg=0,"NO",('Activity data'!BA16*EF!$H47*EF!Z65)*NtoN2O*kgtoGg)</f>
        <v>NO</v>
      </c>
      <c r="BB47" s="28" t="str">
        <f>IF(('Activity data'!BB16*EF!$H47*EF!AA65)*NtoN2O*kgtoGg=0,"NO",('Activity data'!BB16*EF!$H47*EF!AA65)*NtoN2O*kgtoGg)</f>
        <v>NO</v>
      </c>
      <c r="BC47" s="28" t="str">
        <f>IF(('Activity data'!BC16*EF!$H47*EF!AB65)*NtoN2O*kgtoGg=0,"NO",('Activity data'!BC16*EF!$H47*EF!AB65)*NtoN2O*kgtoGg)</f>
        <v>NO</v>
      </c>
      <c r="BD47" s="28" t="str">
        <f>IF(('Activity data'!BD16*EF!$H47*EF!AC65)*NtoN2O*kgtoGg=0,"NO",('Activity data'!BD16*EF!$H47*EF!AC65)*NtoN2O*kgtoGg)</f>
        <v>NO</v>
      </c>
      <c r="BE47" s="28" t="str">
        <f>IF(('Activity data'!BE16*EF!$H47*EF!AD65)*NtoN2O*kgtoGg=0,"NO",('Activity data'!BE16*EF!$H47*EF!AD65)*NtoN2O*kgtoGg)</f>
        <v>NO</v>
      </c>
      <c r="BF47" s="28" t="str">
        <f>IF(('Activity data'!BF16*EF!$H47*EF!AE65)*NtoN2O*kgtoGg=0,"NO",('Activity data'!BF16*EF!$H47*EF!AE65)*NtoN2O*kgtoGg)</f>
        <v>NO</v>
      </c>
      <c r="BG47" s="28" t="str">
        <f>IF(('Activity data'!BG16*EF!$H47*EF!AF65)*NtoN2O*kgtoGg=0,"NO",('Activity data'!BG16*EF!$H47*EF!AF65)*NtoN2O*kgtoGg)</f>
        <v>NO</v>
      </c>
      <c r="BH47" s="28" t="str">
        <f>IF(('Activity data'!BH16*EF!$H47*EF!AG65)*NtoN2O*kgtoGg=0,"NO",('Activity data'!BH16*EF!$H47*EF!AG65)*NtoN2O*kgtoGg)</f>
        <v>NO</v>
      </c>
      <c r="BI47" s="28" t="str">
        <f>IF(('Activity data'!BI16*EF!$H47*EF!AH65)*NtoN2O*kgtoGg=0,"NO",('Activity data'!BI16*EF!$H47*EF!AH65)*NtoN2O*kgtoGg)</f>
        <v>NO</v>
      </c>
      <c r="BJ47" s="28" t="str">
        <f>IF(('Activity data'!BJ16*EF!$H47*EF!AI65)*NtoN2O*kgtoGg=0,"NO",('Activity data'!BJ16*EF!$H47*EF!AI65)*NtoN2O*kgtoGg)</f>
        <v>NO</v>
      </c>
      <c r="BK47" s="28" t="str">
        <f>IF(('Activity data'!BK16*EF!$H47*EF!AJ65)*NtoN2O*kgtoGg=0,"NO",('Activity data'!BK16*EF!$H47*EF!AJ65)*NtoN2O*kgtoGg)</f>
        <v>NO</v>
      </c>
      <c r="BL47" s="28" t="str">
        <f>IF(('Activity data'!BL16*EF!$H47*EF!AK65)*NtoN2O*kgtoGg=0,"NO",('Activity data'!BL16*EF!$H47*EF!AK65)*NtoN2O*kgtoGg)</f>
        <v>NO</v>
      </c>
      <c r="BM47" s="28" t="str">
        <f>IF(('Activity data'!BM16*EF!$H47*EF!AL65)*NtoN2O*kgtoGg=0,"NO",('Activity data'!BM16*EF!$H47*EF!AL65)*NtoN2O*kgtoGg)</f>
        <v>NO</v>
      </c>
      <c r="BN47" s="28" t="str">
        <f>IF(('Activity data'!BN16*EF!$H47*EF!AM65)*NtoN2O*kgtoGg=0,"NO",('Activity data'!BN16*EF!$H47*EF!AM65)*NtoN2O*kgtoGg)</f>
        <v>NO</v>
      </c>
      <c r="BO47" s="28" t="str">
        <f>IF(('Activity data'!BO16*EF!$H47*EF!AN65)*NtoN2O*kgtoGg=0,"NO",('Activity data'!BO16*EF!$H47*EF!AN65)*NtoN2O*kgtoGg)</f>
        <v>NO</v>
      </c>
      <c r="BP47" s="28" t="str">
        <f>IF(('Activity data'!BP16*EF!$H47*EF!AO65)*NtoN2O*kgtoGg=0,"NO",('Activity data'!BP16*EF!$H47*EF!AO65)*NtoN2O*kgtoGg)</f>
        <v>NO</v>
      </c>
    </row>
    <row r="48" spans="1:68" x14ac:dyDescent="0.25">
      <c r="A48" t="str">
        <f t="shared" si="1"/>
        <v>3A Livestock</v>
      </c>
      <c r="B48" t="str">
        <f t="shared" si="11"/>
        <v>3A2 Manure management (N2O)</v>
      </c>
      <c r="C48" t="str">
        <f>EF!C66</f>
        <v>3A1h Swine</v>
      </c>
      <c r="D48" t="str">
        <f>EF!D66</f>
        <v>Commercial</v>
      </c>
      <c r="E48" t="str">
        <f t="shared" si="9"/>
        <v>Manure management Emissions</v>
      </c>
      <c r="F48" t="s">
        <v>139</v>
      </c>
      <c r="G48" t="str">
        <f t="shared" si="10"/>
        <v>Gg N2O</v>
      </c>
      <c r="H48" s="28">
        <f>IF(('Activity data'!H17*EF!$H48*EF!$H66)*NtoN2O*kgtoGg=0,"NO",('Activity data'!H17*EF!$H48*EF!$H66)*NtoN2O*kgtoGg)</f>
        <v>8.969533176685715E-2</v>
      </c>
      <c r="I48" s="28">
        <f>IF(('Activity data'!I17*EF!$H48*EF!$H66)*NtoN2O*kgtoGg=0,"NO",('Activity data'!I17*EF!$H48*EF!$H66)*NtoN2O*kgtoGg)</f>
        <v>9.7993915611428561E-2</v>
      </c>
      <c r="J48" s="28">
        <f>IF(('Activity data'!J17*EF!$H48*EF!$H66)*NtoN2O*kgtoGg=0,"NO",('Activity data'!J17*EF!$H48*EF!$H66)*NtoN2O*kgtoGg)</f>
        <v>9.7346508361142864E-2</v>
      </c>
      <c r="K48" s="28">
        <f>IF(('Activity data'!K17*EF!$H48*EF!$H66)*NtoN2O*kgtoGg=0,"NO",('Activity data'!K17*EF!$H48*EF!$H66)*NtoN2O*kgtoGg)</f>
        <v>9.7287653156571438E-2</v>
      </c>
      <c r="L48" s="28">
        <f>IF(('Activity data'!L17*EF!$H48*EF!$H66)*NtoN2O*kgtoGg=0,"NO",('Activity data'!L17*EF!$H48*EF!$H66)*NtoN2O*kgtoGg)</f>
        <v>9.2402671177142848E-2</v>
      </c>
      <c r="M48" s="28">
        <f>IF(('Activity data'!M17*EF!$H48*EF!$H66)*NtoN2O*kgtoGg=0,"NO",('Activity data'!M17*EF!$H48*EF!$H66)*NtoN2O*kgtoGg)</f>
        <v>9.328549924571429E-2</v>
      </c>
      <c r="N48" s="28">
        <f>IF(('Activity data'!N17*EF!$H48*EF!$H66)*NtoN2O*kgtoGg=0,"NO",('Activity data'!N17*EF!$H48*EF!$H66)*NtoN2O*kgtoGg)</f>
        <v>0.10046583420342857</v>
      </c>
      <c r="O48" s="28">
        <f>IF(('Activity data'!O17*EF!$H48*EF!$H66)*NtoN2O*kgtoGg=0,"NO",('Activity data'!O17*EF!$H48*EF!$H66)*NtoN2O*kgtoGg)</f>
        <v>9.9994992566857149E-2</v>
      </c>
      <c r="P48" s="28">
        <f>IF(('Activity data'!P17*EF!$H48*EF!$H66)*NtoN2O*kgtoGg=0,"NO",('Activity data'!P17*EF!$H48*EF!$H66)*NtoN2O*kgtoGg)</f>
        <v>0.102172635136</v>
      </c>
      <c r="Q48" s="28">
        <f>IF(('Activity data'!Q17*EF!$H48*EF!$H66)*NtoN2O*kgtoGg=0,"NO",('Activity data'!Q17*EF!$H48*EF!$H66)*NtoN2O*kgtoGg)</f>
        <v>0.10476226413714287</v>
      </c>
      <c r="R48" s="28">
        <f>IF(('Activity data'!R17*EF!$H48*EF!$H66)*NtoN2O*kgtoGg=0,"NO",('Activity data'!R17*EF!$H48*EF!$H66)*NtoN2O*kgtoGg)</f>
        <v>9.6934521929142842E-2</v>
      </c>
      <c r="S48" s="28">
        <f>IF(('Activity data'!S17*EF!$H48*EF!$H66)*NtoN2O*kgtoGg=0,"NO",('Activity data'!S17*EF!$H48*EF!$H66)*NtoN2O*kgtoGg)</f>
        <v>9.8759033270857152E-2</v>
      </c>
      <c r="T48" s="28">
        <f>IF(('Activity data'!T17*EF!$H48*EF!$H66)*NtoN2O*kgtoGg=0,"NO",('Activity data'!T17*EF!$H48*EF!$H66)*NtoN2O*kgtoGg)</f>
        <v>0.10064239981714285</v>
      </c>
      <c r="U48" s="28">
        <f>IF(('Activity data'!U17*EF!$H48*EF!$H66)*NtoN2O*kgtoGg=0,"NO",('Activity data'!U17*EF!$H48*EF!$H66)*NtoN2O*kgtoGg)</f>
        <v>9.7876205202285724E-2</v>
      </c>
      <c r="V48" s="28">
        <f>IF(('Activity data'!V17*EF!$H48*EF!$H66)*NtoN2O*kgtoGg=0,"NO",('Activity data'!V17*EF!$H48*EF!$H66)*NtoN2O*kgtoGg)</f>
        <v>9.7876205202285724E-2</v>
      </c>
      <c r="W48" s="28">
        <f>IF(('Activity data'!W17*EF!$H48*EF!$H66)*NtoN2O*kgtoGg=0,"NO",('Activity data'!W17*EF!$H48*EF!$H66)*NtoN2O*kgtoGg)</f>
        <v>9.7169942747428573E-2</v>
      </c>
      <c r="X48" s="28">
        <f>IF(('Activity data'!X17*EF!$H48*EF!$H66)*NtoN2O*kgtoGg=0,"NO",('Activity data'!X17*EF!$H48*EF!$H66)*NtoN2O*kgtoGg)</f>
        <v>9.5463141814857155E-2</v>
      </c>
      <c r="Y48" s="28">
        <f>IF(('Activity data'!Y17*EF!$H48*EF!$H66)*NtoN2O*kgtoGg=0,"NO",('Activity data'!Y17*EF!$H48*EF!$H66)*NtoN2O*kgtoGg)</f>
        <v>9.7169942747428573E-2</v>
      </c>
      <c r="Z48" s="28">
        <f>IF(('Activity data'!Z17*EF!$H48*EF!$H66)*NtoN2O*kgtoGg=0,"NO",('Activity data'!Z17*EF!$H48*EF!$H66)*NtoN2O*kgtoGg)</f>
        <v>9.5051155382857147E-2</v>
      </c>
      <c r="AA48" s="28">
        <f>IF(('Activity data'!AA17*EF!$H48*EF!$H66)*NtoN2O*kgtoGg=0,"NO",('Activity data'!AA17*EF!$H48*EF!$H66)*NtoN2O*kgtoGg)</f>
        <v>9.4933444973714295E-2</v>
      </c>
      <c r="AB48" s="28">
        <f>IF(('Activity data'!AB17*EF!$H48*EF!$H66)*NtoN2O*kgtoGg=0,"NO",('Activity data'!AB17*EF!$H48*EF!$H66)*NtoN2O*kgtoGg)</f>
        <v>9.381519608685715E-2</v>
      </c>
      <c r="AC48" s="28">
        <f>IF(('Activity data'!AC17*EF!$H48*EF!$H66)*NtoN2O*kgtoGg=0,"NO",('Activity data'!AC17*EF!$H48*EF!$H66)*NtoN2O*kgtoGg)</f>
        <v>9.3226644041142864E-2</v>
      </c>
      <c r="AD48" s="28">
        <f>IF(('Activity data'!AD17*EF!$H48*EF!$H66)*NtoN2O*kgtoGg=0,"NO",('Activity data'!AD17*EF!$H48*EF!$H66)*NtoN2O*kgtoGg)</f>
        <v>9.7491335158728848E-2</v>
      </c>
      <c r="AE48" s="28">
        <f>IF(('Activity data'!AE17*EF!$H48*EF!$H66)*NtoN2O*kgtoGg=0,"NO",('Activity data'!AE17*EF!$H48*EF!$H66)*NtoN2O*kgtoGg)</f>
        <v>9.748399655031896E-2</v>
      </c>
      <c r="AF48" s="28">
        <f>IF(('Activity data'!AF17*EF!$H48*EF!$H66)*NtoN2O*kgtoGg=0,"NO",('Activity data'!AF17*EF!$H48*EF!$H66)*NtoN2O*kgtoGg)</f>
        <v>9.681045565533114E-2</v>
      </c>
      <c r="AG48" s="28">
        <f>IF(('Activity data'!AG17*EF!$H48*EF!$H66)*NtoN2O*kgtoGg=0,"NO",('Activity data'!AG17*EF!$H48*EF!$H66)*NtoN2O*kgtoGg)</f>
        <v>9.5668318807541231E-2</v>
      </c>
      <c r="AH48" s="28">
        <f>IF(('Activity data'!AH17*EF!$H48*EF!$H66)*NtoN2O*kgtoGg=0,"NO",('Activity data'!AH17*EF!$H48*EF!$H66)*NtoN2O*kgtoGg)</f>
        <v>9.4048131510955424E-2</v>
      </c>
      <c r="AI48" s="28">
        <f>IF(('Activity data'!AI17*EF!$H48*EF!H66)*NtoN2O*kgtoGg=0,"NO",('Activity data'!AI17*EF!$H48*EF!H66)*NtoN2O*kgtoGg)</f>
        <v>9.3170363162458567E-2</v>
      </c>
      <c r="AJ48" s="28">
        <f>IF(('Activity data'!AJ17*EF!$H48*EF!I66)*NtoN2O*kgtoGg=0,"NO",('Activity data'!AJ17*EF!$H48*EF!I66)*NtoN2O*kgtoGg)</f>
        <v>9.2198003766662012E-2</v>
      </c>
      <c r="AK48" s="28">
        <f>IF(('Activity data'!AK17*EF!$H48*EF!J66)*NtoN2O*kgtoGg=0,"NO",('Activity data'!AK17*EF!$H48*EF!J66)*NtoN2O*kgtoGg)</f>
        <v>9.1219552453008251E-2</v>
      </c>
      <c r="AL48" s="28">
        <f>IF(('Activity data'!AL17*EF!$H48*EF!K66)*NtoN2O*kgtoGg=0,"NO",('Activity data'!AL17*EF!$H48*EF!K66)*NtoN2O*kgtoGg)</f>
        <v>8.0172559025984011E-2</v>
      </c>
      <c r="AM48" s="28">
        <f>IF(('Activity data'!AM17*EF!$H48*EF!L66)*NtoN2O*kgtoGg=0,"NO",('Activity data'!AM17*EF!$H48*EF!L66)*NtoN2O*kgtoGg)</f>
        <v>8.0835688946276893E-2</v>
      </c>
      <c r="AN48" s="28">
        <f>IF(('Activity data'!AN17*EF!$H48*EF!M66)*NtoN2O*kgtoGg=0,"NO",('Activity data'!AN17*EF!$H48*EF!M66)*NtoN2O*kgtoGg)</f>
        <v>8.1357159504522464E-2</v>
      </c>
      <c r="AO48" s="28">
        <f>IF(('Activity data'!AO17*EF!$H48*EF!N66)*NtoN2O*kgtoGg=0,"NO",('Activity data'!AO17*EF!$H48*EF!N66)*NtoN2O*kgtoGg)</f>
        <v>8.1911811041977325E-2</v>
      </c>
      <c r="AP48" s="28">
        <f>IF(('Activity data'!AP17*EF!$H48*EF!O66)*NtoN2O*kgtoGg=0,"NO",('Activity data'!AP17*EF!$H48*EF!O66)*NtoN2O*kgtoGg)</f>
        <v>8.2618179921424229E-2</v>
      </c>
      <c r="AQ48" s="28">
        <f>IF(('Activity data'!AQ17*EF!$H48*EF!P66)*NtoN2O*kgtoGg=0,"NO",('Activity data'!AQ17*EF!$H48*EF!P66)*NtoN2O*kgtoGg)</f>
        <v>8.3553418074897898E-2</v>
      </c>
      <c r="AR48" s="28">
        <f>IF(('Activity data'!AR17*EF!$H48*EF!Q66)*NtoN2O*kgtoGg=0,"NO",('Activity data'!AR17*EF!$H48*EF!Q66)*NtoN2O*kgtoGg)</f>
        <v>8.4580040937169573E-2</v>
      </c>
      <c r="AS48" s="28">
        <f>IF(('Activity data'!AS17*EF!$H48*EF!R66)*NtoN2O*kgtoGg=0,"NO",('Activity data'!AS17*EF!$H48*EF!R66)*NtoN2O*kgtoGg)</f>
        <v>8.5737879891260069E-2</v>
      </c>
      <c r="AT48" s="28">
        <f>IF(('Activity data'!AT17*EF!$H48*EF!S66)*NtoN2O*kgtoGg=0,"NO",('Activity data'!AT17*EF!$H48*EF!S66)*NtoN2O*kgtoGg)</f>
        <v>8.7038803628837494E-2</v>
      </c>
      <c r="AU48" s="28">
        <f>IF(('Activity data'!AU17*EF!$H48*EF!T66)*NtoN2O*kgtoGg=0,"NO",('Activity data'!AU17*EF!$H48*EF!T66)*NtoN2O*kgtoGg)</f>
        <v>8.8645623597187015E-2</v>
      </c>
      <c r="AV48" s="28">
        <f>IF(('Activity data'!AV17*EF!$H48*EF!U66)*NtoN2O*kgtoGg=0,"NO",('Activity data'!AV17*EF!$H48*EF!U66)*NtoN2O*kgtoGg)</f>
        <v>9.0173735132845628E-2</v>
      </c>
      <c r="AW48" s="28">
        <f>IF(('Activity data'!AW17*EF!$H48*EF!V66)*NtoN2O*kgtoGg=0,"NO",('Activity data'!AW17*EF!$H48*EF!V66)*NtoN2O*kgtoGg)</f>
        <v>9.2181176757317976E-2</v>
      </c>
      <c r="AX48" s="28">
        <f>IF(('Activity data'!AX17*EF!$H48*EF!W66)*NtoN2O*kgtoGg=0,"NO",('Activity data'!AX17*EF!$H48*EF!W66)*NtoN2O*kgtoGg)</f>
        <v>9.4242201387331359E-2</v>
      </c>
      <c r="AY48" s="28">
        <f>IF(('Activity data'!AY17*EF!$H48*EF!X66)*NtoN2O*kgtoGg=0,"NO",('Activity data'!AY17*EF!$H48*EF!X66)*NtoN2O*kgtoGg)</f>
        <v>9.6337381565516481E-2</v>
      </c>
      <c r="AZ48" s="28">
        <f>IF(('Activity data'!AZ17*EF!$H48*EF!Y66)*NtoN2O*kgtoGg=0,"NO",('Activity data'!AZ17*EF!$H48*EF!Y66)*NtoN2O*kgtoGg)</f>
        <v>9.8447228685358476E-2</v>
      </c>
      <c r="BA48" s="28">
        <f>IF(('Activity data'!BA17*EF!$H48*EF!Z66)*NtoN2O*kgtoGg=0,"NO",('Activity data'!BA17*EF!$H48*EF!Z66)*NtoN2O*kgtoGg)</f>
        <v>0.10021716709043234</v>
      </c>
      <c r="BB48" s="28">
        <f>IF(('Activity data'!BB17*EF!$H48*EF!AA66)*NtoN2O*kgtoGg=0,"NO",('Activity data'!BB17*EF!$H48*EF!AA66)*NtoN2O*kgtoGg)</f>
        <v>0.1020840846483112</v>
      </c>
      <c r="BC48" s="28">
        <f>IF(('Activity data'!BC17*EF!$H48*EF!AB66)*NtoN2O*kgtoGg=0,"NO",('Activity data'!BC17*EF!$H48*EF!AB66)*NtoN2O*kgtoGg)</f>
        <v>0.10412178641257738</v>
      </c>
      <c r="BD48" s="28">
        <f>IF(('Activity data'!BD17*EF!$H48*EF!AC66)*NtoN2O*kgtoGg=0,"NO",('Activity data'!BD17*EF!$H48*EF!AC66)*NtoN2O*kgtoGg)</f>
        <v>0.10625387196544704</v>
      </c>
      <c r="BE48" s="28">
        <f>IF(('Activity data'!BE17*EF!$H48*EF!AD66)*NtoN2O*kgtoGg=0,"NO",('Activity data'!BE17*EF!$H48*EF!AD66)*NtoN2O*kgtoGg)</f>
        <v>0.1082290241459213</v>
      </c>
      <c r="BF48" s="28">
        <f>IF(('Activity data'!BF17*EF!$H48*EF!AE66)*NtoN2O*kgtoGg=0,"NO",('Activity data'!BF17*EF!$H48*EF!AE66)*NtoN2O*kgtoGg)</f>
        <v>0.11018470150603683</v>
      </c>
      <c r="BG48" s="28">
        <f>IF(('Activity data'!BG17*EF!$H48*EF!AF66)*NtoN2O*kgtoGg=0,"NO",('Activity data'!BG17*EF!$H48*EF!AF66)*NtoN2O*kgtoGg)</f>
        <v>0.11221494056256127</v>
      </c>
      <c r="BH48" s="28">
        <f>IF(('Activity data'!BH17*EF!$H48*EF!AG66)*NtoN2O*kgtoGg=0,"NO",('Activity data'!BH17*EF!$H48*EF!AG66)*NtoN2O*kgtoGg)</f>
        <v>0.11434593614515223</v>
      </c>
      <c r="BI48" s="28">
        <f>IF(('Activity data'!BI17*EF!$H48*EF!AH66)*NtoN2O*kgtoGg=0,"NO",('Activity data'!BI17*EF!$H48*EF!AH66)*NtoN2O*kgtoGg)</f>
        <v>0.1166148514871861</v>
      </c>
      <c r="BJ48" s="28">
        <f>IF(('Activity data'!BJ17*EF!$H48*EF!AI66)*NtoN2O*kgtoGg=0,"NO",('Activity data'!BJ17*EF!$H48*EF!AI66)*NtoN2O*kgtoGg)</f>
        <v>0.1189974996898749</v>
      </c>
      <c r="BK48" s="28">
        <f>IF(('Activity data'!BK17*EF!$H48*EF!AJ66)*NtoN2O*kgtoGg=0,"NO",('Activity data'!BK17*EF!$H48*EF!AJ66)*NtoN2O*kgtoGg)</f>
        <v>0.12157573992242517</v>
      </c>
      <c r="BL48" s="28">
        <f>IF(('Activity data'!BL17*EF!$H48*EF!AK66)*NtoN2O*kgtoGg=0,"NO",('Activity data'!BL17*EF!$H48*EF!AK66)*NtoN2O*kgtoGg)</f>
        <v>0.12430605369799337</v>
      </c>
      <c r="BM48" s="28">
        <f>IF(('Activity data'!BM17*EF!$H48*EF!AL66)*NtoN2O*kgtoGg=0,"NO",('Activity data'!BM17*EF!$H48*EF!AL66)*NtoN2O*kgtoGg)</f>
        <v>0.12712766484323834</v>
      </c>
      <c r="BN48" s="28">
        <f>IF(('Activity data'!BN17*EF!$H48*EF!AM66)*NtoN2O*kgtoGg=0,"NO",('Activity data'!BN17*EF!$H48*EF!AM66)*NtoN2O*kgtoGg)</f>
        <v>0.12982007102842369</v>
      </c>
      <c r="BO48" s="28">
        <f>IF(('Activity data'!BO17*EF!$H48*EF!AN66)*NtoN2O*kgtoGg=0,"NO",('Activity data'!BO17*EF!$H48*EF!AN66)*NtoN2O*kgtoGg)</f>
        <v>0.1326151041029589</v>
      </c>
      <c r="BP48" s="28">
        <f>IF(('Activity data'!BP17*EF!$H48*EF!AO66)*NtoN2O*kgtoGg=0,"NO",('Activity data'!BP17*EF!$H48*EF!AO66)*NtoN2O*kgtoGg)</f>
        <v>0.13555803332019761</v>
      </c>
    </row>
    <row r="49" spans="1:68" x14ac:dyDescent="0.25">
      <c r="A49" t="str">
        <f t="shared" si="1"/>
        <v>3A Livestock</v>
      </c>
      <c r="B49" t="str">
        <f t="shared" si="11"/>
        <v>3A2 Manure management (N2O)</v>
      </c>
      <c r="C49" t="str">
        <f>EF!C67</f>
        <v>3A1h Swine</v>
      </c>
      <c r="D49" t="str">
        <f>EF!D67</f>
        <v>Subsistence</v>
      </c>
      <c r="E49" t="str">
        <f t="shared" si="9"/>
        <v>Manure management Emissions</v>
      </c>
      <c r="F49" t="s">
        <v>139</v>
      </c>
      <c r="G49" t="str">
        <f t="shared" si="10"/>
        <v>Gg N2O</v>
      </c>
      <c r="H49" s="28">
        <f>IF(('Activity data'!H18*EF!$H49*EF!$H67)*NtoN2O*kgtoGg=0,"NO",('Activity data'!H18*EF!$H49*EF!$H67)*NtoN2O*kgtoGg)</f>
        <v>3.3603344466422339E-2</v>
      </c>
      <c r="I49" s="28">
        <f>IF(('Activity data'!I18*EF!$H49*EF!$H67)*NtoN2O*kgtoGg=0,"NO",('Activity data'!I18*EF!$H49*EF!$H67)*NtoN2O*kgtoGg)</f>
        <v>3.6712315312725202E-2</v>
      </c>
      <c r="J49" s="28">
        <f>IF(('Activity data'!J18*EF!$H49*EF!$H67)*NtoN2O*kgtoGg=0,"NO",('Activity data'!J18*EF!$H49*EF!$H67)*NtoN2O*kgtoGg)</f>
        <v>3.6469771487836318E-2</v>
      </c>
      <c r="K49" s="28">
        <f>IF(('Activity data'!K18*EF!$H49*EF!$H67)*NtoN2O*kgtoGg=0,"NO",('Activity data'!K18*EF!$H49*EF!$H67)*NtoN2O*kgtoGg)</f>
        <v>3.6447722049210061E-2</v>
      </c>
      <c r="L49" s="28">
        <f>IF(('Activity data'!L18*EF!$H49*EF!$H67)*NtoN2O*kgtoGg=0,"NO",('Activity data'!L18*EF!$H49*EF!$H67)*NtoN2O*kgtoGg)</f>
        <v>3.4617618643230354E-2</v>
      </c>
      <c r="M49" s="28">
        <f>IF(('Activity data'!M18*EF!$H49*EF!$H67)*NtoN2O*kgtoGg=0,"NO",('Activity data'!M18*EF!$H49*EF!$H67)*NtoN2O*kgtoGg)</f>
        <v>3.4948360222624285E-2</v>
      </c>
      <c r="N49" s="28">
        <f>IF(('Activity data'!N18*EF!$H49*EF!$H67)*NtoN2O*kgtoGg=0,"NO",('Activity data'!N18*EF!$H49*EF!$H67)*NtoN2O*kgtoGg)</f>
        <v>3.763839173502817E-2</v>
      </c>
      <c r="O49" s="28">
        <f>IF(('Activity data'!O18*EF!$H49*EF!$H67)*NtoN2O*kgtoGg=0,"NO",('Activity data'!O18*EF!$H49*EF!$H67)*NtoN2O*kgtoGg)</f>
        <v>3.7461996226018084E-2</v>
      </c>
      <c r="P49" s="28">
        <f>IF(('Activity data'!P18*EF!$H49*EF!$H67)*NtoN2O*kgtoGg=0,"NO",('Activity data'!P18*EF!$H49*EF!$H67)*NtoN2O*kgtoGg)</f>
        <v>3.8277825455189748E-2</v>
      </c>
      <c r="Q49" s="28">
        <f>IF(('Activity data'!Q18*EF!$H49*EF!$H67)*NtoN2O*kgtoGg=0,"NO",('Activity data'!Q18*EF!$H49*EF!$H67)*NtoN2O*kgtoGg)</f>
        <v>3.9248000754745251E-2</v>
      </c>
      <c r="R49" s="28">
        <f>IF(('Activity data'!R18*EF!$H49*EF!$H67)*NtoN2O*kgtoGg=0,"NO",('Activity data'!R18*EF!$H49*EF!$H67)*NtoN2O*kgtoGg)</f>
        <v>3.6315425417452488E-2</v>
      </c>
      <c r="S49" s="28">
        <f>IF(('Activity data'!S18*EF!$H49*EF!$H67)*NtoN2O*kgtoGg=0,"NO",('Activity data'!S18*EF!$H49*EF!$H67)*NtoN2O*kgtoGg)</f>
        <v>3.6998958014866593E-2</v>
      </c>
      <c r="T49" s="28">
        <f>IF(('Activity data'!T18*EF!$H49*EF!$H67)*NtoN2O*kgtoGg=0,"NO",('Activity data'!T18*EF!$H49*EF!$H67)*NtoN2O*kgtoGg)</f>
        <v>3.7704540050906954E-2</v>
      </c>
      <c r="U49" s="28">
        <f>IF(('Activity data'!U18*EF!$H49*EF!$H67)*NtoN2O*kgtoGg=0,"NO",('Activity data'!U18*EF!$H49*EF!$H67)*NtoN2O*kgtoGg)</f>
        <v>3.6668216435472668E-2</v>
      </c>
      <c r="V49" s="28">
        <f>IF(('Activity data'!V18*EF!$H49*EF!$H67)*NtoN2O*kgtoGg=0,"NO",('Activity data'!V18*EF!$H49*EF!$H67)*NtoN2O*kgtoGg)</f>
        <v>3.6668216435472668E-2</v>
      </c>
      <c r="W49" s="28">
        <f>IF(('Activity data'!W18*EF!$H49*EF!$H67)*NtoN2O*kgtoGg=0,"NO",('Activity data'!W18*EF!$H49*EF!$H67)*NtoN2O*kgtoGg)</f>
        <v>3.6403623171957535E-2</v>
      </c>
      <c r="X49" s="28">
        <f>IF(('Activity data'!X18*EF!$H49*EF!$H67)*NtoN2O*kgtoGg=0,"NO",('Activity data'!X18*EF!$H49*EF!$H67)*NtoN2O*kgtoGg)</f>
        <v>3.576418945179595E-2</v>
      </c>
      <c r="Y49" s="28">
        <f>IF(('Activity data'!Y18*EF!$H49*EF!$H67)*NtoN2O*kgtoGg=0,"NO",('Activity data'!Y18*EF!$H49*EF!$H67)*NtoN2O*kgtoGg)</f>
        <v>3.6403623171957535E-2</v>
      </c>
      <c r="Z49" s="28">
        <f>IF(('Activity data'!Z18*EF!$H49*EF!$H67)*NtoN2O*kgtoGg=0,"NO",('Activity data'!Z18*EF!$H49*EF!$H67)*NtoN2O*kgtoGg)</f>
        <v>3.5609843381412126E-2</v>
      </c>
      <c r="AA49" s="28">
        <f>IF(('Activity data'!AA18*EF!$H49*EF!$H67)*NtoN2O*kgtoGg=0,"NO",('Activity data'!AA18*EF!$H49*EF!$H67)*NtoN2O*kgtoGg)</f>
        <v>3.5565744504159599E-2</v>
      </c>
      <c r="AB49" s="28">
        <f>IF(('Activity data'!AB18*EF!$H49*EF!$H67)*NtoN2O*kgtoGg=0,"NO",('Activity data'!AB18*EF!$H49*EF!$H67)*NtoN2O*kgtoGg)</f>
        <v>3.5146805170260635E-2</v>
      </c>
      <c r="AC49" s="28">
        <f>IF(('Activity data'!AC18*EF!$H49*EF!$H67)*NtoN2O*kgtoGg=0,"NO",('Activity data'!AC18*EF!$H49*EF!$H67)*NtoN2O*kgtoGg)</f>
        <v>3.4926310783998021E-2</v>
      </c>
      <c r="AD49" s="28">
        <f>IF(('Activity data'!AD18*EF!$H49*EF!$H67)*NtoN2O*kgtoGg=0,"NO",('Activity data'!AD18*EF!$H49*EF!$H67)*NtoN2O*kgtoGg)</f>
        <v>3.8140584200407258E-2</v>
      </c>
      <c r="AE49" s="28">
        <f>IF(('Activity data'!AE18*EF!$H49*EF!$H67)*NtoN2O*kgtoGg=0,"NO",('Activity data'!AE18*EF!$H49*EF!$H67)*NtoN2O*kgtoGg)</f>
        <v>3.8137713188214073E-2</v>
      </c>
      <c r="AF49" s="28">
        <f>IF(('Activity data'!AF18*EF!$H49*EF!$H67)*NtoN2O*kgtoGg=0,"NO",('Activity data'!AF18*EF!$H49*EF!$H67)*NtoN2O*kgtoGg)</f>
        <v>3.7874210353055708E-2</v>
      </c>
      <c r="AG49" s="28">
        <f>IF(('Activity data'!AG18*EF!$H49*EF!$H67)*NtoN2O*kgtoGg=0,"NO",('Activity data'!AG18*EF!$H49*EF!$H67)*NtoN2O*kgtoGg)</f>
        <v>3.7427383293598633E-2</v>
      </c>
      <c r="AH49" s="28">
        <f>IF(('Activity data'!AH18*EF!$H49*EF!$H67)*NtoN2O*kgtoGg=0,"NO",('Activity data'!AH18*EF!$H49*EF!$H67)*NtoN2O*kgtoGg)</f>
        <v>3.6793533219586921E-2</v>
      </c>
      <c r="AI49" s="28">
        <f>IF(('Activity data'!AI18*EF!$H49*EF!H67)*NtoN2O*kgtoGg=0,"NO",('Activity data'!AI18*EF!$H49*EF!H67)*NtoN2O*kgtoGg)</f>
        <v>3.6450132469666018E-2</v>
      </c>
      <c r="AJ49" s="28">
        <f>IF(('Activity data'!AJ18*EF!$H49*EF!I67)*NtoN2O*kgtoGg=0,"NO",('Activity data'!AJ18*EF!$H49*EF!I67)*NtoN2O*kgtoGg)</f>
        <v>3.6069725786876679E-2</v>
      </c>
      <c r="AK49" s="28">
        <f>IF(('Activity data'!AK18*EF!$H49*EF!J67)*NtoN2O*kgtoGg=0,"NO",('Activity data'!AK18*EF!$H49*EF!J67)*NtoN2O*kgtoGg)</f>
        <v>3.5686935822479844E-2</v>
      </c>
      <c r="AL49" s="28">
        <f>IF(('Activity data'!AL18*EF!$H49*EF!K67)*NtoN2O*kgtoGg=0,"NO",('Activity data'!AL18*EF!$H49*EF!K67)*NtoN2O*kgtoGg)</f>
        <v>3.1365128327703315E-2</v>
      </c>
      <c r="AM49" s="28">
        <f>IF(('Activity data'!AM18*EF!$H49*EF!L67)*NtoN2O*kgtoGg=0,"NO",('Activity data'!AM18*EF!$H49*EF!L67)*NtoN2O*kgtoGg)</f>
        <v>3.1624558178772251E-2</v>
      </c>
      <c r="AN49" s="28">
        <f>IF(('Activity data'!AN18*EF!$H49*EF!M67)*NtoN2O*kgtoGg=0,"NO",('Activity data'!AN18*EF!$H49*EF!M67)*NtoN2O*kgtoGg)</f>
        <v>3.1828568019261316E-2</v>
      </c>
      <c r="AO49" s="28">
        <f>IF(('Activity data'!AO18*EF!$H49*EF!N67)*NtoN2O*kgtoGg=0,"NO",('Activity data'!AO18*EF!$H49*EF!N67)*NtoN2O*kgtoGg)</f>
        <v>3.2045558930625287E-2</v>
      </c>
      <c r="AP49" s="28">
        <f>IF(('Activity data'!AP18*EF!$H49*EF!O67)*NtoN2O*kgtoGg=0,"NO",('Activity data'!AP18*EF!$H49*EF!O67)*NtoN2O*kgtoGg)</f>
        <v>3.2321904737965271E-2</v>
      </c>
      <c r="AQ49" s="28">
        <f>IF(('Activity data'!AQ18*EF!$H49*EF!P67)*NtoN2O*kgtoGg=0,"NO",('Activity data'!AQ18*EF!$H49*EF!P67)*NtoN2O*kgtoGg)</f>
        <v>3.2687788839171998E-2</v>
      </c>
      <c r="AR49" s="28">
        <f>IF(('Activity data'!AR18*EF!$H49*EF!Q67)*NtoN2O*kgtoGg=0,"NO",('Activity data'!AR18*EF!$H49*EF!Q67)*NtoN2O*kgtoGg)</f>
        <v>3.3089424488707261E-2</v>
      </c>
      <c r="AS49" s="28">
        <f>IF(('Activity data'!AS18*EF!$H49*EF!R67)*NtoN2O*kgtoGg=0,"NO",('Activity data'!AS18*EF!$H49*EF!R67)*NtoN2O*kgtoGg)</f>
        <v>3.3542394530066341E-2</v>
      </c>
      <c r="AT49" s="28">
        <f>IF(('Activity data'!AT18*EF!$H49*EF!S67)*NtoN2O*kgtoGg=0,"NO",('Activity data'!AT18*EF!$H49*EF!S67)*NtoN2O*kgtoGg)</f>
        <v>3.4051342235732633E-2</v>
      </c>
      <c r="AU49" s="28">
        <f>IF(('Activity data'!AU18*EF!$H49*EF!T67)*NtoN2O*kgtoGg=0,"NO",('Activity data'!AU18*EF!$H49*EF!T67)*NtoN2O*kgtoGg)</f>
        <v>3.4679962740292863E-2</v>
      </c>
      <c r="AV49" s="28">
        <f>IF(('Activity data'!AV18*EF!$H49*EF!U67)*NtoN2O*kgtoGg=0,"NO",('Activity data'!AV18*EF!$H49*EF!U67)*NtoN2O*kgtoGg)</f>
        <v>3.5277790912391527E-2</v>
      </c>
      <c r="AW49" s="28">
        <f>IF(('Activity data'!AW18*EF!$H49*EF!V67)*NtoN2O*kgtoGg=0,"NO",('Activity data'!AW18*EF!$H49*EF!V67)*NtoN2O*kgtoGg)</f>
        <v>3.6063142720128422E-2</v>
      </c>
      <c r="AX49" s="28">
        <f>IF(('Activity data'!AX18*EF!$H49*EF!W67)*NtoN2O*kgtoGg=0,"NO",('Activity data'!AX18*EF!$H49*EF!W67)*NtoN2O*kgtoGg)</f>
        <v>3.6869457284516662E-2</v>
      </c>
      <c r="AY49" s="28">
        <f>IF(('Activity data'!AY18*EF!$H49*EF!X67)*NtoN2O*kgtoGg=0,"NO",('Activity data'!AY18*EF!$H49*EF!X67)*NtoN2O*kgtoGg)</f>
        <v>3.7689134190889803E-2</v>
      </c>
      <c r="AZ49" s="28">
        <f>IF(('Activity data'!AZ18*EF!$H49*EF!Y67)*NtoN2O*kgtoGg=0,"NO",('Activity data'!AZ18*EF!$H49*EF!Y67)*NtoN2O*kgtoGg)</f>
        <v>3.8514549101797559E-2</v>
      </c>
      <c r="BA49" s="28">
        <f>IF(('Activity data'!BA18*EF!$H49*EF!Z67)*NtoN2O*kgtoGg=0,"NO",('Activity data'!BA18*EF!$H49*EF!Z67)*NtoN2O*kgtoGg)</f>
        <v>3.9206984841428622E-2</v>
      </c>
      <c r="BB49" s="28">
        <f>IF(('Activity data'!BB18*EF!$H49*EF!AA67)*NtoN2O*kgtoGg=0,"NO",('Activity data'!BB18*EF!$H49*EF!AA67)*NtoN2O*kgtoGg)</f>
        <v>3.9937360789153262E-2</v>
      </c>
      <c r="BC49" s="28">
        <f>IF(('Activity data'!BC18*EF!$H49*EF!AB67)*NtoN2O*kgtoGg=0,"NO",('Activity data'!BC18*EF!$H49*EF!AB67)*NtoN2O*kgtoGg)</f>
        <v>4.0734550976248105E-2</v>
      </c>
      <c r="BD49" s="28">
        <f>IF(('Activity data'!BD18*EF!$H49*EF!AC67)*NtoN2O*kgtoGg=0,"NO",('Activity data'!BD18*EF!$H49*EF!AC67)*NtoN2O*kgtoGg)</f>
        <v>4.1568666012413102E-2</v>
      </c>
      <c r="BE49" s="28">
        <f>IF(('Activity data'!BE18*EF!$H49*EF!AD67)*NtoN2O*kgtoGg=0,"NO",('Activity data'!BE18*EF!$H49*EF!AD67)*NtoN2O*kgtoGg)</f>
        <v>4.2341385535900423E-2</v>
      </c>
      <c r="BF49" s="28">
        <f>IF(('Activity data'!BF18*EF!$H49*EF!AE67)*NtoN2O*kgtoGg=0,"NO",('Activity data'!BF18*EF!$H49*EF!AE67)*NtoN2O*kgtoGg)</f>
        <v>4.3106486115360894E-2</v>
      </c>
      <c r="BG49" s="28">
        <f>IF(('Activity data'!BG18*EF!$H49*EF!AF67)*NtoN2O*kgtoGg=0,"NO",('Activity data'!BG18*EF!$H49*EF!AF67)*NtoN2O*kgtoGg)</f>
        <v>4.3900756740091307E-2</v>
      </c>
      <c r="BH49" s="28">
        <f>IF(('Activity data'!BH18*EF!$H49*EF!AG67)*NtoN2O*kgtoGg=0,"NO",('Activity data'!BH18*EF!$H49*EF!AG67)*NtoN2O*kgtoGg)</f>
        <v>4.473444535781488E-2</v>
      </c>
      <c r="BI49" s="28">
        <f>IF(('Activity data'!BI18*EF!$H49*EF!AH67)*NtoN2O*kgtoGg=0,"NO",('Activity data'!BI18*EF!$H49*EF!AH67)*NtoN2O*kgtoGg)</f>
        <v>4.5622090977864536E-2</v>
      </c>
      <c r="BJ49" s="28">
        <f>IF(('Activity data'!BJ18*EF!$H49*EF!AI67)*NtoN2O*kgtoGg=0,"NO",('Activity data'!BJ18*EF!$H49*EF!AI67)*NtoN2O*kgtoGg)</f>
        <v>4.6554231195727422E-2</v>
      </c>
      <c r="BK49" s="28">
        <f>IF(('Activity data'!BK18*EF!$H49*EF!AJ67)*NtoN2O*kgtoGg=0,"NO",('Activity data'!BK18*EF!$H49*EF!AJ67)*NtoN2O*kgtoGg)</f>
        <v>4.7562890975782306E-2</v>
      </c>
      <c r="BL49" s="28">
        <f>IF(('Activity data'!BL18*EF!$H49*EF!AK67)*NtoN2O*kgtoGg=0,"NO",('Activity data'!BL18*EF!$H49*EF!AK67)*NtoN2O*kgtoGg)</f>
        <v>4.863104500486648E-2</v>
      </c>
      <c r="BM49" s="28">
        <f>IF(('Activity data'!BM18*EF!$H49*EF!AL67)*NtoN2O*kgtoGg=0,"NO",('Activity data'!BM18*EF!$H49*EF!AL67)*NtoN2O*kgtoGg)</f>
        <v>4.9734916413446593E-2</v>
      </c>
      <c r="BN49" s="28">
        <f>IF(('Activity data'!BN18*EF!$H49*EF!AM67)*NtoN2O*kgtoGg=0,"NO",('Activity data'!BN18*EF!$H49*EF!AM67)*NtoN2O*kgtoGg)</f>
        <v>5.0788240225666081E-2</v>
      </c>
      <c r="BO49" s="28">
        <f>IF(('Activity data'!BO18*EF!$H49*EF!AN67)*NtoN2O*kgtoGg=0,"NO",('Activity data'!BO18*EF!$H49*EF!AN67)*NtoN2O*kgtoGg)</f>
        <v>5.1881713754864021E-2</v>
      </c>
      <c r="BP49" s="28">
        <f>IF(('Activity data'!BP18*EF!$H49*EF!AO67)*NtoN2O*kgtoGg=0,"NO",('Activity data'!BP18*EF!$H49*EF!AO67)*NtoN2O*kgtoGg)</f>
        <v>5.3033047249509267E-2</v>
      </c>
    </row>
    <row r="50" spans="1:68" x14ac:dyDescent="0.25">
      <c r="A50" t="str">
        <f t="shared" si="1"/>
        <v>3A Livestock</v>
      </c>
      <c r="B50" t="str">
        <f t="shared" si="11"/>
        <v>3A2 Manure management (N2O)</v>
      </c>
      <c r="C50" t="str">
        <f>EF!C68</f>
        <v>3A2i Poultry</v>
      </c>
      <c r="D50" t="str">
        <f>EF!D68</f>
        <v>Commercial layers</v>
      </c>
      <c r="E50" t="str">
        <f t="shared" si="9"/>
        <v>Manure management Emissions</v>
      </c>
      <c r="F50" t="s">
        <v>139</v>
      </c>
      <c r="G50" t="str">
        <f t="shared" si="10"/>
        <v>Gg N2O</v>
      </c>
      <c r="H50" s="28">
        <f>IF(('Activity data'!H19*EF!$H50*EF!$H68)*NtoN2O*kgtoGg=0,"NO",('Activity data'!H19*EF!$H50*EF!$H68)*NtoN2O*kgtoGg)</f>
        <v>0.20296133454737286</v>
      </c>
      <c r="I50" s="28">
        <f>IF(('Activity data'!I19*EF!$H50*EF!$H68)*NtoN2O*kgtoGg=0,"NO",('Activity data'!I19*EF!$H50*EF!$H68)*NtoN2O*kgtoGg)</f>
        <v>0.19717389585886808</v>
      </c>
      <c r="J50" s="28">
        <f>IF(('Activity data'!J19*EF!$H50*EF!$H68)*NtoN2O*kgtoGg=0,"NO",('Activity data'!J19*EF!$H50*EF!$H68)*NtoN2O*kgtoGg)</f>
        <v>0.18700572466593463</v>
      </c>
      <c r="K50" s="28">
        <f>IF(('Activity data'!K19*EF!$H50*EF!$H68)*NtoN2O*kgtoGg=0,"NO",('Activity data'!K19*EF!$H50*EF!$H68)*NtoN2O*kgtoGg)</f>
        <v>0.1840653888057816</v>
      </c>
      <c r="L50" s="28">
        <f>IF(('Activity data'!L19*EF!$H50*EF!$H68)*NtoN2O*kgtoGg=0,"NO",('Activity data'!L19*EF!$H50*EF!$H68)*NtoN2O*kgtoGg)</f>
        <v>0.17605920711970463</v>
      </c>
      <c r="M50" s="28">
        <f>IF(('Activity data'!M19*EF!$H50*EF!$H68)*NtoN2O*kgtoGg=0,"NO",('Activity data'!M19*EF!$H50*EF!$H68)*NtoN2O*kgtoGg)</f>
        <v>0.19210250795483447</v>
      </c>
      <c r="N50" s="28">
        <f>IF(('Activity data'!N19*EF!$H50*EF!$H68)*NtoN2O*kgtoGg=0,"NO",('Activity data'!N19*EF!$H50*EF!$H68)*NtoN2O*kgtoGg)</f>
        <v>0.20291887626044761</v>
      </c>
      <c r="O50" s="28">
        <f>IF(('Activity data'!O19*EF!$H50*EF!$H68)*NtoN2O*kgtoGg=0,"NO",('Activity data'!O19*EF!$H50*EF!$H68)*NtoN2O*kgtoGg)</f>
        <v>0.20358614843156064</v>
      </c>
      <c r="P50" s="28">
        <f>IF(('Activity data'!P19*EF!$H50*EF!$H68)*NtoN2O*kgtoGg=0,"NO",('Activity data'!P19*EF!$H50*EF!$H68)*NtoN2O*kgtoGg)</f>
        <v>0.22922082424272011</v>
      </c>
      <c r="Q50" s="28">
        <f>IF(('Activity data'!Q19*EF!$H50*EF!$H68)*NtoN2O*kgtoGg=0,"NO",('Activity data'!Q19*EF!$H50*EF!$H68)*NtoN2O*kgtoGg)</f>
        <v>0.24574772569354431</v>
      </c>
      <c r="R50" s="28">
        <f>IF(('Activity data'!R19*EF!$H50*EF!$H68)*NtoN2O*kgtoGg=0,"NO",('Activity data'!R19*EF!$H50*EF!$H68)*NtoN2O*kgtoGg)</f>
        <v>0.24054072570239549</v>
      </c>
      <c r="S50" s="28">
        <f>IF(('Activity data'!S19*EF!$H50*EF!$H68)*NtoN2O*kgtoGg=0,"NO",('Activity data'!S19*EF!$H50*EF!$H68)*NtoN2O*kgtoGg)</f>
        <v>0.24695749420493165</v>
      </c>
      <c r="T50" s="28">
        <f>IF(('Activity data'!T19*EF!$H50*EF!$H68)*NtoN2O*kgtoGg=0,"NO",('Activity data'!T19*EF!$H50*EF!$H68)*NtoN2O*kgtoGg)</f>
        <v>0.24501923229562322</v>
      </c>
      <c r="U50" s="28">
        <f>IF(('Activity data'!U19*EF!$H50*EF!$H68)*NtoN2O*kgtoGg=0,"NO",('Activity data'!U19*EF!$H50*EF!$H68)*NtoN2O*kgtoGg)</f>
        <v>0.23523745158495141</v>
      </c>
      <c r="V50" s="28">
        <f>IF(('Activity data'!V19*EF!$H50*EF!$H68)*NtoN2O*kgtoGg=0,"NO",('Activity data'!V19*EF!$H50*EF!$H68)*NtoN2O*kgtoGg)</f>
        <v>0.24376740544300249</v>
      </c>
      <c r="W50" s="28">
        <f>IF(('Activity data'!W19*EF!$H50*EF!$H68)*NtoN2O*kgtoGg=0,"NO",('Activity data'!W19*EF!$H50*EF!$H68)*NtoN2O*kgtoGg)</f>
        <v>0.25846670786599002</v>
      </c>
      <c r="X50" s="28">
        <f>IF(('Activity data'!X19*EF!$H50*EF!$H68)*NtoN2O*kgtoGg=0,"NO",('Activity data'!X19*EF!$H50*EF!$H68)*NtoN2O*kgtoGg)</f>
        <v>0.28524838842815914</v>
      </c>
      <c r="Y50" s="28">
        <f>IF(('Activity data'!Y19*EF!$H50*EF!$H68)*NtoN2O*kgtoGg=0,"NO",('Activity data'!Y19*EF!$H50*EF!$H68)*NtoN2O*kgtoGg)</f>
        <v>0.3156764917693638</v>
      </c>
      <c r="Z50" s="28">
        <f>IF(('Activity data'!Z19*EF!$H50*EF!$H68)*NtoN2O*kgtoGg=0,"NO",('Activity data'!Z19*EF!$H50*EF!$H68)*NtoN2O*kgtoGg)</f>
        <v>0.31983391250576138</v>
      </c>
      <c r="AA50" s="28">
        <f>IF(('Activity data'!AA19*EF!$H50*EF!$H68)*NtoN2O*kgtoGg=0,"NO",('Activity data'!AA19*EF!$H50*EF!$H68)*NtoN2O*kgtoGg)</f>
        <v>0.30804277788191292</v>
      </c>
      <c r="AB50" s="28">
        <f>IF(('Activity data'!AB19*EF!$H50*EF!$H68)*NtoN2O*kgtoGg=0,"NO",('Activity data'!AB19*EF!$H50*EF!$H68)*NtoN2O*kgtoGg)</f>
        <v>0.32004210844863845</v>
      </c>
      <c r="AC50" s="28">
        <f>IF(('Activity data'!AC19*EF!$H50*EF!$H68)*NtoN2O*kgtoGg=0,"NO",('Activity data'!AC19*EF!$H50*EF!$H68)*NtoN2O*kgtoGg)</f>
        <v>0.33481439404248187</v>
      </c>
      <c r="AD50" s="28">
        <f>IF(('Activity data'!AD19*EF!$H50*EF!$H68)*NtoN2O*kgtoGg=0,"NO",('Activity data'!AD19*EF!$H50*EF!$H68)*NtoN2O*kgtoGg)</f>
        <v>0.32787302145104619</v>
      </c>
      <c r="AE50" s="28">
        <f>IF(('Activity data'!AE19*EF!$H50*EF!$H68)*NtoN2O*kgtoGg=0,"NO",('Activity data'!AE19*EF!$H50*EF!$H68)*NtoN2O*kgtoGg)</f>
        <v>0.33553459740979824</v>
      </c>
      <c r="AF50" s="28">
        <f>IF(('Activity data'!AF19*EF!$H50*EF!$H68)*NtoN2O*kgtoGg=0,"NO",('Activity data'!AF19*EF!$H50*EF!$H68)*NtoN2O*kgtoGg)</f>
        <v>0.34194486321864681</v>
      </c>
      <c r="AG50" s="28">
        <f>IF(('Activity data'!AG19*EF!$H50*EF!$H68)*NtoN2O*kgtoGg=0,"NO",('Activity data'!AG19*EF!$H50*EF!$H68)*NtoN2O*kgtoGg)</f>
        <v>0.34740916243831865</v>
      </c>
      <c r="AH50" s="28">
        <f>IF(('Activity data'!AH19*EF!$H50*EF!$H68)*NtoN2O*kgtoGg=0,"NO",('Activity data'!AH19*EF!$H50*EF!$H68)*NtoN2O*kgtoGg)</f>
        <v>0.35184608619097213</v>
      </c>
      <c r="AI50" s="28">
        <f>IF(('Activity data'!AI19*EF!$H50*EF!H68)*NtoN2O*kgtoGg=0,"NO",('Activity data'!AI19*EF!$H50*EF!H68)*NtoN2O*kgtoGg)</f>
        <v>0.35777993276103709</v>
      </c>
      <c r="AJ50" s="28">
        <f>IF(('Activity data'!AJ19*EF!$H50*EF!I68)*NtoN2O*kgtoGg=0,"NO",('Activity data'!AJ19*EF!$H50*EF!I68)*NtoN2O*kgtoGg)</f>
        <v>0.36345178528458066</v>
      </c>
      <c r="AK50" s="28">
        <f>IF(('Activity data'!AK19*EF!$H50*EF!J68)*NtoN2O*kgtoGg=0,"NO",('Activity data'!AK19*EF!$H50*EF!J68)*NtoN2O*kgtoGg)</f>
        <v>0.36905803314435953</v>
      </c>
      <c r="AL50" s="28">
        <f>IF(('Activity data'!AL19*EF!$H50*EF!K68)*NtoN2O*kgtoGg=0,"NO",('Activity data'!AL19*EF!$H50*EF!K68)*NtoN2O*kgtoGg)</f>
        <v>0.35166365281827422</v>
      </c>
      <c r="AM50" s="28">
        <f>IF(('Activity data'!AM19*EF!$H50*EF!L68)*NtoN2O*kgtoGg=0,"NO",('Activity data'!AM19*EF!$H50*EF!L68)*NtoN2O*kgtoGg)</f>
        <v>0.35961317699332934</v>
      </c>
      <c r="AN50" s="28">
        <f>IF(('Activity data'!AN19*EF!$H50*EF!M68)*NtoN2O*kgtoGg=0,"NO",('Activity data'!AN19*EF!$H50*EF!M68)*NtoN2O*kgtoGg)</f>
        <v>0.36733695473061823</v>
      </c>
      <c r="AO50" s="28">
        <f>IF(('Activity data'!AO19*EF!$H50*EF!N68)*NtoN2O*kgtoGg=0,"NO",('Activity data'!AO19*EF!$H50*EF!N68)*NtoN2O*kgtoGg)</f>
        <v>0.37524329927156841</v>
      </c>
      <c r="AP50" s="28">
        <f>IF(('Activity data'!AP19*EF!$H50*EF!O68)*NtoN2O*kgtoGg=0,"NO",('Activity data'!AP19*EF!$H50*EF!O68)*NtoN2O*kgtoGg)</f>
        <v>0.38363750693915188</v>
      </c>
      <c r="AQ50" s="28">
        <f>IF(('Activity data'!AQ19*EF!$H50*EF!P68)*NtoN2O*kgtoGg=0,"NO",('Activity data'!AQ19*EF!$H50*EF!P68)*NtoN2O*kgtoGg)</f>
        <v>0.39274515303868079</v>
      </c>
      <c r="AR50" s="28">
        <f>IF(('Activity data'!AR19*EF!$H50*EF!Q68)*NtoN2O*kgtoGg=0,"NO",('Activity data'!AR19*EF!$H50*EF!Q68)*NtoN2O*kgtoGg)</f>
        <v>0.40192334633313997</v>
      </c>
      <c r="AS50" s="28">
        <f>IF(('Activity data'!AS19*EF!$H50*EF!R68)*NtoN2O*kgtoGg=0,"NO",('Activity data'!AS19*EF!$H50*EF!R68)*NtoN2O*kgtoGg)</f>
        <v>0.41161764293785319</v>
      </c>
      <c r="AT50" s="28">
        <f>IF(('Activity data'!AT19*EF!$H50*EF!S68)*NtoN2O*kgtoGg=0,"NO",('Activity data'!AT19*EF!$H50*EF!S68)*NtoN2O*kgtoGg)</f>
        <v>0.42188682618271384</v>
      </c>
      <c r="AU50" s="28">
        <f>IF(('Activity data'!AU19*EF!$H50*EF!T68)*NtoN2O*kgtoGg=0,"NO",('Activity data'!AU19*EF!$H50*EF!T68)*NtoN2O*kgtoGg)</f>
        <v>0.43321089774205712</v>
      </c>
      <c r="AV50" s="28">
        <f>IF(('Activity data'!AV19*EF!$H50*EF!U68)*NtoN2O*kgtoGg=0,"NO",('Activity data'!AV19*EF!$H50*EF!U68)*NtoN2O*kgtoGg)</f>
        <v>0.44456000421625302</v>
      </c>
      <c r="AW50" s="28">
        <f>IF(('Activity data'!AW19*EF!$H50*EF!V68)*NtoN2O*kgtoGg=0,"NO",('Activity data'!AW19*EF!$H50*EF!V68)*NtoN2O*kgtoGg)</f>
        <v>0.45726562214248945</v>
      </c>
      <c r="AX50" s="28">
        <f>IF(('Activity data'!AX19*EF!$H50*EF!W68)*NtoN2O*kgtoGg=0,"NO",('Activity data'!AX19*EF!$H50*EF!W68)*NtoN2O*kgtoGg)</f>
        <v>0.4704296895169785</v>
      </c>
      <c r="AY50" s="28">
        <f>IF(('Activity data'!AY19*EF!$H50*EF!X68)*NtoN2O*kgtoGg=0,"NO",('Activity data'!AY19*EF!$H50*EF!X68)*NtoN2O*kgtoGg)</f>
        <v>0.48401033018700185</v>
      </c>
      <c r="AZ50" s="28">
        <f>IF(('Activity data'!AZ19*EF!$H50*EF!Y68)*NtoN2O*kgtoGg=0,"NO",('Activity data'!AZ19*EF!$H50*EF!Y68)*NtoN2O*kgtoGg)</f>
        <v>0.49796136946322861</v>
      </c>
      <c r="BA50" s="28">
        <f>IF(('Activity data'!BA19*EF!$H50*EF!Z68)*NtoN2O*kgtoGg=0,"NO",('Activity data'!BA19*EF!$H50*EF!Z68)*NtoN2O*kgtoGg)</f>
        <v>0.51118735877811738</v>
      </c>
      <c r="BB50" s="28">
        <f>IF(('Activity data'!BB19*EF!$H50*EF!AA68)*NtoN2O*kgtoGg=0,"NO",('Activity data'!BB19*EF!$H50*EF!AA68)*NtoN2O*kgtoGg)</f>
        <v>0.52476299581054831</v>
      </c>
      <c r="BC50" s="28">
        <f>IF(('Activity data'!BC19*EF!$H50*EF!AB68)*NtoN2O*kgtoGg=0,"NO",('Activity data'!BC19*EF!$H50*EF!AB68)*NtoN2O*kgtoGg)</f>
        <v>0.5392093792621161</v>
      </c>
      <c r="BD50" s="28">
        <f>IF(('Activity data'!BD19*EF!$H50*EF!AC68)*NtoN2O*kgtoGg=0,"NO",('Activity data'!BD19*EF!$H50*EF!AC68)*NtoN2O*kgtoGg)</f>
        <v>0.55431407014231693</v>
      </c>
      <c r="BE50" s="28">
        <f>IF(('Activity data'!BE19*EF!$H50*EF!AD68)*NtoN2O*kgtoGg=0,"NO",('Activity data'!BE19*EF!$H50*EF!AD68)*NtoN2O*kgtoGg)</f>
        <v>0.56925788802632526</v>
      </c>
      <c r="BF50" s="28">
        <f>IF(('Activity data'!BF19*EF!$H50*EF!AE68)*NtoN2O*kgtoGg=0,"NO",('Activity data'!BF19*EF!$H50*EF!AE68)*NtoN2O*kgtoGg)</f>
        <v>0.58449159076040802</v>
      </c>
      <c r="BG50" s="28">
        <f>IF(('Activity data'!BG19*EF!$H50*EF!AF68)*NtoN2O*kgtoGg=0,"NO",('Activity data'!BG19*EF!$H50*EF!AF68)*NtoN2O*kgtoGg)</f>
        <v>0.60010189940916037</v>
      </c>
      <c r="BH50" s="28">
        <f>IF(('Activity data'!BH19*EF!$H50*EF!AG68)*NtoN2O*kgtoGg=0,"NO",('Activity data'!BH19*EF!$H50*EF!AG68)*NtoN2O*kgtoGg)</f>
        <v>0.61645047424718202</v>
      </c>
      <c r="BI50" s="28">
        <f>IF(('Activity data'!BI19*EF!$H50*EF!AH68)*NtoN2O*kgtoGg=0,"NO",('Activity data'!BI19*EF!$H50*EF!AH68)*NtoN2O*kgtoGg)</f>
        <v>0.63370246466965274</v>
      </c>
      <c r="BJ50" s="28">
        <f>IF(('Activity data'!BJ19*EF!$H50*EF!AI68)*NtoN2O*kgtoGg=0,"NO",('Activity data'!BJ19*EF!$H50*EF!AI68)*NtoN2O*kgtoGg)</f>
        <v>0.65180748943749334</v>
      </c>
      <c r="BK50" s="28">
        <f>IF(('Activity data'!BK19*EF!$H50*EF!AJ68)*NtoN2O*kgtoGg=0,"NO",('Activity data'!BK19*EF!$H50*EF!AJ68)*NtoN2O*kgtoGg)</f>
        <v>0.67110886722674146</v>
      </c>
      <c r="BL50" s="28">
        <f>IF(('Activity data'!BL19*EF!$H50*EF!AK68)*NtoN2O*kgtoGg=0,"NO",('Activity data'!BL19*EF!$H50*EF!AK68)*NtoN2O*kgtoGg)</f>
        <v>0.6912392595325445</v>
      </c>
      <c r="BM50" s="28">
        <f>IF(('Activity data'!BM19*EF!$H50*EF!AL68)*NtoN2O*kgtoGg=0,"NO",('Activity data'!BM19*EF!$H50*EF!AL68)*NtoN2O*kgtoGg)</f>
        <v>0.71225913488973625</v>
      </c>
      <c r="BN50" s="28">
        <f>IF(('Activity data'!BN19*EF!$H50*EF!AM68)*NtoN2O*kgtoGg=0,"NO",('Activity data'!BN19*EF!$H50*EF!AM68)*NtoN2O*kgtoGg)</f>
        <v>0.73332668289339997</v>
      </c>
      <c r="BO50" s="28">
        <f>IF(('Activity data'!BO19*EF!$H50*EF!AN68)*NtoN2O*kgtoGg=0,"NO",('Activity data'!BO19*EF!$H50*EF!AN68)*NtoN2O*kgtoGg)</f>
        <v>0.75536820945988081</v>
      </c>
      <c r="BP50" s="28">
        <f>IF(('Activity data'!BP19*EF!$H50*EF!AO68)*NtoN2O*kgtoGg=0,"NO",('Activity data'!BP19*EF!$H50*EF!AO68)*NtoN2O*kgtoGg)</f>
        <v>0.77860965496990475</v>
      </c>
    </row>
    <row r="51" spans="1:68" x14ac:dyDescent="0.25">
      <c r="A51" t="str">
        <f t="shared" si="1"/>
        <v>3A Livestock</v>
      </c>
      <c r="B51" t="str">
        <f t="shared" si="11"/>
        <v>3A2 Manure management (N2O)</v>
      </c>
      <c r="C51" t="str">
        <f>EF!C69</f>
        <v>3A2i Poultry</v>
      </c>
      <c r="D51" t="str">
        <f>EF!D69</f>
        <v>Commercial broilers</v>
      </c>
      <c r="E51" t="str">
        <f t="shared" si="9"/>
        <v>Manure management Emissions</v>
      </c>
      <c r="F51" t="s">
        <v>139</v>
      </c>
      <c r="G51" t="str">
        <f t="shared" si="10"/>
        <v>Gg N2O</v>
      </c>
      <c r="H51" s="28">
        <f>IF(('Activity data'!H20*EF!$H51*EF!$H69)*NtoN2O*kgtoGg=0,"NO",('Activity data'!H20*EF!$H51*EF!$H69)*NtoN2O*kgtoGg)</f>
        <v>0.72930971263591093</v>
      </c>
      <c r="I51" s="28">
        <f>IF(('Activity data'!I20*EF!$H51*EF!$H69)*NtoN2O*kgtoGg=0,"NO",('Activity data'!I20*EF!$H51*EF!$H69)*NtoN2O*kgtoGg)</f>
        <v>0.68555113076259577</v>
      </c>
      <c r="J51" s="28">
        <f>IF(('Activity data'!J20*EF!$H51*EF!$H69)*NtoN2O*kgtoGg=0,"NO",('Activity data'!J20*EF!$H51*EF!$H69)*NtoN2O*kgtoGg)</f>
        <v>0.64789485942199276</v>
      </c>
      <c r="K51" s="28">
        <f>IF(('Activity data'!K20*EF!$H51*EF!$H69)*NtoN2O*kgtoGg=0,"NO",('Activity data'!K20*EF!$H51*EF!$H69)*NtoN2O*kgtoGg)</f>
        <v>0.72865140284093732</v>
      </c>
      <c r="L51" s="28">
        <f>IF(('Activity data'!L20*EF!$H51*EF!$H69)*NtoN2O*kgtoGg=0,"NO",('Activity data'!L20*EF!$H51*EF!$H69)*NtoN2O*kgtoGg)</f>
        <v>0.72181757150319903</v>
      </c>
      <c r="M51" s="28">
        <f>IF(('Activity data'!M20*EF!$H51*EF!$H69)*NtoN2O*kgtoGg=0,"NO",('Activity data'!M20*EF!$H51*EF!$H69)*NtoN2O*kgtoGg)</f>
        <v>0.82622573049281356</v>
      </c>
      <c r="N51" s="28">
        <f>IF(('Activity data'!N20*EF!$H51*EF!$H69)*NtoN2O*kgtoGg=0,"NO",('Activity data'!N20*EF!$H51*EF!$H69)*NtoN2O*kgtoGg)</f>
        <v>0.96068755914648207</v>
      </c>
      <c r="O51" s="28">
        <f>IF(('Activity data'!O20*EF!$H51*EF!$H69)*NtoN2O*kgtoGg=0,"NO",('Activity data'!O20*EF!$H51*EF!$H69)*NtoN2O*kgtoGg)</f>
        <v>0.97787012142542185</v>
      </c>
      <c r="P51" s="28">
        <f>IF(('Activity data'!P20*EF!$H51*EF!$H69)*NtoN2O*kgtoGg=0,"NO",('Activity data'!P20*EF!$H51*EF!$H69)*NtoN2O*kgtoGg)</f>
        <v>1.071484472052648</v>
      </c>
      <c r="Q51" s="28">
        <f>IF(('Activity data'!Q20*EF!$H51*EF!$H69)*NtoN2O*kgtoGg=0,"NO",('Activity data'!Q20*EF!$H51*EF!$H69)*NtoN2O*kgtoGg)</f>
        <v>1.1186177697218391</v>
      </c>
      <c r="R51" s="28">
        <f>IF(('Activity data'!R20*EF!$H51*EF!$H69)*NtoN2O*kgtoGg=0,"NO",('Activity data'!R20*EF!$H51*EF!$H69)*NtoN2O*kgtoGg)</f>
        <v>1.2035502905081028</v>
      </c>
      <c r="S51" s="28">
        <f>IF(('Activity data'!S20*EF!$H51*EF!$H69)*NtoN2O*kgtoGg=0,"NO",('Activity data'!S20*EF!$H51*EF!$H69)*NtoN2O*kgtoGg)</f>
        <v>1.1621542696380114</v>
      </c>
      <c r="T51" s="28">
        <f>IF(('Activity data'!T20*EF!$H51*EF!$H69)*NtoN2O*kgtoGg=0,"NO",('Activity data'!T20*EF!$H51*EF!$H69)*NtoN2O*kgtoGg)</f>
        <v>1.2880438918534249</v>
      </c>
      <c r="U51" s="28">
        <f>IF(('Activity data'!U20*EF!$H51*EF!$H69)*NtoN2O*kgtoGg=0,"NO",('Activity data'!U20*EF!$H51*EF!$H69)*NtoN2O*kgtoGg)</f>
        <v>1.225124187011174</v>
      </c>
      <c r="V51" s="28">
        <f>IF(('Activity data'!V20*EF!$H51*EF!$H69)*NtoN2O*kgtoGg=0,"NO",('Activity data'!V20*EF!$H51*EF!$H69)*NtoN2O*kgtoGg)</f>
        <v>1.2546997536257585</v>
      </c>
      <c r="W51" s="28">
        <f>IF(('Activity data'!W20*EF!$H51*EF!$H69)*NtoN2O*kgtoGg=0,"NO",('Activity data'!W20*EF!$H51*EF!$H69)*NtoN2O*kgtoGg)</f>
        <v>1.3882935327729005</v>
      </c>
      <c r="X51" s="28">
        <f>IF(('Activity data'!X20*EF!$H51*EF!$H69)*NtoN2O*kgtoGg=0,"NO",('Activity data'!X20*EF!$H51*EF!$H69)*NtoN2O*kgtoGg)</f>
        <v>1.4849096879687185</v>
      </c>
      <c r="Y51" s="28">
        <f>IF(('Activity data'!Y20*EF!$H51*EF!$H69)*NtoN2O*kgtoGg=0,"NO",('Activity data'!Y20*EF!$H51*EF!$H69)*NtoN2O*kgtoGg)</f>
        <v>1.5536225594206139</v>
      </c>
      <c r="Z51" s="28">
        <f>IF(('Activity data'!Z20*EF!$H51*EF!$H69)*NtoN2O*kgtoGg=0,"NO",('Activity data'!Z20*EF!$H51*EF!$H69)*NtoN2O*kgtoGg)</f>
        <v>1.6541861721500675</v>
      </c>
      <c r="AA51" s="28">
        <f>IF(('Activity data'!AA20*EF!$H51*EF!$H69)*NtoN2O*kgtoGg=0,"NO",('Activity data'!AA20*EF!$H51*EF!$H69)*NtoN2O*kgtoGg)</f>
        <v>1.5609057472739727</v>
      </c>
      <c r="AB51" s="28">
        <f>IF(('Activity data'!AB20*EF!$H51*EF!$H69)*NtoN2O*kgtoGg=0,"NO",('Activity data'!AB20*EF!$H51*EF!$H69)*NtoN2O*kgtoGg)</f>
        <v>1.6001637714485282</v>
      </c>
      <c r="AC51" s="28">
        <f>IF(('Activity data'!AC20*EF!$H51*EF!$H69)*NtoN2O*kgtoGg=0,"NO",('Activity data'!AC20*EF!$H51*EF!$H69)*NtoN2O*kgtoGg)</f>
        <v>1.6549888552911012</v>
      </c>
      <c r="AD51" s="28">
        <f>IF(('Activity data'!AD20*EF!$H51*EF!$H69)*NtoN2O*kgtoGg=0,"NO",('Activity data'!AD20*EF!$H51*EF!$H69)*NtoN2O*kgtoGg)</f>
        <v>1.7026085388860992</v>
      </c>
      <c r="AE51" s="28">
        <f>IF(('Activity data'!AE20*EF!$H51*EF!$H69)*NtoN2O*kgtoGg=0,"NO",('Activity data'!AE20*EF!$H51*EF!$H69)*NtoN2O*kgtoGg)</f>
        <v>1.738523597087162</v>
      </c>
      <c r="AF51" s="28">
        <f>IF(('Activity data'!AF20*EF!$H51*EF!$H69)*NtoN2O*kgtoGg=0,"NO",('Activity data'!AF20*EF!$H51*EF!$H69)*NtoN2O*kgtoGg)</f>
        <v>1.7559760095471586</v>
      </c>
      <c r="AG51" s="28">
        <f>IF(('Activity data'!AG20*EF!$H51*EF!$H69)*NtoN2O*kgtoGg=0,"NO",('Activity data'!AG20*EF!$H51*EF!$H69)*NtoN2O*kgtoGg)</f>
        <v>1.7595598290638883</v>
      </c>
      <c r="AH51" s="28">
        <f>IF(('Activity data'!AH20*EF!$H51*EF!$H69)*NtoN2O*kgtoGg=0,"NO",('Activity data'!AH20*EF!$H51*EF!$H69)*NtoN2O*kgtoGg)</f>
        <v>1.7485769621319847</v>
      </c>
      <c r="AI51" s="28">
        <f>IF(('Activity data'!AI20*EF!$H51*EF!H69)*NtoN2O*kgtoGg=0,"NO",('Activity data'!AI20*EF!$H51*EF!H69)*NtoN2O*kgtoGg)</f>
        <v>1.7559361307816133</v>
      </c>
      <c r="AJ51" s="28">
        <f>IF(('Activity data'!AJ20*EF!$H51*EF!I69)*NtoN2O*kgtoGg=0,"NO",('Activity data'!AJ20*EF!$H51*EF!I69)*NtoN2O*kgtoGg)</f>
        <v>1.7596735383083875</v>
      </c>
      <c r="AK51" s="28">
        <f>IF(('Activity data'!AK20*EF!$H51*EF!J69)*NtoN2O*kgtoGg=0,"NO",('Activity data'!AK20*EF!$H51*EF!J69)*NtoN2O*kgtoGg)</f>
        <v>1.7621952216985417</v>
      </c>
      <c r="AL51" s="28">
        <f>IF(('Activity data'!AL20*EF!$H51*EF!K69)*NtoN2O*kgtoGg=0,"NO",('Activity data'!AL20*EF!$H51*EF!K69)*NtoN2O*kgtoGg)</f>
        <v>1.4767258568874091</v>
      </c>
      <c r="AM51" s="28">
        <f>IF(('Activity data'!AM20*EF!$H51*EF!L69)*NtoN2O*kgtoGg=0,"NO",('Activity data'!AM20*EF!$H51*EF!L69)*NtoN2O*kgtoGg)</f>
        <v>1.5248068878433103</v>
      </c>
      <c r="AN51" s="28">
        <f>IF(('Activity data'!AN20*EF!$H51*EF!M69)*NtoN2O*kgtoGg=0,"NO",('Activity data'!AN20*EF!$H51*EF!M69)*NtoN2O*kgtoGg)</f>
        <v>1.569134290739443</v>
      </c>
      <c r="AO51" s="28">
        <f>IF(('Activity data'!AO20*EF!$H51*EF!N69)*NtoN2O*kgtoGg=0,"NO",('Activity data'!AO20*EF!$H51*EF!N69)*NtoN2O*kgtoGg)</f>
        <v>1.6147761095201443</v>
      </c>
      <c r="AP51" s="28">
        <f>IF(('Activity data'!AP20*EF!$H51*EF!O69)*NtoN2O*kgtoGg=0,"NO",('Activity data'!AP20*EF!$H51*EF!O69)*NtoN2O*kgtoGg)</f>
        <v>1.6653779718963373</v>
      </c>
      <c r="AQ51" s="28">
        <f>IF(('Activity data'!AQ20*EF!$H51*EF!P69)*NtoN2O*kgtoGg=0,"NO",('Activity data'!AQ20*EF!$H51*EF!P69)*NtoN2O*kgtoGg)</f>
        <v>1.7235106523885275</v>
      </c>
      <c r="AR51" s="28">
        <f>IF(('Activity data'!AR20*EF!$H51*EF!Q69)*NtoN2O*kgtoGg=0,"NO",('Activity data'!AR20*EF!$H51*EF!Q69)*NtoN2O*kgtoGg)</f>
        <v>1.7866859004565905</v>
      </c>
      <c r="AS51" s="28">
        <f>IF(('Activity data'!AS20*EF!$H51*EF!R69)*NtoN2O*kgtoGg=0,"NO",('Activity data'!AS20*EF!$H51*EF!R69)*NtoN2O*kgtoGg)</f>
        <v>1.8548668603526877</v>
      </c>
      <c r="AT51" s="28">
        <f>IF(('Activity data'!AT20*EF!$H51*EF!S69)*NtoN2O*kgtoGg=0,"NO",('Activity data'!AT20*EF!$H51*EF!S69)*NtoN2O*kgtoGg)</f>
        <v>1.9286307387509338</v>
      </c>
      <c r="AU51" s="28">
        <f>IF(('Activity data'!AU20*EF!$H51*EF!T69)*NtoN2O*kgtoGg=0,"NO",('Activity data'!AU20*EF!$H51*EF!T69)*NtoN2O*kgtoGg)</f>
        <v>2.0134174410078085</v>
      </c>
      <c r="AV51" s="28">
        <f>IF(('Activity data'!AV20*EF!$H51*EF!U69)*NtoN2O*kgtoGg=0,"NO",('Activity data'!AV20*EF!$H51*EF!U69)*NtoN2O*kgtoGg)</f>
        <v>2.0971563960172919</v>
      </c>
      <c r="AW51" s="28">
        <f>IF(('Activity data'!AW20*EF!$H51*EF!V69)*NtoN2O*kgtoGg=0,"NO",('Activity data'!AW20*EF!$H51*EF!V69)*NtoN2O*kgtoGg)</f>
        <v>2.1993029653056388</v>
      </c>
      <c r="AX51" s="28">
        <f>IF(('Activity data'!AX20*EF!$H51*EF!W69)*NtoN2O*kgtoGg=0,"NO",('Activity data'!AX20*EF!$H51*EF!W69)*NtoN2O*kgtoGg)</f>
        <v>2.3051830796912465</v>
      </c>
      <c r="AY51" s="28">
        <f>IF(('Activity data'!AY20*EF!$H51*EF!X69)*NtoN2O*kgtoGg=0,"NO",('Activity data'!AY20*EF!$H51*EF!X69)*NtoN2O*kgtoGg)</f>
        <v>2.4142657423761831</v>
      </c>
      <c r="AZ51" s="28">
        <f>IF(('Activity data'!AZ20*EF!$H51*EF!Y69)*NtoN2O*kgtoGg=0,"NO",('Activity data'!AZ20*EF!$H51*EF!Y69)*NtoN2O*kgtoGg)</f>
        <v>2.525987394233236</v>
      </c>
      <c r="BA51" s="28">
        <f>IF(('Activity data'!BA20*EF!$H51*EF!Z69)*NtoN2O*kgtoGg=0,"NO",('Activity data'!BA20*EF!$H51*EF!Z69)*NtoN2O*kgtoGg)</f>
        <v>2.6281558331093851</v>
      </c>
      <c r="BB51" s="28">
        <f>IF(('Activity data'!BB20*EF!$H51*EF!AA69)*NtoN2O*kgtoGg=0,"NO",('Activity data'!BB20*EF!$H51*EF!AA69)*NtoN2O*kgtoGg)</f>
        <v>2.7367656932200242</v>
      </c>
      <c r="BC51" s="28">
        <f>IF(('Activity data'!BC20*EF!$H51*EF!AB69)*NtoN2O*kgtoGg=0,"NO",('Activity data'!BC20*EF!$H51*EF!AB69)*NtoN2O*kgtoGg)</f>
        <v>2.8535602098767838</v>
      </c>
      <c r="BD51" s="28">
        <f>IF(('Activity data'!BD20*EF!$H51*EF!AC69)*NtoN2O*kgtoGg=0,"NO",('Activity data'!BD20*EF!$H51*EF!AC69)*NtoN2O*kgtoGg)</f>
        <v>2.9760868749225327</v>
      </c>
      <c r="BE51" s="28">
        <f>IF(('Activity data'!BE20*EF!$H51*EF!AD69)*NtoN2O*kgtoGg=0,"NO",('Activity data'!BE20*EF!$H51*EF!AD69)*NtoN2O*kgtoGg)</f>
        <v>3.0953934113995394</v>
      </c>
      <c r="BF51" s="28">
        <f>IF(('Activity data'!BF20*EF!$H51*EF!AE69)*NtoN2O*kgtoGg=0,"NO",('Activity data'!BF20*EF!$H51*EF!AE69)*NtoN2O*kgtoGg)</f>
        <v>3.2164008887878737</v>
      </c>
      <c r="BG51" s="28">
        <f>IF(('Activity data'!BG20*EF!$H51*EF!AF69)*NtoN2O*kgtoGg=0,"NO",('Activity data'!BG20*EF!$H51*EF!AF69)*NtoN2O*kgtoGg)</f>
        <v>3.3436469557973951</v>
      </c>
      <c r="BH51" s="28">
        <f>IF(('Activity data'!BH20*EF!$H51*EF!AG69)*NtoN2O*kgtoGg=0,"NO",('Activity data'!BH20*EF!$H51*EF!AG69)*NtoN2O*kgtoGg)</f>
        <v>3.4773208610408175</v>
      </c>
      <c r="BI51" s="28">
        <f>IF(('Activity data'!BI20*EF!$H51*EF!AH69)*NtoN2O*kgtoGg=0,"NO",('Activity data'!BI20*EF!$H51*EF!AH69)*NtoN2O*kgtoGg)</f>
        <v>3.6190700569130669</v>
      </c>
      <c r="BJ51" s="28">
        <f>IF(('Activity data'!BJ20*EF!$H51*EF!AI69)*NtoN2O*kgtoGg=0,"NO",('Activity data'!BJ20*EF!$H51*EF!AI69)*NtoN2O*kgtoGg)</f>
        <v>3.7682423545116617</v>
      </c>
      <c r="BK51" s="28">
        <f>IF(('Activity data'!BK20*EF!$H51*EF!AJ69)*NtoN2O*kgtoGg=0,"NO",('Activity data'!BK20*EF!$H51*EF!AJ69)*NtoN2O*kgtoGg)</f>
        <v>3.9283138895086798</v>
      </c>
      <c r="BL51" s="28">
        <f>IF(('Activity data'!BL20*EF!$H51*EF!AK69)*NtoN2O*kgtoGg=0,"NO",('Activity data'!BL20*EF!$H51*EF!AK69)*NtoN2O*kgtoGg)</f>
        <v>4.0989271278644566</v>
      </c>
      <c r="BM51" s="28">
        <f>IF(('Activity data'!BM20*EF!$H51*EF!AL69)*NtoN2O*kgtoGg=0,"NO",('Activity data'!BM20*EF!$H51*EF!AL69)*NtoN2O*kgtoGg)</f>
        <v>4.2769894903593135</v>
      </c>
      <c r="BN51" s="28">
        <f>IF(('Activity data'!BN20*EF!$H51*EF!AM69)*NtoN2O*kgtoGg=0,"NO",('Activity data'!BN20*EF!$H51*EF!AM69)*NtoN2O*kgtoGg)</f>
        <v>4.453750053553299</v>
      </c>
      <c r="BO51" s="28">
        <f>IF(('Activity data'!BO20*EF!$H51*EF!AN69)*NtoN2O*kgtoGg=0,"NO",('Activity data'!BO20*EF!$H51*EF!AN69)*NtoN2O*kgtoGg)</f>
        <v>4.638714075640209</v>
      </c>
      <c r="BP51" s="28">
        <f>IF(('Activity data'!BP20*EF!$H51*EF!AO69)*NtoN2O*kgtoGg=0,"NO",('Activity data'!BP20*EF!$H51*EF!AO69)*NtoN2O*kgtoGg)</f>
        <v>4.8340671518977674</v>
      </c>
    </row>
    <row r="52" spans="1:68" x14ac:dyDescent="0.25">
      <c r="A52" t="str">
        <f t="shared" si="1"/>
        <v>3A Livestock</v>
      </c>
      <c r="B52" t="str">
        <f t="shared" si="11"/>
        <v>3A2 Manure management (N2O)</v>
      </c>
      <c r="C52" t="str">
        <f>EF!C70</f>
        <v>3A2i Poultry</v>
      </c>
      <c r="D52" t="str">
        <f>EF!D70</f>
        <v>Subsistence layers</v>
      </c>
      <c r="E52" t="str">
        <f t="shared" si="9"/>
        <v>Manure management Emissions</v>
      </c>
      <c r="F52" t="s">
        <v>139</v>
      </c>
      <c r="G52" t="str">
        <f t="shared" si="10"/>
        <v>Gg N2O</v>
      </c>
      <c r="H52" s="28">
        <f>IF(('Activity data'!H21*EF!$H52*EF!$H70)*NtoN2O*kgtoGg=0,"NO",('Activity data'!H21*EF!$H52*EF!$H70)*NtoN2O*kgtoGg)</f>
        <v>8.5243760509896623E-3</v>
      </c>
      <c r="I52" s="28">
        <f>IF(('Activity data'!I21*EF!$H52*EF!$H70)*NtoN2O*kgtoGg=0,"NO",('Activity data'!I21*EF!$H52*EF!$H70)*NtoN2O*kgtoGg)</f>
        <v>8.2813036260724598E-3</v>
      </c>
      <c r="J52" s="28">
        <f>IF(('Activity data'!J21*EF!$H52*EF!$H70)*NtoN2O*kgtoGg=0,"NO",('Activity data'!J21*EF!$H52*EF!$H70)*NtoN2O*kgtoGg)</f>
        <v>7.8542404359692557E-3</v>
      </c>
      <c r="K52" s="28">
        <f>IF(('Activity data'!K21*EF!$H52*EF!$H70)*NtoN2O*kgtoGg=0,"NO",('Activity data'!K21*EF!$H52*EF!$H70)*NtoN2O*kgtoGg)</f>
        <v>7.7307463298428268E-3</v>
      </c>
      <c r="L52" s="28">
        <f>IF(('Activity data'!L21*EF!$H52*EF!$H70)*NtoN2O*kgtoGg=0,"NO",('Activity data'!L21*EF!$H52*EF!$H70)*NtoN2O*kgtoGg)</f>
        <v>7.394486699027595E-3</v>
      </c>
      <c r="M52" s="28">
        <f>IF(('Activity data'!M21*EF!$H52*EF!$H70)*NtoN2O*kgtoGg=0,"NO",('Activity data'!M21*EF!$H52*EF!$H70)*NtoN2O*kgtoGg)</f>
        <v>8.0683053341030469E-3</v>
      </c>
      <c r="N52" s="28">
        <f>IF(('Activity data'!N21*EF!$H52*EF!$H70)*NtoN2O*kgtoGg=0,"NO",('Activity data'!N21*EF!$H52*EF!$H70)*NtoN2O*kgtoGg)</f>
        <v>8.5225928029387995E-3</v>
      </c>
      <c r="O52" s="28">
        <f>IF(('Activity data'!O21*EF!$H52*EF!$H70)*NtoN2O*kgtoGg=0,"NO",('Activity data'!O21*EF!$H52*EF!$H70)*NtoN2O*kgtoGg)</f>
        <v>8.55061823412555E-3</v>
      </c>
      <c r="P52" s="28">
        <f>IF(('Activity data'!P21*EF!$H52*EF!$H70)*NtoN2O*kgtoGg=0,"NO",('Activity data'!P21*EF!$H52*EF!$H70)*NtoN2O*kgtoGg)</f>
        <v>9.627274618194244E-3</v>
      </c>
      <c r="Q52" s="28">
        <f>IF(('Activity data'!Q21*EF!$H52*EF!$H70)*NtoN2O*kgtoGg=0,"NO",('Activity data'!Q21*EF!$H52*EF!$H70)*NtoN2O*kgtoGg)</f>
        <v>1.0321404479128861E-2</v>
      </c>
      <c r="R52" s="28">
        <f>IF(('Activity data'!R21*EF!$H52*EF!$H70)*NtoN2O*kgtoGg=0,"NO",('Activity data'!R21*EF!$H52*EF!$H70)*NtoN2O*kgtoGg)</f>
        <v>1.010271047950061E-2</v>
      </c>
      <c r="S52" s="28">
        <f>IF(('Activity data'!S21*EF!$H52*EF!$H70)*NtoN2O*kgtoGg=0,"NO",('Activity data'!S21*EF!$H52*EF!$H70)*NtoN2O*kgtoGg)</f>
        <v>1.0372214756607131E-2</v>
      </c>
      <c r="T52" s="28">
        <f>IF(('Activity data'!T21*EF!$H52*EF!$H70)*NtoN2O*kgtoGg=0,"NO",('Activity data'!T21*EF!$H52*EF!$H70)*NtoN2O*kgtoGg)</f>
        <v>1.0290807756416174E-2</v>
      </c>
      <c r="U52" s="28">
        <f>IF(('Activity data'!U21*EF!$H52*EF!$H70)*NtoN2O*kgtoGg=0,"NO",('Activity data'!U21*EF!$H52*EF!$H70)*NtoN2O*kgtoGg)</f>
        <v>9.8799729665679584E-3</v>
      </c>
      <c r="V52" s="28">
        <f>IF(('Activity data'!V21*EF!$H52*EF!$H70)*NtoN2O*kgtoGg=0,"NO",('Activity data'!V21*EF!$H52*EF!$H70)*NtoN2O*kgtoGg)</f>
        <v>1.0238231028606104E-2</v>
      </c>
      <c r="W52" s="28">
        <f>IF(('Activity data'!W21*EF!$H52*EF!$H70)*NtoN2O*kgtoGg=0,"NO",('Activity data'!W21*EF!$H52*EF!$H70)*NtoN2O*kgtoGg)</f>
        <v>1.085560173037158E-2</v>
      </c>
      <c r="X52" s="28">
        <f>IF(('Activity data'!X21*EF!$H52*EF!$H70)*NtoN2O*kgtoGg=0,"NO",('Activity data'!X21*EF!$H52*EF!$H70)*NtoN2O*kgtoGg)</f>
        <v>1.1980432313982685E-2</v>
      </c>
      <c r="Y52" s="28">
        <f>IF(('Activity data'!Y21*EF!$H52*EF!$H70)*NtoN2O*kgtoGg=0,"NO",('Activity data'!Y21*EF!$H52*EF!$H70)*NtoN2O*kgtoGg)</f>
        <v>1.3258412654313281E-2</v>
      </c>
      <c r="Z52" s="28">
        <f>IF(('Activity data'!Z21*EF!$H52*EF!$H70)*NtoN2O*kgtoGg=0,"NO",('Activity data'!Z21*EF!$H52*EF!$H70)*NtoN2O*kgtoGg)</f>
        <v>1.3433024325241976E-2</v>
      </c>
      <c r="AA52" s="28">
        <f>IF(('Activity data'!AA21*EF!$H52*EF!$H70)*NtoN2O*kgtoGg=0,"NO",('Activity data'!AA21*EF!$H52*EF!$H70)*NtoN2O*kgtoGg)</f>
        <v>1.2937796671040344E-2</v>
      </c>
      <c r="AB52" s="28">
        <f>IF(('Activity data'!AB21*EF!$H52*EF!$H70)*NtoN2O*kgtoGg=0,"NO",('Activity data'!AB21*EF!$H52*EF!$H70)*NtoN2O*kgtoGg)</f>
        <v>1.3441768554842816E-2</v>
      </c>
      <c r="AC52" s="28">
        <f>IF(('Activity data'!AC21*EF!$H52*EF!$H70)*NtoN2O*kgtoGg=0,"NO",('Activity data'!AC21*EF!$H52*EF!$H70)*NtoN2O*kgtoGg)</f>
        <v>1.4062204549784241E-2</v>
      </c>
      <c r="AD52" s="28">
        <f>IF(('Activity data'!AD21*EF!$H52*EF!$H70)*NtoN2O*kgtoGg=0,"NO",('Activity data'!AD21*EF!$H52*EF!$H70)*NtoN2O*kgtoGg)</f>
        <v>1.3661375893793603E-2</v>
      </c>
      <c r="AE52" s="28">
        <f>IF(('Activity data'!AE21*EF!$H52*EF!$H70)*NtoN2O*kgtoGg=0,"NO",('Activity data'!AE21*EF!$H52*EF!$H70)*NtoN2O*kgtoGg)</f>
        <v>1.398060822540827E-2</v>
      </c>
      <c r="AF52" s="28">
        <f>IF(('Activity data'!AF21*EF!$H52*EF!$H70)*NtoN2O*kgtoGg=0,"NO",('Activity data'!AF21*EF!$H52*EF!$H70)*NtoN2O*kgtoGg)</f>
        <v>1.4247702634110296E-2</v>
      </c>
      <c r="AG52" s="28">
        <f>IF(('Activity data'!AG21*EF!$H52*EF!$H70)*NtoN2O*kgtoGg=0,"NO",('Activity data'!AG21*EF!$H52*EF!$H70)*NtoN2O*kgtoGg)</f>
        <v>1.447538176826329E-2</v>
      </c>
      <c r="AH52" s="28">
        <f>IF(('Activity data'!AH21*EF!$H52*EF!$H70)*NtoN2O*kgtoGg=0,"NO",('Activity data'!AH21*EF!$H52*EF!$H70)*NtoN2O*kgtoGg)</f>
        <v>1.4660253591290518E-2</v>
      </c>
      <c r="AI52" s="28">
        <f>IF(('Activity data'!AI21*EF!$H52*EF!H70)*NtoN2O*kgtoGg=0,"NO",('Activity data'!AI21*EF!$H52*EF!H70)*NtoN2O*kgtoGg)</f>
        <v>1.4907497198376557E-2</v>
      </c>
      <c r="AJ52" s="28">
        <f>IF(('Activity data'!AJ21*EF!$H52*EF!I70)*NtoN2O*kgtoGg=0,"NO",('Activity data'!AJ21*EF!$H52*EF!I70)*NtoN2O*kgtoGg)</f>
        <v>1.5143824386857541E-2</v>
      </c>
      <c r="AK52" s="28">
        <f>IF(('Activity data'!AK21*EF!$H52*EF!J70)*NtoN2O*kgtoGg=0,"NO",('Activity data'!AK21*EF!$H52*EF!J70)*NtoN2O*kgtoGg)</f>
        <v>1.5377418047681661E-2</v>
      </c>
      <c r="AL52" s="28">
        <f>IF(('Activity data'!AL21*EF!$H52*EF!K70)*NtoN2O*kgtoGg=0,"NO",('Activity data'!AL21*EF!$H52*EF!K70)*NtoN2O*kgtoGg)</f>
        <v>1.4652652200761439E-2</v>
      </c>
      <c r="AM52" s="28">
        <f>IF(('Activity data'!AM21*EF!$H52*EF!L70)*NtoN2O*kgtoGg=0,"NO",('Activity data'!AM21*EF!$H52*EF!L70)*NtoN2O*kgtoGg)</f>
        <v>1.4983882374722073E-2</v>
      </c>
      <c r="AN52" s="28">
        <f>IF(('Activity data'!AN21*EF!$H52*EF!M70)*NtoN2O*kgtoGg=0,"NO",('Activity data'!AN21*EF!$H52*EF!M70)*NtoN2O*kgtoGg)</f>
        <v>1.5305706447109109E-2</v>
      </c>
      <c r="AO52" s="28">
        <f>IF(('Activity data'!AO21*EF!$H52*EF!N70)*NtoN2O*kgtoGg=0,"NO",('Activity data'!AO21*EF!$H52*EF!N70)*NtoN2O*kgtoGg)</f>
        <v>1.5635137469648699E-2</v>
      </c>
      <c r="AP52" s="28">
        <f>IF(('Activity data'!AP21*EF!$H52*EF!O70)*NtoN2O*kgtoGg=0,"NO",('Activity data'!AP21*EF!$H52*EF!O70)*NtoN2O*kgtoGg)</f>
        <v>1.5984896122464676E-2</v>
      </c>
      <c r="AQ52" s="28">
        <f>IF(('Activity data'!AQ21*EF!$H52*EF!P70)*NtoN2O*kgtoGg=0,"NO",('Activity data'!AQ21*EF!$H52*EF!P70)*NtoN2O*kgtoGg)</f>
        <v>1.6364381376611715E-2</v>
      </c>
      <c r="AR52" s="28">
        <f>IF(('Activity data'!AR21*EF!$H52*EF!Q70)*NtoN2O*kgtoGg=0,"NO",('Activity data'!AR21*EF!$H52*EF!Q70)*NtoN2O*kgtoGg)</f>
        <v>1.6746806097214181E-2</v>
      </c>
      <c r="AS52" s="28">
        <f>IF(('Activity data'!AS21*EF!$H52*EF!R70)*NtoN2O*kgtoGg=0,"NO",('Activity data'!AS21*EF!$H52*EF!R70)*NtoN2O*kgtoGg)</f>
        <v>1.7150735122410568E-2</v>
      </c>
      <c r="AT52" s="28">
        <f>IF(('Activity data'!AT21*EF!$H52*EF!S70)*NtoN2O*kgtoGg=0,"NO",('Activity data'!AT21*EF!$H52*EF!S70)*NtoN2O*kgtoGg)</f>
        <v>1.7578617757613092E-2</v>
      </c>
      <c r="AU52" s="28">
        <f>IF(('Activity data'!AU21*EF!$H52*EF!T70)*NtoN2O*kgtoGg=0,"NO",('Activity data'!AU21*EF!$H52*EF!T70)*NtoN2O*kgtoGg)</f>
        <v>1.805045407258573E-2</v>
      </c>
      <c r="AV52" s="28">
        <f>IF(('Activity data'!AV21*EF!$H52*EF!U70)*NtoN2O*kgtoGg=0,"NO",('Activity data'!AV21*EF!$H52*EF!U70)*NtoN2O*kgtoGg)</f>
        <v>1.8523333509010559E-2</v>
      </c>
      <c r="AW52" s="28">
        <f>IF(('Activity data'!AW21*EF!$H52*EF!V70)*NtoN2O*kgtoGg=0,"NO",('Activity data'!AW21*EF!$H52*EF!V70)*NtoN2O*kgtoGg)</f>
        <v>1.9052734255937079E-2</v>
      </c>
      <c r="AX52" s="28">
        <f>IF(('Activity data'!AX21*EF!$H52*EF!W70)*NtoN2O*kgtoGg=0,"NO",('Activity data'!AX21*EF!$H52*EF!W70)*NtoN2O*kgtoGg)</f>
        <v>1.960123706320745E-2</v>
      </c>
      <c r="AY52" s="28">
        <f>IF(('Activity data'!AY21*EF!$H52*EF!X70)*NtoN2O*kgtoGg=0,"NO",('Activity data'!AY21*EF!$H52*EF!X70)*NtoN2O*kgtoGg)</f>
        <v>2.0167097091125095E-2</v>
      </c>
      <c r="AZ52" s="28">
        <f>IF(('Activity data'!AZ21*EF!$H52*EF!Y70)*NtoN2O*kgtoGg=0,"NO",('Activity data'!AZ21*EF!$H52*EF!Y70)*NtoN2O*kgtoGg)</f>
        <v>2.0748390394301208E-2</v>
      </c>
      <c r="BA52" s="28">
        <f>IF(('Activity data'!BA21*EF!$H52*EF!Z70)*NtoN2O*kgtoGg=0,"NO",('Activity data'!BA21*EF!$H52*EF!Z70)*NtoN2O*kgtoGg)</f>
        <v>2.1299473282421579E-2</v>
      </c>
      <c r="BB52" s="28">
        <f>IF(('Activity data'!BB21*EF!$H52*EF!AA70)*NtoN2O*kgtoGg=0,"NO",('Activity data'!BB21*EF!$H52*EF!AA70)*NtoN2O*kgtoGg)</f>
        <v>2.1865124825439529E-2</v>
      </c>
      <c r="BC52" s="28">
        <f>IF(('Activity data'!BC21*EF!$H52*EF!AB70)*NtoN2O*kgtoGg=0,"NO",('Activity data'!BC21*EF!$H52*EF!AB70)*NtoN2O*kgtoGg)</f>
        <v>2.2467057469254859E-2</v>
      </c>
      <c r="BD52" s="28">
        <f>IF(('Activity data'!BD21*EF!$H52*EF!AC70)*NtoN2O*kgtoGg=0,"NO",('Activity data'!BD21*EF!$H52*EF!AC70)*NtoN2O*kgtoGg)</f>
        <v>2.3096419589263225E-2</v>
      </c>
      <c r="BE52" s="28">
        <f>IF(('Activity data'!BE21*EF!$H52*EF!AD70)*NtoN2O*kgtoGg=0,"NO",('Activity data'!BE21*EF!$H52*EF!AD70)*NtoN2O*kgtoGg)</f>
        <v>2.3719078667763575E-2</v>
      </c>
      <c r="BF52" s="28">
        <f>IF(('Activity data'!BF21*EF!$H52*EF!AE70)*NtoN2O*kgtoGg=0,"NO",('Activity data'!BF21*EF!$H52*EF!AE70)*NtoN2O*kgtoGg)</f>
        <v>2.4353816281683691E-2</v>
      </c>
      <c r="BG52" s="28">
        <f>IF(('Activity data'!BG21*EF!$H52*EF!AF70)*NtoN2O*kgtoGg=0,"NO",('Activity data'!BG21*EF!$H52*EF!AF70)*NtoN2O*kgtoGg)</f>
        <v>2.5004245808715037E-2</v>
      </c>
      <c r="BH52" s="28">
        <f>IF(('Activity data'!BH21*EF!$H52*EF!AG70)*NtoN2O*kgtoGg=0,"NO",('Activity data'!BH21*EF!$H52*EF!AG70)*NtoN2O*kgtoGg)</f>
        <v>2.5685436426965937E-2</v>
      </c>
      <c r="BI52" s="28">
        <f>IF(('Activity data'!BI21*EF!$H52*EF!AH70)*NtoN2O*kgtoGg=0,"NO",('Activity data'!BI21*EF!$H52*EF!AH70)*NtoN2O*kgtoGg)</f>
        <v>2.6404269361235553E-2</v>
      </c>
      <c r="BJ52" s="28">
        <f>IF(('Activity data'!BJ21*EF!$H52*EF!AI70)*NtoN2O*kgtoGg=0,"NO",('Activity data'!BJ21*EF!$H52*EF!AI70)*NtoN2O*kgtoGg)</f>
        <v>2.7158645393228917E-2</v>
      </c>
      <c r="BK52" s="28">
        <f>IF(('Activity data'!BK21*EF!$H52*EF!AJ70)*NtoN2O*kgtoGg=0,"NO",('Activity data'!BK21*EF!$H52*EF!AJ70)*NtoN2O*kgtoGg)</f>
        <v>2.7962869467780919E-2</v>
      </c>
      <c r="BL52" s="28">
        <f>IF(('Activity data'!BL21*EF!$H52*EF!AK70)*NtoN2O*kgtoGg=0,"NO",('Activity data'!BL21*EF!$H52*EF!AK70)*NtoN2O*kgtoGg)</f>
        <v>2.8801635813856044E-2</v>
      </c>
      <c r="BM52" s="28">
        <f>IF(('Activity data'!BM21*EF!$H52*EF!AL70)*NtoN2O*kgtoGg=0,"NO",('Activity data'!BM21*EF!$H52*EF!AL70)*NtoN2O*kgtoGg)</f>
        <v>2.9677463953739033E-2</v>
      </c>
      <c r="BN52" s="28">
        <f>IF(('Activity data'!BN21*EF!$H52*EF!AM70)*NtoN2O*kgtoGg=0,"NO",('Activity data'!BN21*EF!$H52*EF!AM70)*NtoN2O*kgtoGg)</f>
        <v>3.05552784538917E-2</v>
      </c>
      <c r="BO52" s="28">
        <f>IF(('Activity data'!BO21*EF!$H52*EF!AN70)*NtoN2O*kgtoGg=0,"NO",('Activity data'!BO21*EF!$H52*EF!AN70)*NtoN2O*kgtoGg)</f>
        <v>3.1473675394161731E-2</v>
      </c>
      <c r="BP52" s="28">
        <f>IF(('Activity data'!BP21*EF!$H52*EF!AO70)*NtoN2O*kgtoGg=0,"NO",('Activity data'!BP21*EF!$H52*EF!AO70)*NtoN2O*kgtoGg)</f>
        <v>3.2442068957079399E-2</v>
      </c>
    </row>
    <row r="53" spans="1:68" x14ac:dyDescent="0.25">
      <c r="A53" t="str">
        <f t="shared" si="1"/>
        <v>3A Livestock</v>
      </c>
      <c r="B53" t="str">
        <f t="shared" si="11"/>
        <v>3A2 Manure management (N2O)</v>
      </c>
      <c r="C53" t="str">
        <f>EF!C71</f>
        <v>3A2i Poultry</v>
      </c>
      <c r="D53" t="str">
        <f>EF!D71</f>
        <v>Subsistence broilers</v>
      </c>
      <c r="E53" t="str">
        <f t="shared" si="9"/>
        <v>Manure management Emissions</v>
      </c>
      <c r="F53" t="s">
        <v>139</v>
      </c>
      <c r="G53" t="str">
        <f t="shared" si="10"/>
        <v>Gg N2O</v>
      </c>
      <c r="H53" s="28">
        <f>IF(('Activity data'!H22*EF!$H53*EF!$H71)*NtoN2O*kgtoGg=0,"NO",('Activity data'!H22*EF!$H53*EF!$H71)*NtoN2O*kgtoGg)</f>
        <v>3.0631007930708259E-2</v>
      </c>
      <c r="I53" s="28">
        <f>IF(('Activity data'!I22*EF!$H53*EF!$H71)*NtoN2O*kgtoGg=0,"NO",('Activity data'!I22*EF!$H53*EF!$H71)*NtoN2O*kgtoGg)</f>
        <v>2.8793147492029023E-2</v>
      </c>
      <c r="J53" s="28">
        <f>IF(('Activity data'!J22*EF!$H53*EF!$H71)*NtoN2O*kgtoGg=0,"NO",('Activity data'!J22*EF!$H53*EF!$H71)*NtoN2O*kgtoGg)</f>
        <v>2.7211584095723697E-2</v>
      </c>
      <c r="K53" s="28">
        <f>IF(('Activity data'!K22*EF!$H53*EF!$H71)*NtoN2O*kgtoGg=0,"NO",('Activity data'!K22*EF!$H53*EF!$H71)*NtoN2O*kgtoGg)</f>
        <v>3.0603358919319371E-2</v>
      </c>
      <c r="L53" s="28">
        <f>IF(('Activity data'!L22*EF!$H53*EF!$H71)*NtoN2O*kgtoGg=0,"NO",('Activity data'!L22*EF!$H53*EF!$H71)*NtoN2O*kgtoGg)</f>
        <v>3.0316338003134366E-2</v>
      </c>
      <c r="M53" s="28">
        <f>IF(('Activity data'!M22*EF!$H53*EF!$H71)*NtoN2O*kgtoGg=0,"NO",('Activity data'!M22*EF!$H53*EF!$H71)*NtoN2O*kgtoGg)</f>
        <v>3.4701480680698171E-2</v>
      </c>
      <c r="N53" s="28">
        <f>IF(('Activity data'!N22*EF!$H53*EF!$H71)*NtoN2O*kgtoGg=0,"NO",('Activity data'!N22*EF!$H53*EF!$H71)*NtoN2O*kgtoGg)</f>
        <v>4.0348877484152244E-2</v>
      </c>
      <c r="O53" s="28">
        <f>IF(('Activity data'!O22*EF!$H53*EF!$H71)*NtoN2O*kgtoGg=0,"NO",('Activity data'!O22*EF!$H53*EF!$H71)*NtoN2O*kgtoGg)</f>
        <v>4.1070545099867725E-2</v>
      </c>
      <c r="P53" s="28">
        <f>IF(('Activity data'!P22*EF!$H53*EF!$H71)*NtoN2O*kgtoGg=0,"NO",('Activity data'!P22*EF!$H53*EF!$H71)*NtoN2O*kgtoGg)</f>
        <v>4.5002347826211216E-2</v>
      </c>
      <c r="Q53" s="28">
        <f>IF(('Activity data'!Q22*EF!$H53*EF!$H71)*NtoN2O*kgtoGg=0,"NO",('Activity data'!Q22*EF!$H53*EF!$H71)*NtoN2O*kgtoGg)</f>
        <v>4.6981946328317245E-2</v>
      </c>
      <c r="R53" s="28">
        <f>IF(('Activity data'!R22*EF!$H53*EF!$H71)*NtoN2O*kgtoGg=0,"NO",('Activity data'!R22*EF!$H53*EF!$H71)*NtoN2O*kgtoGg)</f>
        <v>5.0549112201340313E-2</v>
      </c>
      <c r="S53" s="28">
        <f>IF(('Activity data'!S22*EF!$H53*EF!$H71)*NtoN2O*kgtoGg=0,"NO",('Activity data'!S22*EF!$H53*EF!$H71)*NtoN2O*kgtoGg)</f>
        <v>4.8810479324796478E-2</v>
      </c>
      <c r="T53" s="28">
        <f>IF(('Activity data'!T22*EF!$H53*EF!$H71)*NtoN2O*kgtoGg=0,"NO",('Activity data'!T22*EF!$H53*EF!$H71)*NtoN2O*kgtoGg)</f>
        <v>5.4097843457843853E-2</v>
      </c>
      <c r="U53" s="28">
        <f>IF(('Activity data'!U22*EF!$H53*EF!$H71)*NtoN2O*kgtoGg=0,"NO",('Activity data'!U22*EF!$H53*EF!$H71)*NtoN2O*kgtoGg)</f>
        <v>5.1455215854469313E-2</v>
      </c>
      <c r="V53" s="28">
        <f>IF(('Activity data'!V22*EF!$H53*EF!$H71)*NtoN2O*kgtoGg=0,"NO",('Activity data'!V22*EF!$H53*EF!$H71)*NtoN2O*kgtoGg)</f>
        <v>5.2697389652281851E-2</v>
      </c>
      <c r="W53" s="28">
        <f>IF(('Activity data'!W22*EF!$H53*EF!$H71)*NtoN2O*kgtoGg=0,"NO",('Activity data'!W22*EF!$H53*EF!$H71)*NtoN2O*kgtoGg)</f>
        <v>5.8308328376461827E-2</v>
      </c>
      <c r="X53" s="28">
        <f>IF(('Activity data'!X22*EF!$H53*EF!$H71)*NtoN2O*kgtoGg=0,"NO",('Activity data'!X22*EF!$H53*EF!$H71)*NtoN2O*kgtoGg)</f>
        <v>6.236620689468618E-2</v>
      </c>
      <c r="Y53" s="28">
        <f>IF(('Activity data'!Y22*EF!$H53*EF!$H71)*NtoN2O*kgtoGg=0,"NO",('Activity data'!Y22*EF!$H53*EF!$H71)*NtoN2O*kgtoGg)</f>
        <v>6.5252147495665797E-2</v>
      </c>
      <c r="Z53" s="28">
        <f>IF(('Activity data'!Z22*EF!$H53*EF!$H71)*NtoN2O*kgtoGg=0,"NO",('Activity data'!Z22*EF!$H53*EF!$H71)*NtoN2O*kgtoGg)</f>
        <v>6.9475819230302827E-2</v>
      </c>
      <c r="AA53" s="28">
        <f>IF(('Activity data'!AA22*EF!$H53*EF!$H71)*NtoN2O*kgtoGg=0,"NO",('Activity data'!AA22*EF!$H53*EF!$H71)*NtoN2O*kgtoGg)</f>
        <v>6.555804138550686E-2</v>
      </c>
      <c r="AB53" s="28">
        <f>IF(('Activity data'!AB22*EF!$H53*EF!$H71)*NtoN2O*kgtoGg=0,"NO",('Activity data'!AB22*EF!$H53*EF!$H71)*NtoN2O*kgtoGg)</f>
        <v>6.7206878400838194E-2</v>
      </c>
      <c r="AC53" s="28">
        <f>IF(('Activity data'!AC22*EF!$H53*EF!$H71)*NtoN2O*kgtoGg=0,"NO",('Activity data'!AC22*EF!$H53*EF!$H71)*NtoN2O*kgtoGg)</f>
        <v>6.9509531922226239E-2</v>
      </c>
      <c r="AD53" s="28">
        <f>IF(('Activity data'!AD22*EF!$H53*EF!$H71)*NtoN2O*kgtoGg=0,"NO",('Activity data'!AD22*EF!$H53*EF!$H71)*NtoN2O*kgtoGg)</f>
        <v>7.0942022453587522E-2</v>
      </c>
      <c r="AE53" s="28">
        <f>IF(('Activity data'!AE22*EF!$H53*EF!$H71)*NtoN2O*kgtoGg=0,"NO",('Activity data'!AE22*EF!$H53*EF!$H71)*NtoN2O*kgtoGg)</f>
        <v>7.2438483211965152E-2</v>
      </c>
      <c r="AF53" s="28">
        <f>IF(('Activity data'!AF22*EF!$H53*EF!$H71)*NtoN2O*kgtoGg=0,"NO",('Activity data'!AF22*EF!$H53*EF!$H71)*NtoN2O*kgtoGg)</f>
        <v>7.3165667064464993E-2</v>
      </c>
      <c r="AG53" s="28">
        <f>IF(('Activity data'!AG22*EF!$H53*EF!$H71)*NtoN2O*kgtoGg=0,"NO",('Activity data'!AG22*EF!$H53*EF!$H71)*NtoN2O*kgtoGg)</f>
        <v>7.3314992877662077E-2</v>
      </c>
      <c r="AH53" s="28">
        <f>IF(('Activity data'!AH22*EF!$H53*EF!$H71)*NtoN2O*kgtoGg=0,"NO",('Activity data'!AH22*EF!$H53*EF!$H71)*NtoN2O*kgtoGg)</f>
        <v>7.2857373422166097E-2</v>
      </c>
      <c r="AI53" s="28">
        <f>IF(('Activity data'!AI22*EF!$H53*EF!H71)*NtoN2O*kgtoGg=0,"NO",('Activity data'!AI22*EF!$H53*EF!H71)*NtoN2O*kgtoGg)</f>
        <v>7.3164005449233932E-2</v>
      </c>
      <c r="AJ53" s="28">
        <f>IF(('Activity data'!AJ22*EF!$H53*EF!I71)*NtoN2O*kgtoGg=0,"NO",('Activity data'!AJ22*EF!$H53*EF!I71)*NtoN2O*kgtoGg)</f>
        <v>7.3319730762849561E-2</v>
      </c>
      <c r="AK53" s="28">
        <f>IF(('Activity data'!AK22*EF!$H53*EF!J71)*NtoN2O*kgtoGg=0,"NO",('Activity data'!AK22*EF!$H53*EF!J71)*NtoN2O*kgtoGg)</f>
        <v>7.3424800904105983E-2</v>
      </c>
      <c r="AL53" s="28">
        <f>IF(('Activity data'!AL22*EF!$H53*EF!K71)*NtoN2O*kgtoGg=0,"NO",('Activity data'!AL22*EF!$H53*EF!K71)*NtoN2O*kgtoGg)</f>
        <v>6.1530244036975455E-2</v>
      </c>
      <c r="AM53" s="28">
        <f>IF(('Activity data'!AM22*EF!$H53*EF!L71)*NtoN2O*kgtoGg=0,"NO",('Activity data'!AM22*EF!$H53*EF!L71)*NtoN2O*kgtoGg)</f>
        <v>6.3533620326804652E-2</v>
      </c>
      <c r="AN53" s="28">
        <f>IF(('Activity data'!AN22*EF!$H53*EF!M71)*NtoN2O*kgtoGg=0,"NO",('Activity data'!AN22*EF!$H53*EF!M71)*NtoN2O*kgtoGg)</f>
        <v>6.5380595447476861E-2</v>
      </c>
      <c r="AO53" s="28">
        <f>IF(('Activity data'!AO22*EF!$H53*EF!N71)*NtoN2O*kgtoGg=0,"NO",('Activity data'!AO22*EF!$H53*EF!N71)*NtoN2O*kgtoGg)</f>
        <v>6.7282337896672748E-2</v>
      </c>
      <c r="AP53" s="28">
        <f>IF(('Activity data'!AP22*EF!$H53*EF!O71)*NtoN2O*kgtoGg=0,"NO",('Activity data'!AP22*EF!$H53*EF!O71)*NtoN2O*kgtoGg)</f>
        <v>6.9390748829014137E-2</v>
      </c>
      <c r="AQ53" s="28">
        <f>IF(('Activity data'!AQ22*EF!$H53*EF!P71)*NtoN2O*kgtoGg=0,"NO",('Activity data'!AQ22*EF!$H53*EF!P71)*NtoN2O*kgtoGg)</f>
        <v>7.181294384952204E-2</v>
      </c>
      <c r="AR53" s="28">
        <f>IF(('Activity data'!AR22*EF!$H53*EF!Q71)*NtoN2O*kgtoGg=0,"NO",('Activity data'!AR22*EF!$H53*EF!Q71)*NtoN2O*kgtoGg)</f>
        <v>7.4445245852358011E-2</v>
      </c>
      <c r="AS53" s="28">
        <f>IF(('Activity data'!AS22*EF!$H53*EF!R71)*NtoN2O*kgtoGg=0,"NO",('Activity data'!AS22*EF!$H53*EF!R71)*NtoN2O*kgtoGg)</f>
        <v>7.7286119181362051E-2</v>
      </c>
      <c r="AT53" s="28">
        <f>IF(('Activity data'!AT22*EF!$H53*EF!S71)*NtoN2O*kgtoGg=0,"NO",('Activity data'!AT22*EF!$H53*EF!S71)*NtoN2O*kgtoGg)</f>
        <v>8.0359614114622321E-2</v>
      </c>
      <c r="AU53" s="28">
        <f>IF(('Activity data'!AU22*EF!$H53*EF!T71)*NtoN2O*kgtoGg=0,"NO",('Activity data'!AU22*EF!$H53*EF!T71)*NtoN2O*kgtoGg)</f>
        <v>8.3892393375325433E-2</v>
      </c>
      <c r="AV53" s="28">
        <f>IF(('Activity data'!AV22*EF!$H53*EF!U71)*NtoN2O*kgtoGg=0,"NO",('Activity data'!AV22*EF!$H53*EF!U71)*NtoN2O*kgtoGg)</f>
        <v>8.7381516500720555E-2</v>
      </c>
      <c r="AW53" s="28">
        <f>IF(('Activity data'!AW22*EF!$H53*EF!V71)*NtoN2O*kgtoGg=0,"NO",('Activity data'!AW22*EF!$H53*EF!V71)*NtoN2O*kgtoGg)</f>
        <v>9.1637623554401706E-2</v>
      </c>
      <c r="AX53" s="28">
        <f>IF(('Activity data'!AX22*EF!$H53*EF!W71)*NtoN2O*kgtoGg=0,"NO",('Activity data'!AX22*EF!$H53*EF!W71)*NtoN2O*kgtoGg)</f>
        <v>9.6049294987135367E-2</v>
      </c>
      <c r="AY53" s="28">
        <f>IF(('Activity data'!AY22*EF!$H53*EF!X71)*NtoN2O*kgtoGg=0,"NO",('Activity data'!AY22*EF!$H53*EF!X71)*NtoN2O*kgtoGg)</f>
        <v>0.10059440593234105</v>
      </c>
      <c r="AZ53" s="28">
        <f>IF(('Activity data'!AZ22*EF!$H53*EF!Y71)*NtoN2O*kgtoGg=0,"NO",('Activity data'!AZ22*EF!$H53*EF!Y71)*NtoN2O*kgtoGg)</f>
        <v>0.10524947475971824</v>
      </c>
      <c r="BA53" s="28">
        <f>IF(('Activity data'!BA22*EF!$H53*EF!Z71)*NtoN2O*kgtoGg=0,"NO",('Activity data'!BA22*EF!$H53*EF!Z71)*NtoN2O*kgtoGg)</f>
        <v>0.10950649304622449</v>
      </c>
      <c r="BB53" s="28">
        <f>IF(('Activity data'!BB22*EF!$H53*EF!AA71)*NtoN2O*kgtoGg=0,"NO",('Activity data'!BB22*EF!$H53*EF!AA71)*NtoN2O*kgtoGg)</f>
        <v>0.11403190388416778</v>
      </c>
      <c r="BC53" s="28">
        <f>IF(('Activity data'!BC22*EF!$H53*EF!AB71)*NtoN2O*kgtoGg=0,"NO",('Activity data'!BC22*EF!$H53*EF!AB71)*NtoN2O*kgtoGg)</f>
        <v>0.11889834207819946</v>
      </c>
      <c r="BD53" s="28">
        <f>IF(('Activity data'!BD22*EF!$H53*EF!AC71)*NtoN2O*kgtoGg=0,"NO",('Activity data'!BD22*EF!$H53*EF!AC71)*NtoN2O*kgtoGg)</f>
        <v>0.12400361978843893</v>
      </c>
      <c r="BE53" s="28">
        <f>IF(('Activity data'!BE22*EF!$H53*EF!AD71)*NtoN2O*kgtoGg=0,"NO",('Activity data'!BE22*EF!$H53*EF!AD71)*NtoN2O*kgtoGg)</f>
        <v>0.12897472547498096</v>
      </c>
      <c r="BF53" s="28">
        <f>IF(('Activity data'!BF22*EF!$H53*EF!AE71)*NtoN2O*kgtoGg=0,"NO",('Activity data'!BF22*EF!$H53*EF!AE71)*NtoN2O*kgtoGg)</f>
        <v>0.13401670369949484</v>
      </c>
      <c r="BG53" s="28">
        <f>IF(('Activity data'!BG22*EF!$H53*EF!AF71)*NtoN2O*kgtoGg=0,"NO",('Activity data'!BG22*EF!$H53*EF!AF71)*NtoN2O*kgtoGg)</f>
        <v>0.13931862315822491</v>
      </c>
      <c r="BH53" s="28">
        <f>IF(('Activity data'!BH22*EF!$H53*EF!AG71)*NtoN2O*kgtoGg=0,"NO",('Activity data'!BH22*EF!$H53*EF!AG71)*NtoN2O*kgtoGg)</f>
        <v>0.1448883692100342</v>
      </c>
      <c r="BI53" s="28">
        <f>IF(('Activity data'!BI22*EF!$H53*EF!AH71)*NtoN2O*kgtoGg=0,"NO",('Activity data'!BI22*EF!$H53*EF!AH71)*NtoN2O*kgtoGg)</f>
        <v>0.15079458570471127</v>
      </c>
      <c r="BJ53" s="28">
        <f>IF(('Activity data'!BJ22*EF!$H53*EF!AI71)*NtoN2O*kgtoGg=0,"NO",('Activity data'!BJ22*EF!$H53*EF!AI71)*NtoN2O*kgtoGg)</f>
        <v>0.15701009810465275</v>
      </c>
      <c r="BK53" s="28">
        <f>IF(('Activity data'!BK22*EF!$H53*EF!AJ71)*NtoN2O*kgtoGg=0,"NO",('Activity data'!BK22*EF!$H53*EF!AJ71)*NtoN2O*kgtoGg)</f>
        <v>0.16367974539619515</v>
      </c>
      <c r="BL53" s="28">
        <f>IF(('Activity data'!BL22*EF!$H53*EF!AK71)*NtoN2O*kgtoGg=0,"NO",('Activity data'!BL22*EF!$H53*EF!AK71)*NtoN2O*kgtoGg)</f>
        <v>0.17078863032768582</v>
      </c>
      <c r="BM53" s="28">
        <f>IF(('Activity data'!BM22*EF!$H53*EF!AL71)*NtoN2O*kgtoGg=0,"NO",('Activity data'!BM22*EF!$H53*EF!AL71)*NtoN2O*kgtoGg)</f>
        <v>0.1782078954316382</v>
      </c>
      <c r="BN53" s="28">
        <f>IF(('Activity data'!BN22*EF!$H53*EF!AM71)*NtoN2O*kgtoGg=0,"NO",('Activity data'!BN22*EF!$H53*EF!AM71)*NtoN2O*kgtoGg)</f>
        <v>0.1855729188980543</v>
      </c>
      <c r="BO53" s="28">
        <f>IF(('Activity data'!BO22*EF!$H53*EF!AN71)*NtoN2O*kgtoGg=0,"NO",('Activity data'!BO22*EF!$H53*EF!AN71)*NtoN2O*kgtoGg)</f>
        <v>0.19327975315167556</v>
      </c>
      <c r="BP53" s="28">
        <f>IF(('Activity data'!BP22*EF!$H53*EF!AO71)*NtoN2O*kgtoGg=0,"NO",('Activity data'!BP22*EF!$H53*EF!AO71)*NtoN2O*kgtoGg)</f>
        <v>0.20141946466240718</v>
      </c>
    </row>
    <row r="54" spans="1:68" x14ac:dyDescent="0.25">
      <c r="A54" t="str">
        <f>'IPCC Categories'!A59</f>
        <v>3C Aggregated and non-CO2 emissions on land</v>
      </c>
      <c r="B54" t="str">
        <f>'IPCC Categories'!B59</f>
        <v>3C1 Biomass burning (CH4)</v>
      </c>
      <c r="C54" t="str">
        <f>'IPCC Categories'!C59</f>
        <v>3C1a Biomass burning in forest land</v>
      </c>
      <c r="D54" t="str">
        <f>EF!D84</f>
        <v>Indigenous forests</v>
      </c>
      <c r="E54" t="s">
        <v>640</v>
      </c>
      <c r="F54" t="s">
        <v>121</v>
      </c>
      <c r="G54" t="s">
        <v>286</v>
      </c>
      <c r="H54" s="22">
        <f>INDEX('Activity data'!H$24:H$39,MATCH(Emissions!$D54,'Activity data'!$D$24:$D$39,0))*INDEX(EF!$H$84:$H$99,MATCH(Emissions!$D54,EF!$D$84:$D$99,0))*INDEX(EF!$H$100:$H$115,MATCH(Emissions!$D54,EF!$D$100:$D$115,0))*INDEX(EF!$H$116:$H$131,MATCH(Emissions!$D54,EF!$D$116:$D$131,0))*kgtoGg</f>
        <v>1.2960963903843976</v>
      </c>
      <c r="I54" s="22">
        <f>INDEX('Activity data'!I$24:I$39,MATCH(Emissions!$D54,'Activity data'!$D$24:$D$39,0))*INDEX(EF!$H$84:$H$99,MATCH(Emissions!$D54,EF!$D$84:$D$99,0))*INDEX(EF!$H$100:$H$115,MATCH(Emissions!$D54,EF!$D$100:$D$115,0))*INDEX(EF!$H$116:$H$131,MATCH(Emissions!$D54,EF!$D$116:$D$131,0))*kgtoGg</f>
        <v>1.2960963903843976</v>
      </c>
      <c r="J54" s="22">
        <f>INDEX('Activity data'!J$24:J$39,MATCH(Emissions!$D54,'Activity data'!$D$24:$D$39,0))*INDEX(EF!$H$84:$H$99,MATCH(Emissions!$D54,EF!$D$84:$D$99,0))*INDEX(EF!$H$100:$H$115,MATCH(Emissions!$D54,EF!$D$100:$D$115,0))*INDEX(EF!$H$116:$H$131,MATCH(Emissions!$D54,EF!$D$116:$D$131,0))*kgtoGg</f>
        <v>1.2960963903843976</v>
      </c>
      <c r="K54" s="22">
        <f>INDEX('Activity data'!K$24:K$39,MATCH(Emissions!$D54,'Activity data'!$D$24:$D$39,0))*INDEX(EF!$H$84:$H$99,MATCH(Emissions!$D54,EF!$D$84:$D$99,0))*INDEX(EF!$H$100:$H$115,MATCH(Emissions!$D54,EF!$D$100:$D$115,0))*INDEX(EF!$H$116:$H$131,MATCH(Emissions!$D54,EF!$D$116:$D$131,0))*kgtoGg</f>
        <v>1.2960963903843976</v>
      </c>
      <c r="L54" s="22">
        <f>INDEX('Activity data'!L$24:L$39,MATCH(Emissions!$D54,'Activity data'!$D$24:$D$39,0))*INDEX(EF!$H$84:$H$99,MATCH(Emissions!$D54,EF!$D$84:$D$99,0))*INDEX(EF!$H$100:$H$115,MATCH(Emissions!$D54,EF!$D$100:$D$115,0))*INDEX(EF!$H$116:$H$131,MATCH(Emissions!$D54,EF!$D$116:$D$131,0))*kgtoGg</f>
        <v>1.2960963903843976</v>
      </c>
      <c r="M54" s="22">
        <f>INDEX('Activity data'!M$24:M$39,MATCH(Emissions!$D54,'Activity data'!$D$24:$D$39,0))*INDEX(EF!$H$84:$H$99,MATCH(Emissions!$D54,EF!$D$84:$D$99,0))*INDEX(EF!$H$100:$H$115,MATCH(Emissions!$D54,EF!$D$100:$D$115,0))*INDEX(EF!$H$116:$H$131,MATCH(Emissions!$D54,EF!$D$116:$D$131,0))*kgtoGg</f>
        <v>1.2960963903843976</v>
      </c>
      <c r="N54" s="22">
        <f>INDEX('Activity data'!N$24:N$39,MATCH(Emissions!$D54,'Activity data'!$D$24:$D$39,0))*INDEX(EF!$H$84:$H$99,MATCH(Emissions!$D54,EF!$D$84:$D$99,0))*INDEX(EF!$H$100:$H$115,MATCH(Emissions!$D54,EF!$D$100:$D$115,0))*INDEX(EF!$H$116:$H$131,MATCH(Emissions!$D54,EF!$D$116:$D$131,0))*kgtoGg</f>
        <v>1.2960963903843976</v>
      </c>
      <c r="O54" s="22">
        <f>INDEX('Activity data'!O$24:O$39,MATCH(Emissions!$D54,'Activity data'!$D$24:$D$39,0))*INDEX(EF!$H$84:$H$99,MATCH(Emissions!$D54,EF!$D$84:$D$99,0))*INDEX(EF!$H$100:$H$115,MATCH(Emissions!$D54,EF!$D$100:$D$115,0))*INDEX(EF!$H$116:$H$131,MATCH(Emissions!$D54,EF!$D$116:$D$131,0))*kgtoGg</f>
        <v>1.2960963903843976</v>
      </c>
      <c r="P54" s="22">
        <f>INDEX('Activity data'!P$24:P$39,MATCH(Emissions!$D54,'Activity data'!$D$24:$D$39,0))*INDEX(EF!$H$84:$H$99,MATCH(Emissions!$D54,EF!$D$84:$D$99,0))*INDEX(EF!$H$100:$H$115,MATCH(Emissions!$D54,EF!$D$100:$D$115,0))*INDEX(EF!$H$116:$H$131,MATCH(Emissions!$D54,EF!$D$116:$D$131,0))*kgtoGg</f>
        <v>1.2960963903843976</v>
      </c>
      <c r="Q54" s="22">
        <f>INDEX('Activity data'!Q$24:Q$39,MATCH(Emissions!$D54,'Activity data'!$D$24:$D$39,0))*INDEX(EF!$H$84:$H$99,MATCH(Emissions!$D54,EF!$D$84:$D$99,0))*INDEX(EF!$H$100:$H$115,MATCH(Emissions!$D54,EF!$D$100:$D$115,0))*INDEX(EF!$H$116:$H$131,MATCH(Emissions!$D54,EF!$D$116:$D$131,0))*kgtoGg</f>
        <v>1.2960963903843976</v>
      </c>
      <c r="R54" s="22">
        <f>INDEX('Activity data'!R$24:R$39,MATCH(Emissions!$D54,'Activity data'!$D$24:$D$39,0))*INDEX(EF!$H$84:$H$99,MATCH(Emissions!$D54,EF!$D$84:$D$99,0))*INDEX(EF!$H$100:$H$115,MATCH(Emissions!$D54,EF!$D$100:$D$115,0))*INDEX(EF!$H$116:$H$131,MATCH(Emissions!$D54,EF!$D$116:$D$131,0))*kgtoGg</f>
        <v>1.1960332827105857</v>
      </c>
      <c r="S54" s="22">
        <f>INDEX('Activity data'!S$24:S$39,MATCH(Emissions!$D54,'Activity data'!$D$24:$D$39,0))*INDEX(EF!$H$84:$H$99,MATCH(Emissions!$D54,EF!$D$84:$D$99,0))*INDEX(EF!$H$100:$H$115,MATCH(Emissions!$D54,EF!$D$100:$D$115,0))*INDEX(EF!$H$116:$H$131,MATCH(Emissions!$D54,EF!$D$116:$D$131,0))*kgtoGg</f>
        <v>1.3313117329992157</v>
      </c>
      <c r="T54" s="22">
        <f>INDEX('Activity data'!T$24:T$39,MATCH(Emissions!$D54,'Activity data'!$D$24:$D$39,0))*INDEX(EF!$H$84:$H$99,MATCH(Emissions!$D54,EF!$D$84:$D$99,0))*INDEX(EF!$H$100:$H$115,MATCH(Emissions!$D54,EF!$D$100:$D$115,0))*INDEX(EF!$H$116:$H$131,MATCH(Emissions!$D54,EF!$D$116:$D$131,0))*kgtoGg</f>
        <v>1.2175060525976695</v>
      </c>
      <c r="U54" s="22">
        <f>INDEX('Activity data'!U$24:U$39,MATCH(Emissions!$D54,'Activity data'!$D$24:$D$39,0))*INDEX(EF!$H$84:$H$99,MATCH(Emissions!$D54,EF!$D$84:$D$99,0))*INDEX(EF!$H$100:$H$115,MATCH(Emissions!$D54,EF!$D$100:$D$115,0))*INDEX(EF!$H$116:$H$131,MATCH(Emissions!$D54,EF!$D$116:$D$131,0))*kgtoGg</f>
        <v>1.535303046926515</v>
      </c>
      <c r="V54" s="22">
        <f>INDEX('Activity data'!V$24:V$39,MATCH(Emissions!$D54,'Activity data'!$D$24:$D$39,0))*INDEX(EF!$H$84:$H$99,MATCH(Emissions!$D54,EF!$D$84:$D$99,0))*INDEX(EF!$H$100:$H$115,MATCH(Emissions!$D54,EF!$D$100:$D$115,0))*INDEX(EF!$H$116:$H$131,MATCH(Emissions!$D54,EF!$D$116:$D$131,0))*kgtoGg</f>
        <v>1.2003278366880026</v>
      </c>
      <c r="W54" s="22">
        <f>INDEX('Activity data'!W$24:W$39,MATCH(Emissions!$D54,'Activity data'!$D$24:$D$39,0))*INDEX(EF!$H$84:$H$99,MATCH(Emissions!$D54,EF!$D$84:$D$99,0))*INDEX(EF!$H$100:$H$115,MATCH(Emissions!$D54,EF!$D$100:$D$115,0))*INDEX(EF!$H$116:$H$131,MATCH(Emissions!$D54,EF!$D$116:$D$131,0))*kgtoGg</f>
        <v>1.578248586700683</v>
      </c>
      <c r="X54" s="22">
        <f>INDEX('Activity data'!X$24:X$39,MATCH(Emissions!$D54,'Activity data'!$D$24:$D$39,0))*INDEX(EF!$H$84:$H$99,MATCH(Emissions!$D54,EF!$D$84:$D$99,0))*INDEX(EF!$H$100:$H$115,MATCH(Emissions!$D54,EF!$D$100:$D$115,0))*INDEX(EF!$H$116:$H$131,MATCH(Emissions!$D54,EF!$D$116:$D$131,0))*kgtoGg</f>
        <v>1.4086137045927183</v>
      </c>
      <c r="Y54" s="22">
        <f>INDEX('Activity data'!Y$24:Y$39,MATCH(Emissions!$D54,'Activity data'!$D$24:$D$39,0))*INDEX(EF!$H$84:$H$99,MATCH(Emissions!$D54,EF!$D$84:$D$99,0))*INDEX(EF!$H$100:$H$115,MATCH(Emissions!$D54,EF!$D$100:$D$115,0))*INDEX(EF!$H$116:$H$131,MATCH(Emissions!$D54,EF!$D$116:$D$131,0))*kgtoGg</f>
        <v>1.8423636563118175</v>
      </c>
      <c r="Z54" s="22">
        <f>INDEX('Activity data'!Z$24:Z$39,MATCH(Emissions!$D54,'Activity data'!$D$24:$D$39,0))*INDEX(EF!$H$84:$H$99,MATCH(Emissions!$D54,EF!$D$84:$D$99,0))*INDEX(EF!$H$100:$H$115,MATCH(Emissions!$D54,EF!$D$100:$D$115,0))*INDEX(EF!$H$116:$H$131,MATCH(Emissions!$D54,EF!$D$116:$D$131,0))*kgtoGg</f>
        <v>1.5417448778926399</v>
      </c>
      <c r="AA54" s="22">
        <f>INDEX('Activity data'!AA$24:AA$39,MATCH(Emissions!$D54,'Activity data'!$D$24:$D$39,0))*INDEX(EF!$H$84:$H$99,MATCH(Emissions!$D54,EF!$D$84:$D$99,0))*INDEX(EF!$H$100:$H$115,MATCH(Emissions!$D54,EF!$D$100:$D$115,0))*INDEX(EF!$H$116:$H$131,MATCH(Emissions!$D54,EF!$D$116:$D$131,0))*kgtoGg</f>
        <v>1.5202721080055559</v>
      </c>
      <c r="AB54" s="22">
        <f>INDEX('Activity data'!AB$24:AB$39,MATCH(Emissions!$D54,'Activity data'!$D$24:$D$39,0))*INDEX(EF!$H$84:$H$99,MATCH(Emissions!$D54,EF!$D$84:$D$99,0))*INDEX(EF!$H$100:$H$115,MATCH(Emissions!$D54,EF!$D$100:$D$115,0))*INDEX(EF!$H$116:$H$131,MATCH(Emissions!$D54,EF!$D$116:$D$131,0))*kgtoGg</f>
        <v>1.2465275328000001</v>
      </c>
      <c r="AC54" s="22">
        <f>INDEX('Activity data'!AC$24:AC$39,MATCH(Emissions!$D54,'Activity data'!$D$24:$D$39,0))*INDEX(EF!$H$84:$H$99,MATCH(Emissions!$D54,EF!$D$84:$D$99,0))*INDEX(EF!$H$100:$H$115,MATCH(Emissions!$D54,EF!$D$100:$D$115,0))*INDEX(EF!$H$116:$H$131,MATCH(Emissions!$D54,EF!$D$116:$D$131,0))*kgtoGg</f>
        <v>0.93453550740000024</v>
      </c>
      <c r="AD54" s="22">
        <f>INDEX('Activity data'!AD$24:AD$39,MATCH(Emissions!$D54,'Activity data'!$D$24:$D$39,0))*INDEX(EF!$H$84:$H$99,MATCH(Emissions!$D54,EF!$D$84:$D$99,0))*INDEX(EF!$H$100:$H$115,MATCH(Emissions!$D54,EF!$D$100:$D$115,0))*INDEX(EF!$H$116:$H$131,MATCH(Emissions!$D54,EF!$D$116:$D$131,0))*kgtoGg</f>
        <v>1.2653688249152322</v>
      </c>
      <c r="AE54" s="22">
        <f>INDEX('Activity data'!AE$24:AE$39,MATCH(Emissions!$D54,'Activity data'!$D$24:$D$39,0))*INDEX(EF!$H$84:$H$99,MATCH(Emissions!$D54,EF!$D$84:$D$99,0))*INDEX(EF!$H$100:$H$115,MATCH(Emissions!$D54,EF!$D$100:$D$115,0))*INDEX(EF!$H$116:$H$131,MATCH(Emissions!$D54,EF!$D$116:$D$131,0))*kgtoGg</f>
        <v>1.2648288705583226</v>
      </c>
      <c r="AF54" s="22">
        <f>INDEX('Activity data'!AF$24:AF$39,MATCH(Emissions!$D54,'Activity data'!$D$24:$D$39,0))*INDEX(EF!$H$84:$H$99,MATCH(Emissions!$D54,EF!$D$84:$D$99,0))*INDEX(EF!$H$100:$H$115,MATCH(Emissions!$D54,EF!$D$100:$D$115,0))*INDEX(EF!$H$116:$H$131,MATCH(Emissions!$D54,EF!$D$116:$D$131,0))*kgtoGg</f>
        <v>1.2642889162014133</v>
      </c>
      <c r="AG54" s="22">
        <f>INDEX('Activity data'!AG$24:AG$39,MATCH(Emissions!$D54,'Activity data'!$D$24:$D$39,0))*INDEX(EF!$H$84:$H$99,MATCH(Emissions!$D54,EF!$D$84:$D$99,0))*INDEX(EF!$H$100:$H$115,MATCH(Emissions!$D54,EF!$D$100:$D$115,0))*INDEX(EF!$H$116:$H$131,MATCH(Emissions!$D54,EF!$D$116:$D$131,0))*kgtoGg</f>
        <v>1.2637489618445039</v>
      </c>
      <c r="AH54" s="22">
        <f>INDEX('Activity data'!AH$24:AH$39,MATCH(Emissions!$D54,'Activity data'!$D$24:$D$39,0))*INDEX(EF!$H$84:$H$99,MATCH(Emissions!$D54,EF!$D$84:$D$99,0))*INDEX(EF!$H$100:$H$115,MATCH(Emissions!$D54,EF!$D$100:$D$115,0))*INDEX(EF!$H$116:$H$131,MATCH(Emissions!$D54,EF!$D$116:$D$131,0))*kgtoGg</f>
        <v>1.2632090074875946</v>
      </c>
      <c r="AI54" s="22">
        <f>INDEX('Activity data'!AI$24:AI$39,MATCH(Emissions!$D54,'Activity data'!$D$24:$D$39,0))*INDEX(EF!$H$84:$H$99,MATCH(Emissions!$D54,EF!$D$84:$D$99,0))*INDEX(EF!$H$100:$H$115,MATCH(Emissions!$D54,EF!$D$100:$D$115,0))*INDEX(EF!$H$116:$H$131,MATCH(Emissions!$D54,EF!$D$116:$D$131,0))*kgtoGg</f>
        <v>1.262669053130685</v>
      </c>
      <c r="AJ54" s="22">
        <f>INDEX('Activity data'!AJ$24:AJ$39,MATCH(Emissions!$D54,'Activity data'!$D$24:$D$39,0))*INDEX(EF!$H$84:$H$99,MATCH(Emissions!$D54,EF!$D$84:$D$99,0))*INDEX(EF!$H$100:$H$115,MATCH(Emissions!$D54,EF!$D$100:$D$115,0))*INDEX(EF!$H$116:$H$131,MATCH(Emissions!$D54,EF!$D$116:$D$131,0))*kgtoGg</f>
        <v>1.2621290987737757</v>
      </c>
      <c r="AK54" s="22">
        <f>INDEX('Activity data'!AK$24:AK$39,MATCH(Emissions!$D54,'Activity data'!$D$24:$D$39,0))*INDEX(EF!$H$84:$H$99,MATCH(Emissions!$D54,EF!$D$84:$D$99,0))*INDEX(EF!$H$100:$H$115,MATCH(Emissions!$D54,EF!$D$100:$D$115,0))*INDEX(EF!$H$116:$H$131,MATCH(Emissions!$D54,EF!$D$116:$D$131,0))*kgtoGg</f>
        <v>1.2615891444168661</v>
      </c>
      <c r="AL54" s="22">
        <f>INDEX('Activity data'!AL$24:AL$39,MATCH(Emissions!$D54,'Activity data'!$D$24:$D$39,0))*INDEX(EF!$H$84:$H$99,MATCH(Emissions!$D54,EF!$D$84:$D$99,0))*INDEX(EF!$H$100:$H$115,MATCH(Emissions!$D54,EF!$D$100:$D$115,0))*INDEX(EF!$H$116:$H$131,MATCH(Emissions!$D54,EF!$D$116:$D$131,0))*kgtoGg</f>
        <v>1.2610491900599567</v>
      </c>
      <c r="AM54" s="22">
        <f>INDEX('Activity data'!AM$24:AM$39,MATCH(Emissions!$D54,'Activity data'!$D$24:$D$39,0))*INDEX(EF!$H$84:$H$99,MATCH(Emissions!$D54,EF!$D$84:$D$99,0))*INDEX(EF!$H$100:$H$115,MATCH(Emissions!$D54,EF!$D$100:$D$115,0))*INDEX(EF!$H$116:$H$131,MATCH(Emissions!$D54,EF!$D$116:$D$131,0))*kgtoGg</f>
        <v>1.2605092357030474</v>
      </c>
      <c r="AN54" s="22">
        <f>INDEX('Activity data'!AN$24:AN$39,MATCH(Emissions!$D54,'Activity data'!$D$24:$D$39,0))*INDEX(EF!$H$84:$H$99,MATCH(Emissions!$D54,EF!$D$84:$D$99,0))*INDEX(EF!$H$100:$H$115,MATCH(Emissions!$D54,EF!$D$100:$D$115,0))*INDEX(EF!$H$116:$H$131,MATCH(Emissions!$D54,EF!$D$116:$D$131,0))*kgtoGg</f>
        <v>1.2599692813461378</v>
      </c>
      <c r="AO54" s="22">
        <f>INDEX('Activity data'!AO$24:AO$39,MATCH(Emissions!$D54,'Activity data'!$D$24:$D$39,0))*INDEX(EF!$H$84:$H$99,MATCH(Emissions!$D54,EF!$D$84:$D$99,0))*INDEX(EF!$H$100:$H$115,MATCH(Emissions!$D54,EF!$D$100:$D$115,0))*INDEX(EF!$H$116:$H$131,MATCH(Emissions!$D54,EF!$D$116:$D$131,0))*kgtoGg</f>
        <v>1.2594293269892285</v>
      </c>
      <c r="AP54" s="22">
        <f>INDEX('Activity data'!AP$24:AP$39,MATCH(Emissions!$D54,'Activity data'!$D$24:$D$39,0))*INDEX(EF!$H$84:$H$99,MATCH(Emissions!$D54,EF!$D$84:$D$99,0))*INDEX(EF!$H$100:$H$115,MATCH(Emissions!$D54,EF!$D$100:$D$115,0))*INDEX(EF!$H$116:$H$131,MATCH(Emissions!$D54,EF!$D$116:$D$131,0))*kgtoGg</f>
        <v>1.2588893726323194</v>
      </c>
      <c r="AQ54" s="22">
        <f>INDEX('Activity data'!AQ$24:AQ$39,MATCH(Emissions!$D54,'Activity data'!$D$24:$D$39,0))*INDEX(EF!$H$84:$H$99,MATCH(Emissions!$D54,EF!$D$84:$D$99,0))*INDEX(EF!$H$100:$H$115,MATCH(Emissions!$D54,EF!$D$100:$D$115,0))*INDEX(EF!$H$116:$H$131,MATCH(Emissions!$D54,EF!$D$116:$D$131,0))*kgtoGg</f>
        <v>1.2583494182754098</v>
      </c>
      <c r="AR54" s="22">
        <f>INDEX('Activity data'!AR$24:AR$39,MATCH(Emissions!$D54,'Activity data'!$D$24:$D$39,0))*INDEX(EF!$H$84:$H$99,MATCH(Emissions!$D54,EF!$D$84:$D$99,0))*INDEX(EF!$H$100:$H$115,MATCH(Emissions!$D54,EF!$D$100:$D$115,0))*INDEX(EF!$H$116:$H$131,MATCH(Emissions!$D54,EF!$D$116:$D$131,0))*kgtoGg</f>
        <v>1.2578094639185002</v>
      </c>
      <c r="AS54" s="22">
        <f>INDEX('Activity data'!AS$24:AS$39,MATCH(Emissions!$D54,'Activity data'!$D$24:$D$39,0))*INDEX(EF!$H$84:$H$99,MATCH(Emissions!$D54,EF!$D$84:$D$99,0))*INDEX(EF!$H$100:$H$115,MATCH(Emissions!$D54,EF!$D$100:$D$115,0))*INDEX(EF!$H$116:$H$131,MATCH(Emissions!$D54,EF!$D$116:$D$131,0))*kgtoGg</f>
        <v>1.2572695095615909</v>
      </c>
      <c r="AT54" s="22">
        <f>INDEX('Activity data'!AT$24:AT$39,MATCH(Emissions!$D54,'Activity data'!$D$24:$D$39,0))*INDEX(EF!$H$84:$H$99,MATCH(Emissions!$D54,EF!$D$84:$D$99,0))*INDEX(EF!$H$100:$H$115,MATCH(Emissions!$D54,EF!$D$100:$D$115,0))*INDEX(EF!$H$116:$H$131,MATCH(Emissions!$D54,EF!$D$116:$D$131,0))*kgtoGg</f>
        <v>1.2567295552046813</v>
      </c>
      <c r="AU54" s="22">
        <f>INDEX('Activity data'!AU$24:AU$39,MATCH(Emissions!$D54,'Activity data'!$D$24:$D$39,0))*INDEX(EF!$H$84:$H$99,MATCH(Emissions!$D54,EF!$D$84:$D$99,0))*INDEX(EF!$H$100:$H$115,MATCH(Emissions!$D54,EF!$D$100:$D$115,0))*INDEX(EF!$H$116:$H$131,MATCH(Emissions!$D54,EF!$D$116:$D$131,0))*kgtoGg</f>
        <v>1.256189600847772</v>
      </c>
      <c r="AV54" s="22">
        <f>INDEX('Activity data'!AV$24:AV$39,MATCH(Emissions!$D54,'Activity data'!$D$24:$D$39,0))*INDEX(EF!$H$84:$H$99,MATCH(Emissions!$D54,EF!$D$84:$D$99,0))*INDEX(EF!$H$100:$H$115,MATCH(Emissions!$D54,EF!$D$100:$D$115,0))*INDEX(EF!$H$116:$H$131,MATCH(Emissions!$D54,EF!$D$116:$D$131,0))*kgtoGg</f>
        <v>1.2556496464908629</v>
      </c>
      <c r="AW54" s="22">
        <f>INDEX('Activity data'!AW$24:AW$39,MATCH(Emissions!$D54,'Activity data'!$D$24:$D$39,0))*INDEX(EF!$H$84:$H$99,MATCH(Emissions!$D54,EF!$D$84:$D$99,0))*INDEX(EF!$H$100:$H$115,MATCH(Emissions!$D54,EF!$D$100:$D$115,0))*INDEX(EF!$H$116:$H$131,MATCH(Emissions!$D54,EF!$D$116:$D$131,0))*kgtoGg</f>
        <v>1.2551096921339533</v>
      </c>
      <c r="AX54" s="22">
        <f>INDEX('Activity data'!AX$24:AX$39,MATCH(Emissions!$D54,'Activity data'!$D$24:$D$39,0))*INDEX(EF!$H$84:$H$99,MATCH(Emissions!$D54,EF!$D$84:$D$99,0))*INDEX(EF!$H$100:$H$115,MATCH(Emissions!$D54,EF!$D$100:$D$115,0))*INDEX(EF!$H$116:$H$131,MATCH(Emissions!$D54,EF!$D$116:$D$131,0))*kgtoGg</f>
        <v>1.2545697377770435</v>
      </c>
      <c r="AY54" s="22">
        <f>INDEX('Activity data'!AY$24:AY$39,MATCH(Emissions!$D54,'Activity data'!$D$24:$D$39,0))*INDEX(EF!$H$84:$H$99,MATCH(Emissions!$D54,EF!$D$84:$D$99,0))*INDEX(EF!$H$100:$H$115,MATCH(Emissions!$D54,EF!$D$100:$D$115,0))*INDEX(EF!$H$116:$H$131,MATCH(Emissions!$D54,EF!$D$116:$D$131,0))*kgtoGg</f>
        <v>1.2540297834201344</v>
      </c>
      <c r="AZ54" s="22">
        <f>INDEX('Activity data'!AZ$24:AZ$39,MATCH(Emissions!$D54,'Activity data'!$D$24:$D$39,0))*INDEX(EF!$H$84:$H$99,MATCH(Emissions!$D54,EF!$D$84:$D$99,0))*INDEX(EF!$H$100:$H$115,MATCH(Emissions!$D54,EF!$D$100:$D$115,0))*INDEX(EF!$H$116:$H$131,MATCH(Emissions!$D54,EF!$D$116:$D$131,0))*kgtoGg</f>
        <v>1.253489829063225</v>
      </c>
      <c r="BA54" s="22">
        <f>INDEX('Activity data'!BA$24:BA$39,MATCH(Emissions!$D54,'Activity data'!$D$24:$D$39,0))*INDEX(EF!$H$84:$H$99,MATCH(Emissions!$D54,EF!$D$84:$D$99,0))*INDEX(EF!$H$100:$H$115,MATCH(Emissions!$D54,EF!$D$100:$D$115,0))*INDEX(EF!$H$116:$H$131,MATCH(Emissions!$D54,EF!$D$116:$D$131,0))*kgtoGg</f>
        <v>1.2529498747063155</v>
      </c>
      <c r="BB54" s="22">
        <f>INDEX('Activity data'!BB$24:BB$39,MATCH(Emissions!$D54,'Activity data'!$D$24:$D$39,0))*INDEX(EF!$H$84:$H$99,MATCH(Emissions!$D54,EF!$D$84:$D$99,0))*INDEX(EF!$H$100:$H$115,MATCH(Emissions!$D54,EF!$D$100:$D$115,0))*INDEX(EF!$H$116:$H$131,MATCH(Emissions!$D54,EF!$D$116:$D$131,0))*kgtoGg</f>
        <v>1.2524099203494063</v>
      </c>
      <c r="BC54" s="22">
        <f>INDEX('Activity data'!BC$24:BC$39,MATCH(Emissions!$D54,'Activity data'!$D$24:$D$39,0))*INDEX(EF!$H$84:$H$99,MATCH(Emissions!$D54,EF!$D$84:$D$99,0))*INDEX(EF!$H$100:$H$115,MATCH(Emissions!$D54,EF!$D$100:$D$115,0))*INDEX(EF!$H$116:$H$131,MATCH(Emissions!$D54,EF!$D$116:$D$131,0))*kgtoGg</f>
        <v>1.2518699659924968</v>
      </c>
      <c r="BD54" s="22">
        <f>INDEX('Activity data'!BD$24:BD$39,MATCH(Emissions!$D54,'Activity data'!$D$24:$D$39,0))*INDEX(EF!$H$84:$H$99,MATCH(Emissions!$D54,EF!$D$84:$D$99,0))*INDEX(EF!$H$100:$H$115,MATCH(Emissions!$D54,EF!$D$100:$D$115,0))*INDEX(EF!$H$116:$H$131,MATCH(Emissions!$D54,EF!$D$116:$D$131,0))*kgtoGg</f>
        <v>1.251330011635587</v>
      </c>
      <c r="BE54" s="22">
        <f>INDEX('Activity data'!BE$24:BE$39,MATCH(Emissions!$D54,'Activity data'!$D$24:$D$39,0))*INDEX(EF!$H$84:$H$99,MATCH(Emissions!$D54,EF!$D$84:$D$99,0))*INDEX(EF!$H$100:$H$115,MATCH(Emissions!$D54,EF!$D$100:$D$115,0))*INDEX(EF!$H$116:$H$131,MATCH(Emissions!$D54,EF!$D$116:$D$131,0))*kgtoGg</f>
        <v>1.2507900572786779</v>
      </c>
      <c r="BF54" s="22">
        <f>INDEX('Activity data'!BF$24:BF$39,MATCH(Emissions!$D54,'Activity data'!$D$24:$D$39,0))*INDEX(EF!$H$84:$H$99,MATCH(Emissions!$D54,EF!$D$84:$D$99,0))*INDEX(EF!$H$100:$H$115,MATCH(Emissions!$D54,EF!$D$100:$D$115,0))*INDEX(EF!$H$116:$H$131,MATCH(Emissions!$D54,EF!$D$116:$D$131,0))*kgtoGg</f>
        <v>1.2502501029217685</v>
      </c>
      <c r="BG54" s="22">
        <f>INDEX('Activity data'!BG$24:BG$39,MATCH(Emissions!$D54,'Activity data'!$D$24:$D$39,0))*INDEX(EF!$H$84:$H$99,MATCH(Emissions!$D54,EF!$D$84:$D$99,0))*INDEX(EF!$H$100:$H$115,MATCH(Emissions!$D54,EF!$D$100:$D$115,0))*INDEX(EF!$H$116:$H$131,MATCH(Emissions!$D54,EF!$D$116:$D$131,0))*kgtoGg</f>
        <v>1.249710148564859</v>
      </c>
      <c r="BH54" s="22">
        <f>INDEX('Activity data'!BH$24:BH$39,MATCH(Emissions!$D54,'Activity data'!$D$24:$D$39,0))*INDEX(EF!$H$84:$H$99,MATCH(Emissions!$D54,EF!$D$84:$D$99,0))*INDEX(EF!$H$100:$H$115,MATCH(Emissions!$D54,EF!$D$100:$D$115,0))*INDEX(EF!$H$116:$H$131,MATCH(Emissions!$D54,EF!$D$116:$D$131,0))*kgtoGg</f>
        <v>1.2491701942079498</v>
      </c>
      <c r="BI54" s="22">
        <f>INDEX('Activity data'!BI$24:BI$39,MATCH(Emissions!$D54,'Activity data'!$D$24:$D$39,0))*INDEX(EF!$H$84:$H$99,MATCH(Emissions!$D54,EF!$D$84:$D$99,0))*INDEX(EF!$H$100:$H$115,MATCH(Emissions!$D54,EF!$D$100:$D$115,0))*INDEX(EF!$H$116:$H$131,MATCH(Emissions!$D54,EF!$D$116:$D$131,0))*kgtoGg</f>
        <v>1.2486302398510403</v>
      </c>
      <c r="BJ54" s="22">
        <f>INDEX('Activity data'!BJ$24:BJ$39,MATCH(Emissions!$D54,'Activity data'!$D$24:$D$39,0))*INDEX(EF!$H$84:$H$99,MATCH(Emissions!$D54,EF!$D$84:$D$99,0))*INDEX(EF!$H$100:$H$115,MATCH(Emissions!$D54,EF!$D$100:$D$115,0))*INDEX(EF!$H$116:$H$131,MATCH(Emissions!$D54,EF!$D$116:$D$131,0))*kgtoGg</f>
        <v>1.2480902854941309</v>
      </c>
      <c r="BK54" s="22">
        <f>INDEX('Activity data'!BK$24:BK$39,MATCH(Emissions!$D54,'Activity data'!$D$24:$D$39,0))*INDEX(EF!$H$84:$H$99,MATCH(Emissions!$D54,EF!$D$84:$D$99,0))*INDEX(EF!$H$100:$H$115,MATCH(Emissions!$D54,EF!$D$100:$D$115,0))*INDEX(EF!$H$116:$H$131,MATCH(Emissions!$D54,EF!$D$116:$D$131,0))*kgtoGg</f>
        <v>1.2475503311372214</v>
      </c>
      <c r="BL54" s="22">
        <f>INDEX('Activity data'!BL$24:BL$39,MATCH(Emissions!$D54,'Activity data'!$D$24:$D$39,0))*INDEX(EF!$H$84:$H$99,MATCH(Emissions!$D54,EF!$D$84:$D$99,0))*INDEX(EF!$H$100:$H$115,MATCH(Emissions!$D54,EF!$D$100:$D$115,0))*INDEX(EF!$H$116:$H$131,MATCH(Emissions!$D54,EF!$D$116:$D$131,0))*kgtoGg</f>
        <v>1.247010376780312</v>
      </c>
      <c r="BM54" s="22">
        <f>INDEX('Activity data'!BM$24:BM$39,MATCH(Emissions!$D54,'Activity data'!$D$24:$D$39,0))*INDEX(EF!$H$84:$H$99,MATCH(Emissions!$D54,EF!$D$84:$D$99,0))*INDEX(EF!$H$100:$H$115,MATCH(Emissions!$D54,EF!$D$100:$D$115,0))*INDEX(EF!$H$116:$H$131,MATCH(Emissions!$D54,EF!$D$116:$D$131,0))*kgtoGg</f>
        <v>1.2464704224234024</v>
      </c>
      <c r="BN54" s="22">
        <f>INDEX('Activity data'!BN$24:BN$39,MATCH(Emissions!$D54,'Activity data'!$D$24:$D$39,0))*INDEX(EF!$H$84:$H$99,MATCH(Emissions!$D54,EF!$D$84:$D$99,0))*INDEX(EF!$H$100:$H$115,MATCH(Emissions!$D54,EF!$D$100:$D$115,0))*INDEX(EF!$H$116:$H$131,MATCH(Emissions!$D54,EF!$D$116:$D$131,0))*kgtoGg</f>
        <v>1.2459304680664931</v>
      </c>
      <c r="BO54" s="22">
        <f>INDEX('Activity data'!BO$24:BO$39,MATCH(Emissions!$D54,'Activity data'!$D$24:$D$39,0))*INDEX(EF!$H$84:$H$99,MATCH(Emissions!$D54,EF!$D$84:$D$99,0))*INDEX(EF!$H$100:$H$115,MATCH(Emissions!$D54,EF!$D$100:$D$115,0))*INDEX(EF!$H$116:$H$131,MATCH(Emissions!$D54,EF!$D$116:$D$131,0))*kgtoGg</f>
        <v>1.2453905137095838</v>
      </c>
      <c r="BP54" s="22">
        <f>INDEX('Activity data'!BP$24:BP$39,MATCH(Emissions!$D54,'Activity data'!$D$24:$D$39,0))*INDEX(EF!$H$84:$H$99,MATCH(Emissions!$D54,EF!$D$84:$D$99,0))*INDEX(EF!$H$100:$H$115,MATCH(Emissions!$D54,EF!$D$100:$D$115,0))*INDEX(EF!$H$116:$H$131,MATCH(Emissions!$D54,EF!$D$116:$D$131,0))*kgtoGg</f>
        <v>1.2448505593526744</v>
      </c>
    </row>
    <row r="55" spans="1:68" x14ac:dyDescent="0.25">
      <c r="A55" t="str">
        <f>A54</f>
        <v>3C Aggregated and non-CO2 emissions on land</v>
      </c>
      <c r="B55" t="str">
        <f t="shared" ref="B55" si="12">B54</f>
        <v>3C1 Biomass burning (CH4)</v>
      </c>
      <c r="C55" t="str">
        <f>C54</f>
        <v>3C1a Biomass burning in forest land</v>
      </c>
      <c r="D55" t="str">
        <f>EF!D85</f>
        <v>Thickets</v>
      </c>
      <c r="E55" t="s">
        <v>642</v>
      </c>
      <c r="F55" t="str">
        <f>F54</f>
        <v>CH4</v>
      </c>
      <c r="G55" t="str">
        <f>G54</f>
        <v>Gg CH4</v>
      </c>
      <c r="H55" s="22">
        <f>INDEX('Activity data'!H$24:H$39,MATCH(Emissions!$D55,'Activity data'!$D$24:$D$39,0))*INDEX(EF!$H$84:$H$99,MATCH(Emissions!$D55,EF!$D$84:$D$99,0))*INDEX(EF!$H$100:$H$115,MATCH(Emissions!$D55,EF!$D$100:$D$115,0))*INDEX(EF!$H$116:$H$131,MATCH(Emissions!$D55,EF!$D$116:$D$131,0))*kgtoGg</f>
        <v>2.5068842856640616</v>
      </c>
      <c r="I55" s="22">
        <f>INDEX('Activity data'!I$24:I$39,MATCH(Emissions!$D55,'Activity data'!$D$24:$D$39,0))*INDEX(EF!$H$84:$H$99,MATCH(Emissions!$D55,EF!$D$84:$D$99,0))*INDEX(EF!$H$100:$H$115,MATCH(Emissions!$D55,EF!$D$100:$D$115,0))*INDEX(EF!$H$116:$H$131,MATCH(Emissions!$D55,EF!$D$116:$D$131,0))*kgtoGg</f>
        <v>2.5068842856640616</v>
      </c>
      <c r="J55" s="22">
        <f>INDEX('Activity data'!J$24:J$39,MATCH(Emissions!$D55,'Activity data'!$D$24:$D$39,0))*INDEX(EF!$H$84:$H$99,MATCH(Emissions!$D55,EF!$D$84:$D$99,0))*INDEX(EF!$H$100:$H$115,MATCH(Emissions!$D55,EF!$D$100:$D$115,0))*INDEX(EF!$H$116:$H$131,MATCH(Emissions!$D55,EF!$D$116:$D$131,0))*kgtoGg</f>
        <v>2.5068842856640616</v>
      </c>
      <c r="K55" s="22">
        <f>INDEX('Activity data'!K$24:K$39,MATCH(Emissions!$D55,'Activity data'!$D$24:$D$39,0))*INDEX(EF!$H$84:$H$99,MATCH(Emissions!$D55,EF!$D$84:$D$99,0))*INDEX(EF!$H$100:$H$115,MATCH(Emissions!$D55,EF!$D$100:$D$115,0))*INDEX(EF!$H$116:$H$131,MATCH(Emissions!$D55,EF!$D$116:$D$131,0))*kgtoGg</f>
        <v>2.5068842856640616</v>
      </c>
      <c r="L55" s="22">
        <f>INDEX('Activity data'!L$24:L$39,MATCH(Emissions!$D55,'Activity data'!$D$24:$D$39,0))*INDEX(EF!$H$84:$H$99,MATCH(Emissions!$D55,EF!$D$84:$D$99,0))*INDEX(EF!$H$100:$H$115,MATCH(Emissions!$D55,EF!$D$100:$D$115,0))*INDEX(EF!$H$116:$H$131,MATCH(Emissions!$D55,EF!$D$116:$D$131,0))*kgtoGg</f>
        <v>2.5068842856640616</v>
      </c>
      <c r="M55" s="22">
        <f>INDEX('Activity data'!M$24:M$39,MATCH(Emissions!$D55,'Activity data'!$D$24:$D$39,0))*INDEX(EF!$H$84:$H$99,MATCH(Emissions!$D55,EF!$D$84:$D$99,0))*INDEX(EF!$H$100:$H$115,MATCH(Emissions!$D55,EF!$D$100:$D$115,0))*INDEX(EF!$H$116:$H$131,MATCH(Emissions!$D55,EF!$D$116:$D$131,0))*kgtoGg</f>
        <v>2.5068842856640616</v>
      </c>
      <c r="N55" s="22">
        <f>INDEX('Activity data'!N$24:N$39,MATCH(Emissions!$D55,'Activity data'!$D$24:$D$39,0))*INDEX(EF!$H$84:$H$99,MATCH(Emissions!$D55,EF!$D$84:$D$99,0))*INDEX(EF!$H$100:$H$115,MATCH(Emissions!$D55,EF!$D$100:$D$115,0))*INDEX(EF!$H$116:$H$131,MATCH(Emissions!$D55,EF!$D$116:$D$131,0))*kgtoGg</f>
        <v>2.5068842856640616</v>
      </c>
      <c r="O55" s="22">
        <f>INDEX('Activity data'!O$24:O$39,MATCH(Emissions!$D55,'Activity data'!$D$24:$D$39,0))*INDEX(EF!$H$84:$H$99,MATCH(Emissions!$D55,EF!$D$84:$D$99,0))*INDEX(EF!$H$100:$H$115,MATCH(Emissions!$D55,EF!$D$100:$D$115,0))*INDEX(EF!$H$116:$H$131,MATCH(Emissions!$D55,EF!$D$116:$D$131,0))*kgtoGg</f>
        <v>2.5068842856640616</v>
      </c>
      <c r="P55" s="22">
        <f>INDEX('Activity data'!P$24:P$39,MATCH(Emissions!$D55,'Activity data'!$D$24:$D$39,0))*INDEX(EF!$H$84:$H$99,MATCH(Emissions!$D55,EF!$D$84:$D$99,0))*INDEX(EF!$H$100:$H$115,MATCH(Emissions!$D55,EF!$D$100:$D$115,0))*INDEX(EF!$H$116:$H$131,MATCH(Emissions!$D55,EF!$D$116:$D$131,0))*kgtoGg</f>
        <v>2.5068842856640616</v>
      </c>
      <c r="Q55" s="22">
        <f>INDEX('Activity data'!Q$24:Q$39,MATCH(Emissions!$D55,'Activity data'!$D$24:$D$39,0))*INDEX(EF!$H$84:$H$99,MATCH(Emissions!$D55,EF!$D$84:$D$99,0))*INDEX(EF!$H$100:$H$115,MATCH(Emissions!$D55,EF!$D$100:$D$115,0))*INDEX(EF!$H$116:$H$131,MATCH(Emissions!$D55,EF!$D$116:$D$131,0))*kgtoGg</f>
        <v>2.5068842856640616</v>
      </c>
      <c r="R55" s="22">
        <f>INDEX('Activity data'!R$24:R$39,MATCH(Emissions!$D55,'Activity data'!$D$24:$D$39,0))*INDEX(EF!$H$84:$H$99,MATCH(Emissions!$D55,EF!$D$84:$D$99,0))*INDEX(EF!$H$100:$H$115,MATCH(Emissions!$D55,EF!$D$100:$D$115,0))*INDEX(EF!$H$116:$H$131,MATCH(Emissions!$D55,EF!$D$116:$D$131,0))*kgtoGg</f>
        <v>2.574040698830915</v>
      </c>
      <c r="S55" s="22">
        <f>INDEX('Activity data'!S$24:S$39,MATCH(Emissions!$D55,'Activity data'!$D$24:$D$39,0))*INDEX(EF!$H$84:$H$99,MATCH(Emissions!$D55,EF!$D$84:$D$99,0))*INDEX(EF!$H$100:$H$115,MATCH(Emissions!$D55,EF!$D$100:$D$115,0))*INDEX(EF!$H$116:$H$131,MATCH(Emissions!$D55,EF!$D$116:$D$131,0))*kgtoGg</f>
        <v>3.2672402728856826</v>
      </c>
      <c r="T55" s="22">
        <f>INDEX('Activity data'!T$24:T$39,MATCH(Emissions!$D55,'Activity data'!$D$24:$D$39,0))*INDEX(EF!$H$84:$H$99,MATCH(Emissions!$D55,EF!$D$84:$D$99,0))*INDEX(EF!$H$100:$H$115,MATCH(Emissions!$D55,EF!$D$100:$D$115,0))*INDEX(EF!$H$116:$H$131,MATCH(Emissions!$D55,EF!$D$116:$D$131,0))*kgtoGg</f>
        <v>3.0158364323577054</v>
      </c>
      <c r="U55" s="22">
        <f>INDEX('Activity data'!U$24:U$39,MATCH(Emissions!$D55,'Activity data'!$D$24:$D$39,0))*INDEX(EF!$H$84:$H$99,MATCH(Emissions!$D55,EF!$D$84:$D$99,0))*INDEX(EF!$H$100:$H$115,MATCH(Emissions!$D55,EF!$D$100:$D$115,0))*INDEX(EF!$H$116:$H$131,MATCH(Emissions!$D55,EF!$D$116:$D$131,0))*kgtoGg</f>
        <v>1.8124731268356651</v>
      </c>
      <c r="V55" s="22">
        <f>INDEX('Activity data'!V$24:V$39,MATCH(Emissions!$D55,'Activity data'!$D$24:$D$39,0))*INDEX(EF!$H$84:$H$99,MATCH(Emissions!$D55,EF!$D$84:$D$99,0))*INDEX(EF!$H$100:$H$115,MATCH(Emissions!$D55,EF!$D$100:$D$115,0))*INDEX(EF!$H$116:$H$131,MATCH(Emissions!$D55,EF!$D$116:$D$131,0))*kgtoGg</f>
        <v>1.8648308974103387</v>
      </c>
      <c r="W55" s="22">
        <f>INDEX('Activity data'!W$24:W$39,MATCH(Emissions!$D55,'Activity data'!$D$24:$D$39,0))*INDEX(EF!$H$84:$H$99,MATCH(Emissions!$D55,EF!$D$84:$D$99,0))*INDEX(EF!$H$100:$H$115,MATCH(Emissions!$D55,EF!$D$100:$D$115,0))*INDEX(EF!$H$116:$H$131,MATCH(Emissions!$D55,EF!$D$116:$D$131,0))*kgtoGg</f>
        <v>3.2027666545747224</v>
      </c>
      <c r="X55" s="22">
        <f>INDEX('Activity data'!X$24:X$39,MATCH(Emissions!$D55,'Activity data'!$D$24:$D$39,0))*INDEX(EF!$H$84:$H$99,MATCH(Emissions!$D55,EF!$D$84:$D$99,0))*INDEX(EF!$H$100:$H$115,MATCH(Emissions!$D55,EF!$D$100:$D$115,0))*INDEX(EF!$H$116:$H$131,MATCH(Emissions!$D55,EF!$D$116:$D$131,0))*kgtoGg</f>
        <v>2.5583189440302561</v>
      </c>
      <c r="Y55" s="22">
        <f>INDEX('Activity data'!Y$24:Y$39,MATCH(Emissions!$D55,'Activity data'!$D$24:$D$39,0))*INDEX(EF!$H$84:$H$99,MATCH(Emissions!$D55,EF!$D$84:$D$99,0))*INDEX(EF!$H$100:$H$115,MATCH(Emissions!$D55,EF!$D$100:$D$115,0))*INDEX(EF!$H$116:$H$131,MATCH(Emissions!$D55,EF!$D$116:$D$131,0))*kgtoGg</f>
        <v>2.986989175842734</v>
      </c>
      <c r="Z55" s="22">
        <f>INDEX('Activity data'!Z$24:Z$39,MATCH(Emissions!$D55,'Activity data'!$D$24:$D$39,0))*INDEX(EF!$H$84:$H$99,MATCH(Emissions!$D55,EF!$D$84:$D$99,0))*INDEX(EF!$H$100:$H$115,MATCH(Emissions!$D55,EF!$D$100:$D$115,0))*INDEX(EF!$H$116:$H$131,MATCH(Emissions!$D55,EF!$D$116:$D$131,0))*kgtoGg</f>
        <v>3.286279462185564</v>
      </c>
      <c r="AA55" s="22">
        <f>INDEX('Activity data'!AA$24:AA$39,MATCH(Emissions!$D55,'Activity data'!$D$24:$D$39,0))*INDEX(EF!$H$84:$H$99,MATCH(Emissions!$D55,EF!$D$84:$D$99,0))*INDEX(EF!$H$100:$H$115,MATCH(Emissions!$D55,EF!$D$100:$D$115,0))*INDEX(EF!$H$116:$H$131,MATCH(Emissions!$D55,EF!$D$116:$D$131,0))*kgtoGg</f>
        <v>2.3897067297002468</v>
      </c>
      <c r="AB55" s="22">
        <f>INDEX('Activity data'!AB$24:AB$39,MATCH(Emissions!$D55,'Activity data'!$D$24:$D$39,0))*INDEX(EF!$H$84:$H$99,MATCH(Emissions!$D55,EF!$D$84:$D$99,0))*INDEX(EF!$H$100:$H$115,MATCH(Emissions!$D55,EF!$D$100:$D$115,0))*INDEX(EF!$H$116:$H$131,MATCH(Emissions!$D55,EF!$D$116:$D$131,0))*kgtoGg</f>
        <v>2.9201987820599995</v>
      </c>
      <c r="AC55" s="22">
        <f>INDEX('Activity data'!AC$24:AC$39,MATCH(Emissions!$D55,'Activity data'!$D$24:$D$39,0))*INDEX(EF!$H$84:$H$99,MATCH(Emissions!$D55,EF!$D$84:$D$99,0))*INDEX(EF!$H$100:$H$115,MATCH(Emissions!$D55,EF!$D$100:$D$115,0))*INDEX(EF!$H$116:$H$131,MATCH(Emissions!$D55,EF!$D$116:$D$131,0))*kgtoGg</f>
        <v>2.3252322901500002</v>
      </c>
      <c r="AD55" s="22">
        <f>INDEX('Activity data'!AD$24:AD$39,MATCH(Emissions!$D55,'Activity data'!$D$24:$D$39,0))*INDEX(EF!$H$84:$H$99,MATCH(Emissions!$D55,EF!$D$84:$D$99,0))*INDEX(EF!$H$100:$H$115,MATCH(Emissions!$D55,EF!$D$100:$D$115,0))*INDEX(EF!$H$116:$H$131,MATCH(Emissions!$D55,EF!$D$116:$D$131,0))*kgtoGg</f>
        <v>2.4624591885313172</v>
      </c>
      <c r="AE55" s="22">
        <f>INDEX('Activity data'!AE$24:AE$39,MATCH(Emissions!$D55,'Activity data'!$D$24:$D$39,0))*INDEX(EF!$H$84:$H$99,MATCH(Emissions!$D55,EF!$D$84:$D$99,0))*INDEX(EF!$H$100:$H$115,MATCH(Emissions!$D55,EF!$D$100:$D$115,0))*INDEX(EF!$H$116:$H$131,MATCH(Emissions!$D55,EF!$D$116:$D$131,0))*kgtoGg</f>
        <v>2.4585603570229884</v>
      </c>
      <c r="AF55" s="22">
        <f>INDEX('Activity data'!AF$24:AF$39,MATCH(Emissions!$D55,'Activity data'!$D$24:$D$39,0))*INDEX(EF!$H$84:$H$99,MATCH(Emissions!$D55,EF!$D$84:$D$99,0))*INDEX(EF!$H$100:$H$115,MATCH(Emissions!$D55,EF!$D$100:$D$115,0))*INDEX(EF!$H$116:$H$131,MATCH(Emissions!$D55,EF!$D$116:$D$131,0))*kgtoGg</f>
        <v>2.4546615255146595</v>
      </c>
      <c r="AG55" s="22">
        <f>INDEX('Activity data'!AG$24:AG$39,MATCH(Emissions!$D55,'Activity data'!$D$24:$D$39,0))*INDEX(EF!$H$84:$H$99,MATCH(Emissions!$D55,EF!$D$84:$D$99,0))*INDEX(EF!$H$100:$H$115,MATCH(Emissions!$D55,EF!$D$100:$D$115,0))*INDEX(EF!$H$116:$H$131,MATCH(Emissions!$D55,EF!$D$116:$D$131,0))*kgtoGg</f>
        <v>2.4507626940063303</v>
      </c>
      <c r="AH55" s="22">
        <f>INDEX('Activity data'!AH$24:AH$39,MATCH(Emissions!$D55,'Activity data'!$D$24:$D$39,0))*INDEX(EF!$H$84:$H$99,MATCH(Emissions!$D55,EF!$D$84:$D$99,0))*INDEX(EF!$H$100:$H$115,MATCH(Emissions!$D55,EF!$D$100:$D$115,0))*INDEX(EF!$H$116:$H$131,MATCH(Emissions!$D55,EF!$D$116:$D$131,0))*kgtoGg</f>
        <v>2.4468638624980015</v>
      </c>
      <c r="AI55" s="22">
        <f>INDEX('Activity data'!AI$24:AI$39,MATCH(Emissions!$D55,'Activity data'!$D$24:$D$39,0))*INDEX(EF!$H$84:$H$99,MATCH(Emissions!$D55,EF!$D$84:$D$99,0))*INDEX(EF!$H$100:$H$115,MATCH(Emissions!$D55,EF!$D$100:$D$115,0))*INDEX(EF!$H$116:$H$131,MATCH(Emissions!$D55,EF!$D$116:$D$131,0))*kgtoGg</f>
        <v>2.4429650309896722</v>
      </c>
      <c r="AJ55" s="22">
        <f>INDEX('Activity data'!AJ$24:AJ$39,MATCH(Emissions!$D55,'Activity data'!$D$24:$D$39,0))*INDEX(EF!$H$84:$H$99,MATCH(Emissions!$D55,EF!$D$84:$D$99,0))*INDEX(EF!$H$100:$H$115,MATCH(Emissions!$D55,EF!$D$100:$D$115,0))*INDEX(EF!$H$116:$H$131,MATCH(Emissions!$D55,EF!$D$116:$D$131,0))*kgtoGg</f>
        <v>2.4390661994813438</v>
      </c>
      <c r="AK55" s="22">
        <f>INDEX('Activity data'!AK$24:AK$39,MATCH(Emissions!$D55,'Activity data'!$D$24:$D$39,0))*INDEX(EF!$H$84:$H$99,MATCH(Emissions!$D55,EF!$D$84:$D$99,0))*INDEX(EF!$H$100:$H$115,MATCH(Emissions!$D55,EF!$D$100:$D$115,0))*INDEX(EF!$H$116:$H$131,MATCH(Emissions!$D55,EF!$D$116:$D$131,0))*kgtoGg</f>
        <v>2.4351673679730146</v>
      </c>
      <c r="AL55" s="22">
        <f>INDEX('Activity data'!AL$24:AL$39,MATCH(Emissions!$D55,'Activity data'!$D$24:$D$39,0))*INDEX(EF!$H$84:$H$99,MATCH(Emissions!$D55,EF!$D$84:$D$99,0))*INDEX(EF!$H$100:$H$115,MATCH(Emissions!$D55,EF!$D$100:$D$115,0))*INDEX(EF!$H$116:$H$131,MATCH(Emissions!$D55,EF!$D$116:$D$131,0))*kgtoGg</f>
        <v>2.4312685364646853</v>
      </c>
      <c r="AM55" s="22">
        <f>INDEX('Activity data'!AM$24:AM$39,MATCH(Emissions!$D55,'Activity data'!$D$24:$D$39,0))*INDEX(EF!$H$84:$H$99,MATCH(Emissions!$D55,EF!$D$84:$D$99,0))*INDEX(EF!$H$100:$H$115,MATCH(Emissions!$D55,EF!$D$100:$D$115,0))*INDEX(EF!$H$116:$H$131,MATCH(Emissions!$D55,EF!$D$116:$D$131,0))*kgtoGg</f>
        <v>2.427369704956357</v>
      </c>
      <c r="AN55" s="22">
        <f>INDEX('Activity data'!AN$24:AN$39,MATCH(Emissions!$D55,'Activity data'!$D$24:$D$39,0))*INDEX(EF!$H$84:$H$99,MATCH(Emissions!$D55,EF!$D$84:$D$99,0))*INDEX(EF!$H$100:$H$115,MATCH(Emissions!$D55,EF!$D$100:$D$115,0))*INDEX(EF!$H$116:$H$131,MATCH(Emissions!$D55,EF!$D$116:$D$131,0))*kgtoGg</f>
        <v>2.4234708734480273</v>
      </c>
      <c r="AO55" s="22">
        <f>INDEX('Activity data'!AO$24:AO$39,MATCH(Emissions!$D55,'Activity data'!$D$24:$D$39,0))*INDEX(EF!$H$84:$H$99,MATCH(Emissions!$D55,EF!$D$84:$D$99,0))*INDEX(EF!$H$100:$H$115,MATCH(Emissions!$D55,EF!$D$100:$D$115,0))*INDEX(EF!$H$116:$H$131,MATCH(Emissions!$D55,EF!$D$116:$D$131,0))*kgtoGg</f>
        <v>2.4195720419396989</v>
      </c>
      <c r="AP55" s="22">
        <f>INDEX('Activity data'!AP$24:AP$39,MATCH(Emissions!$D55,'Activity data'!$D$24:$D$39,0))*INDEX(EF!$H$84:$H$99,MATCH(Emissions!$D55,EF!$D$84:$D$99,0))*INDEX(EF!$H$100:$H$115,MATCH(Emissions!$D55,EF!$D$100:$D$115,0))*INDEX(EF!$H$116:$H$131,MATCH(Emissions!$D55,EF!$D$116:$D$131,0))*kgtoGg</f>
        <v>2.4156732104313696</v>
      </c>
      <c r="AQ55" s="22">
        <f>INDEX('Activity data'!AQ$24:AQ$39,MATCH(Emissions!$D55,'Activity data'!$D$24:$D$39,0))*INDEX(EF!$H$84:$H$99,MATCH(Emissions!$D55,EF!$D$84:$D$99,0))*INDEX(EF!$H$100:$H$115,MATCH(Emissions!$D55,EF!$D$100:$D$115,0))*INDEX(EF!$H$116:$H$131,MATCH(Emissions!$D55,EF!$D$116:$D$131,0))*kgtoGg</f>
        <v>2.4117743789230404</v>
      </c>
      <c r="AR55" s="22">
        <f>INDEX('Activity data'!AR$24:AR$39,MATCH(Emissions!$D55,'Activity data'!$D$24:$D$39,0))*INDEX(EF!$H$84:$H$99,MATCH(Emissions!$D55,EF!$D$84:$D$99,0))*INDEX(EF!$H$100:$H$115,MATCH(Emissions!$D55,EF!$D$100:$D$115,0))*INDEX(EF!$H$116:$H$131,MATCH(Emissions!$D55,EF!$D$116:$D$131,0))*kgtoGg</f>
        <v>2.407875547414712</v>
      </c>
      <c r="AS55" s="22">
        <f>INDEX('Activity data'!AS$24:AS$39,MATCH(Emissions!$D55,'Activity data'!$D$24:$D$39,0))*INDEX(EF!$H$84:$H$99,MATCH(Emissions!$D55,EF!$D$84:$D$99,0))*INDEX(EF!$H$100:$H$115,MATCH(Emissions!$D55,EF!$D$100:$D$115,0))*INDEX(EF!$H$116:$H$131,MATCH(Emissions!$D55,EF!$D$116:$D$131,0))*kgtoGg</f>
        <v>2.4039767159063823</v>
      </c>
      <c r="AT55" s="22">
        <f>INDEX('Activity data'!AT$24:AT$39,MATCH(Emissions!$D55,'Activity data'!$D$24:$D$39,0))*INDEX(EF!$H$84:$H$99,MATCH(Emissions!$D55,EF!$D$84:$D$99,0))*INDEX(EF!$H$100:$H$115,MATCH(Emissions!$D55,EF!$D$100:$D$115,0))*INDEX(EF!$H$116:$H$131,MATCH(Emissions!$D55,EF!$D$116:$D$131,0))*kgtoGg</f>
        <v>2.4000778843980535</v>
      </c>
      <c r="AU55" s="22">
        <f>INDEX('Activity data'!AU$24:AU$39,MATCH(Emissions!$D55,'Activity data'!$D$24:$D$39,0))*INDEX(EF!$H$84:$H$99,MATCH(Emissions!$D55,EF!$D$84:$D$99,0))*INDEX(EF!$H$100:$H$115,MATCH(Emissions!$D55,EF!$D$100:$D$115,0))*INDEX(EF!$H$116:$H$131,MATCH(Emissions!$D55,EF!$D$116:$D$131,0))*kgtoGg</f>
        <v>2.3961790528897247</v>
      </c>
      <c r="AV55" s="22">
        <f>INDEX('Activity data'!AV$24:AV$39,MATCH(Emissions!$D55,'Activity data'!$D$24:$D$39,0))*INDEX(EF!$H$84:$H$99,MATCH(Emissions!$D55,EF!$D$84:$D$99,0))*INDEX(EF!$H$100:$H$115,MATCH(Emissions!$D55,EF!$D$100:$D$115,0))*INDEX(EF!$H$116:$H$131,MATCH(Emissions!$D55,EF!$D$116:$D$131,0))*kgtoGg</f>
        <v>2.3922802213813954</v>
      </c>
      <c r="AW55" s="22">
        <f>INDEX('Activity data'!AW$24:AW$39,MATCH(Emissions!$D55,'Activity data'!$D$24:$D$39,0))*INDEX(EF!$H$84:$H$99,MATCH(Emissions!$D55,EF!$D$84:$D$99,0))*INDEX(EF!$H$100:$H$115,MATCH(Emissions!$D55,EF!$D$100:$D$115,0))*INDEX(EF!$H$116:$H$131,MATCH(Emissions!$D55,EF!$D$116:$D$131,0))*kgtoGg</f>
        <v>2.3883813898730675</v>
      </c>
      <c r="AX55" s="22">
        <f>INDEX('Activity data'!AX$24:AX$39,MATCH(Emissions!$D55,'Activity data'!$D$24:$D$39,0))*INDEX(EF!$H$84:$H$99,MATCH(Emissions!$D55,EF!$D$84:$D$99,0))*INDEX(EF!$H$100:$H$115,MATCH(Emissions!$D55,EF!$D$100:$D$115,0))*INDEX(EF!$H$116:$H$131,MATCH(Emissions!$D55,EF!$D$116:$D$131,0))*kgtoGg</f>
        <v>2.3844825583647378</v>
      </c>
      <c r="AY55" s="22">
        <f>INDEX('Activity data'!AY$24:AY$39,MATCH(Emissions!$D55,'Activity data'!$D$24:$D$39,0))*INDEX(EF!$H$84:$H$99,MATCH(Emissions!$D55,EF!$D$84:$D$99,0))*INDEX(EF!$H$100:$H$115,MATCH(Emissions!$D55,EF!$D$100:$D$115,0))*INDEX(EF!$H$116:$H$131,MATCH(Emissions!$D55,EF!$D$116:$D$131,0))*kgtoGg</f>
        <v>2.3805837268564085</v>
      </c>
      <c r="AZ55" s="22">
        <f>INDEX('Activity data'!AZ$24:AZ$39,MATCH(Emissions!$D55,'Activity data'!$D$24:$D$39,0))*INDEX(EF!$H$84:$H$99,MATCH(Emissions!$D55,EF!$D$84:$D$99,0))*INDEX(EF!$H$100:$H$115,MATCH(Emissions!$D55,EF!$D$100:$D$115,0))*INDEX(EF!$H$116:$H$131,MATCH(Emissions!$D55,EF!$D$116:$D$131,0))*kgtoGg</f>
        <v>2.3766848953480793</v>
      </c>
      <c r="BA55" s="22">
        <f>INDEX('Activity data'!BA$24:BA$39,MATCH(Emissions!$D55,'Activity data'!$D$24:$D$39,0))*INDEX(EF!$H$84:$H$99,MATCH(Emissions!$D55,EF!$D$84:$D$99,0))*INDEX(EF!$H$100:$H$115,MATCH(Emissions!$D55,EF!$D$100:$D$115,0))*INDEX(EF!$H$116:$H$131,MATCH(Emissions!$D55,EF!$D$116:$D$131,0))*kgtoGg</f>
        <v>2.3727860638397509</v>
      </c>
      <c r="BB55" s="22">
        <f>INDEX('Activity data'!BB$24:BB$39,MATCH(Emissions!$D55,'Activity data'!$D$24:$D$39,0))*INDEX(EF!$H$84:$H$99,MATCH(Emissions!$D55,EF!$D$84:$D$99,0))*INDEX(EF!$H$100:$H$115,MATCH(Emissions!$D55,EF!$D$100:$D$115,0))*INDEX(EF!$H$116:$H$131,MATCH(Emissions!$D55,EF!$D$116:$D$131,0))*kgtoGg</f>
        <v>2.3688872323314216</v>
      </c>
      <c r="BC55" s="22">
        <f>INDEX('Activity data'!BC$24:BC$39,MATCH(Emissions!$D55,'Activity data'!$D$24:$D$39,0))*INDEX(EF!$H$84:$H$99,MATCH(Emissions!$D55,EF!$D$84:$D$99,0))*INDEX(EF!$H$100:$H$115,MATCH(Emissions!$D55,EF!$D$100:$D$115,0))*INDEX(EF!$H$116:$H$131,MATCH(Emissions!$D55,EF!$D$116:$D$131,0))*kgtoGg</f>
        <v>2.3649884008230924</v>
      </c>
      <c r="BD55" s="22">
        <f>INDEX('Activity data'!BD$24:BD$39,MATCH(Emissions!$D55,'Activity data'!$D$24:$D$39,0))*INDEX(EF!$H$84:$H$99,MATCH(Emissions!$D55,EF!$D$84:$D$99,0))*INDEX(EF!$H$100:$H$115,MATCH(Emissions!$D55,EF!$D$100:$D$115,0))*INDEX(EF!$H$116:$H$131,MATCH(Emissions!$D55,EF!$D$116:$D$131,0))*kgtoGg</f>
        <v>2.361089569314764</v>
      </c>
      <c r="BE55" s="22">
        <f>INDEX('Activity data'!BE$24:BE$39,MATCH(Emissions!$D55,'Activity data'!$D$24:$D$39,0))*INDEX(EF!$H$84:$H$99,MATCH(Emissions!$D55,EF!$D$84:$D$99,0))*INDEX(EF!$H$100:$H$115,MATCH(Emissions!$D55,EF!$D$100:$D$115,0))*INDEX(EF!$H$116:$H$131,MATCH(Emissions!$D55,EF!$D$116:$D$131,0))*kgtoGg</f>
        <v>2.3571907378064347</v>
      </c>
      <c r="BF55" s="22">
        <f>INDEX('Activity data'!BF$24:BF$39,MATCH(Emissions!$D55,'Activity data'!$D$24:$D$39,0))*INDEX(EF!$H$84:$H$99,MATCH(Emissions!$D55,EF!$D$84:$D$99,0))*INDEX(EF!$H$100:$H$115,MATCH(Emissions!$D55,EF!$D$100:$D$115,0))*INDEX(EF!$H$116:$H$131,MATCH(Emissions!$D55,EF!$D$116:$D$131,0))*kgtoGg</f>
        <v>2.3532919062981059</v>
      </c>
      <c r="BG55" s="22">
        <f>INDEX('Activity data'!BG$24:BG$39,MATCH(Emissions!$D55,'Activity data'!$D$24:$D$39,0))*INDEX(EF!$H$84:$H$99,MATCH(Emissions!$D55,EF!$D$84:$D$99,0))*INDEX(EF!$H$100:$H$115,MATCH(Emissions!$D55,EF!$D$100:$D$115,0))*INDEX(EF!$H$116:$H$131,MATCH(Emissions!$D55,EF!$D$116:$D$131,0))*kgtoGg</f>
        <v>2.3493930747897767</v>
      </c>
      <c r="BH55" s="22">
        <f>INDEX('Activity data'!BH$24:BH$39,MATCH(Emissions!$D55,'Activity data'!$D$24:$D$39,0))*INDEX(EF!$H$84:$H$99,MATCH(Emissions!$D55,EF!$D$84:$D$99,0))*INDEX(EF!$H$100:$H$115,MATCH(Emissions!$D55,EF!$D$100:$D$115,0))*INDEX(EF!$H$116:$H$131,MATCH(Emissions!$D55,EF!$D$116:$D$131,0))*kgtoGg</f>
        <v>2.3454942432814478</v>
      </c>
      <c r="BI55" s="22">
        <f>INDEX('Activity data'!BI$24:BI$39,MATCH(Emissions!$D55,'Activity data'!$D$24:$D$39,0))*INDEX(EF!$H$84:$H$99,MATCH(Emissions!$D55,EF!$D$84:$D$99,0))*INDEX(EF!$H$100:$H$115,MATCH(Emissions!$D55,EF!$D$100:$D$115,0))*INDEX(EF!$H$116:$H$131,MATCH(Emissions!$D55,EF!$D$116:$D$131,0))*kgtoGg</f>
        <v>2.341595411773119</v>
      </c>
      <c r="BJ55" s="22">
        <f>INDEX('Activity data'!BJ$24:BJ$39,MATCH(Emissions!$D55,'Activity data'!$D$24:$D$39,0))*INDEX(EF!$H$84:$H$99,MATCH(Emissions!$D55,EF!$D$84:$D$99,0))*INDEX(EF!$H$100:$H$115,MATCH(Emissions!$D55,EF!$D$100:$D$115,0))*INDEX(EF!$H$116:$H$131,MATCH(Emissions!$D55,EF!$D$116:$D$131,0))*kgtoGg</f>
        <v>2.3376965802647898</v>
      </c>
      <c r="BK55" s="22">
        <f>INDEX('Activity data'!BK$24:BK$39,MATCH(Emissions!$D55,'Activity data'!$D$24:$D$39,0))*INDEX(EF!$H$84:$H$99,MATCH(Emissions!$D55,EF!$D$84:$D$99,0))*INDEX(EF!$H$100:$H$115,MATCH(Emissions!$D55,EF!$D$100:$D$115,0))*INDEX(EF!$H$116:$H$131,MATCH(Emissions!$D55,EF!$D$116:$D$131,0))*kgtoGg</f>
        <v>2.3337977487564614</v>
      </c>
      <c r="BL55" s="22">
        <f>INDEX('Activity data'!BL$24:BL$39,MATCH(Emissions!$D55,'Activity data'!$D$24:$D$39,0))*INDEX(EF!$H$84:$H$99,MATCH(Emissions!$D55,EF!$D$84:$D$99,0))*INDEX(EF!$H$100:$H$115,MATCH(Emissions!$D55,EF!$D$100:$D$115,0))*INDEX(EF!$H$116:$H$131,MATCH(Emissions!$D55,EF!$D$116:$D$131,0))*kgtoGg</f>
        <v>2.3298989172481317</v>
      </c>
      <c r="BM55" s="22">
        <f>INDEX('Activity data'!BM$24:BM$39,MATCH(Emissions!$D55,'Activity data'!$D$24:$D$39,0))*INDEX(EF!$H$84:$H$99,MATCH(Emissions!$D55,EF!$D$84:$D$99,0))*INDEX(EF!$H$100:$H$115,MATCH(Emissions!$D55,EF!$D$100:$D$115,0))*INDEX(EF!$H$116:$H$131,MATCH(Emissions!$D55,EF!$D$116:$D$131,0))*kgtoGg</f>
        <v>2.3260000857398029</v>
      </c>
      <c r="BN55" s="22">
        <f>INDEX('Activity data'!BN$24:BN$39,MATCH(Emissions!$D55,'Activity data'!$D$24:$D$39,0))*INDEX(EF!$H$84:$H$99,MATCH(Emissions!$D55,EF!$D$84:$D$99,0))*INDEX(EF!$H$100:$H$115,MATCH(Emissions!$D55,EF!$D$100:$D$115,0))*INDEX(EF!$H$116:$H$131,MATCH(Emissions!$D55,EF!$D$116:$D$131,0))*kgtoGg</f>
        <v>2.3221012542314736</v>
      </c>
      <c r="BO55" s="22">
        <f>INDEX('Activity data'!BO$24:BO$39,MATCH(Emissions!$D55,'Activity data'!$D$24:$D$39,0))*INDEX(EF!$H$84:$H$99,MATCH(Emissions!$D55,EF!$D$84:$D$99,0))*INDEX(EF!$H$100:$H$115,MATCH(Emissions!$D55,EF!$D$100:$D$115,0))*INDEX(EF!$H$116:$H$131,MATCH(Emissions!$D55,EF!$D$116:$D$131,0))*kgtoGg</f>
        <v>2.3182024227231448</v>
      </c>
      <c r="BP55" s="22">
        <f>INDEX('Activity data'!BP$24:BP$39,MATCH(Emissions!$D55,'Activity data'!$D$24:$D$39,0))*INDEX(EF!$H$84:$H$99,MATCH(Emissions!$D55,EF!$D$84:$D$99,0))*INDEX(EF!$H$100:$H$115,MATCH(Emissions!$D55,EF!$D$100:$D$115,0))*INDEX(EF!$H$116:$H$131,MATCH(Emissions!$D55,EF!$D$116:$D$131,0))*kgtoGg</f>
        <v>2.314303591214816</v>
      </c>
    </row>
    <row r="56" spans="1:68" x14ac:dyDescent="0.25">
      <c r="A56" t="str">
        <f t="shared" ref="A56:A60" si="13">A55</f>
        <v>3C Aggregated and non-CO2 emissions on land</v>
      </c>
      <c r="B56" t="str">
        <f t="shared" ref="B56:B59" si="14">B55</f>
        <v>3C1 Biomass burning (CH4)</v>
      </c>
      <c r="C56" t="str">
        <f t="shared" ref="C56:C57" si="15">C55</f>
        <v>3C1a Biomass burning in forest land</v>
      </c>
      <c r="D56" t="str">
        <f>EF!D86</f>
        <v>Woodlands</v>
      </c>
      <c r="E56" t="s">
        <v>643</v>
      </c>
      <c r="F56" t="str">
        <f t="shared" ref="F56:F59" si="16">F55</f>
        <v>CH4</v>
      </c>
      <c r="G56" t="str">
        <f t="shared" ref="G56:G59" si="17">G55</f>
        <v>Gg CH4</v>
      </c>
      <c r="H56" s="22">
        <f>INDEX('Activity data'!H$24:H$39,MATCH(Emissions!$D56,'Activity data'!$D$24:$D$39,0))*INDEX(EF!$H$84:$H$99,MATCH(Emissions!$D56,EF!$D$84:$D$99,0))*INDEX(EF!$H$100:$H$115,MATCH(Emissions!$D56,EF!$D$100:$D$115,0))*INDEX(EF!$H$116:$H$131,MATCH(Emissions!$D56,EF!$D$116:$D$131,0))*kgtoGg</f>
        <v>5.6531469914652028</v>
      </c>
      <c r="I56" s="22">
        <f>INDEX('Activity data'!I$24:I$39,MATCH(Emissions!$D56,'Activity data'!$D$24:$D$39,0))*INDEX(EF!$H$84:$H$99,MATCH(Emissions!$D56,EF!$D$84:$D$99,0))*INDEX(EF!$H$100:$H$115,MATCH(Emissions!$D56,EF!$D$100:$D$115,0))*INDEX(EF!$H$116:$H$131,MATCH(Emissions!$D56,EF!$D$116:$D$131,0))*kgtoGg</f>
        <v>5.6531469914652028</v>
      </c>
      <c r="J56" s="22">
        <f>INDEX('Activity data'!J$24:J$39,MATCH(Emissions!$D56,'Activity data'!$D$24:$D$39,0))*INDEX(EF!$H$84:$H$99,MATCH(Emissions!$D56,EF!$D$84:$D$99,0))*INDEX(EF!$H$100:$H$115,MATCH(Emissions!$D56,EF!$D$100:$D$115,0))*INDEX(EF!$H$116:$H$131,MATCH(Emissions!$D56,EF!$D$116:$D$131,0))*kgtoGg</f>
        <v>5.6531469914652028</v>
      </c>
      <c r="K56" s="22">
        <f>INDEX('Activity data'!K$24:K$39,MATCH(Emissions!$D56,'Activity data'!$D$24:$D$39,0))*INDEX(EF!$H$84:$H$99,MATCH(Emissions!$D56,EF!$D$84:$D$99,0))*INDEX(EF!$H$100:$H$115,MATCH(Emissions!$D56,EF!$D$100:$D$115,0))*INDEX(EF!$H$116:$H$131,MATCH(Emissions!$D56,EF!$D$116:$D$131,0))*kgtoGg</f>
        <v>5.6531469914652028</v>
      </c>
      <c r="L56" s="22">
        <f>INDEX('Activity data'!L$24:L$39,MATCH(Emissions!$D56,'Activity data'!$D$24:$D$39,0))*INDEX(EF!$H$84:$H$99,MATCH(Emissions!$D56,EF!$D$84:$D$99,0))*INDEX(EF!$H$100:$H$115,MATCH(Emissions!$D56,EF!$D$100:$D$115,0))*INDEX(EF!$H$116:$H$131,MATCH(Emissions!$D56,EF!$D$116:$D$131,0))*kgtoGg</f>
        <v>5.6531469914652028</v>
      </c>
      <c r="M56" s="22">
        <f>INDEX('Activity data'!M$24:M$39,MATCH(Emissions!$D56,'Activity data'!$D$24:$D$39,0))*INDEX(EF!$H$84:$H$99,MATCH(Emissions!$D56,EF!$D$84:$D$99,0))*INDEX(EF!$H$100:$H$115,MATCH(Emissions!$D56,EF!$D$100:$D$115,0))*INDEX(EF!$H$116:$H$131,MATCH(Emissions!$D56,EF!$D$116:$D$131,0))*kgtoGg</f>
        <v>5.6531469914652028</v>
      </c>
      <c r="N56" s="22">
        <f>INDEX('Activity data'!N$24:N$39,MATCH(Emissions!$D56,'Activity data'!$D$24:$D$39,0))*INDEX(EF!$H$84:$H$99,MATCH(Emissions!$D56,EF!$D$84:$D$99,0))*INDEX(EF!$H$100:$H$115,MATCH(Emissions!$D56,EF!$D$100:$D$115,0))*INDEX(EF!$H$116:$H$131,MATCH(Emissions!$D56,EF!$D$116:$D$131,0))*kgtoGg</f>
        <v>5.6531469914652028</v>
      </c>
      <c r="O56" s="22">
        <f>INDEX('Activity data'!O$24:O$39,MATCH(Emissions!$D56,'Activity data'!$D$24:$D$39,0))*INDEX(EF!$H$84:$H$99,MATCH(Emissions!$D56,EF!$D$84:$D$99,0))*INDEX(EF!$H$100:$H$115,MATCH(Emissions!$D56,EF!$D$100:$D$115,0))*INDEX(EF!$H$116:$H$131,MATCH(Emissions!$D56,EF!$D$116:$D$131,0))*kgtoGg</f>
        <v>5.6531469914652028</v>
      </c>
      <c r="P56" s="22">
        <f>INDEX('Activity data'!P$24:P$39,MATCH(Emissions!$D56,'Activity data'!$D$24:$D$39,0))*INDEX(EF!$H$84:$H$99,MATCH(Emissions!$D56,EF!$D$84:$D$99,0))*INDEX(EF!$H$100:$H$115,MATCH(Emissions!$D56,EF!$D$100:$D$115,0))*INDEX(EF!$H$116:$H$131,MATCH(Emissions!$D56,EF!$D$116:$D$131,0))*kgtoGg</f>
        <v>5.6531469914652028</v>
      </c>
      <c r="Q56" s="22">
        <f>INDEX('Activity data'!Q$24:Q$39,MATCH(Emissions!$D56,'Activity data'!$D$24:$D$39,0))*INDEX(EF!$H$84:$H$99,MATCH(Emissions!$D56,EF!$D$84:$D$99,0))*INDEX(EF!$H$100:$H$115,MATCH(Emissions!$D56,EF!$D$100:$D$115,0))*INDEX(EF!$H$116:$H$131,MATCH(Emissions!$D56,EF!$D$116:$D$131,0))*kgtoGg</f>
        <v>5.6531469914652028</v>
      </c>
      <c r="R56" s="22">
        <f>INDEX('Activity data'!R$24:R$39,MATCH(Emissions!$D56,'Activity data'!$D$24:$D$39,0))*INDEX(EF!$H$84:$H$99,MATCH(Emissions!$D56,EF!$D$84:$D$99,0))*INDEX(EF!$H$100:$H$115,MATCH(Emissions!$D56,EF!$D$100:$D$115,0))*INDEX(EF!$H$116:$H$131,MATCH(Emissions!$D56,EF!$D$116:$D$131,0))*kgtoGg</f>
        <v>5.9201330160969858</v>
      </c>
      <c r="S56" s="22">
        <f>INDEX('Activity data'!S$24:S$39,MATCH(Emissions!$D56,'Activity data'!$D$24:$D$39,0))*INDEX(EF!$H$84:$H$99,MATCH(Emissions!$D56,EF!$D$84:$D$99,0))*INDEX(EF!$H$100:$H$115,MATCH(Emissions!$D56,EF!$D$100:$D$115,0))*INDEX(EF!$H$116:$H$131,MATCH(Emissions!$D56,EF!$D$116:$D$131,0))*kgtoGg</f>
        <v>8.5137755895560279</v>
      </c>
      <c r="T56" s="22">
        <f>INDEX('Activity data'!T$24:T$39,MATCH(Emissions!$D56,'Activity data'!$D$24:$D$39,0))*INDEX(EF!$H$84:$H$99,MATCH(Emissions!$D56,EF!$D$84:$D$99,0))*INDEX(EF!$H$100:$H$115,MATCH(Emissions!$D56,EF!$D$100:$D$115,0))*INDEX(EF!$H$116:$H$131,MATCH(Emissions!$D56,EF!$D$116:$D$131,0))*kgtoGg</f>
        <v>6.5840487252639006</v>
      </c>
      <c r="U56" s="22">
        <f>INDEX('Activity data'!U$24:U$39,MATCH(Emissions!$D56,'Activity data'!$D$24:$D$39,0))*INDEX(EF!$H$84:$H$99,MATCH(Emissions!$D56,EF!$D$84:$D$99,0))*INDEX(EF!$H$100:$H$115,MATCH(Emissions!$D56,EF!$D$100:$D$115,0))*INDEX(EF!$H$116:$H$131,MATCH(Emissions!$D56,EF!$D$116:$D$131,0))*kgtoGg</f>
        <v>2.5247104134470595</v>
      </c>
      <c r="V56" s="22">
        <f>INDEX('Activity data'!V$24:V$39,MATCH(Emissions!$D56,'Activity data'!$D$24:$D$39,0))*INDEX(EF!$H$84:$H$99,MATCH(Emissions!$D56,EF!$D$84:$D$99,0))*INDEX(EF!$H$100:$H$115,MATCH(Emissions!$D56,EF!$D$100:$D$115,0))*INDEX(EF!$H$116:$H$131,MATCH(Emissions!$D56,EF!$D$116:$D$131,0))*kgtoGg</f>
        <v>4.7230672129620421</v>
      </c>
      <c r="W56" s="22">
        <f>INDEX('Activity data'!W$24:W$39,MATCH(Emissions!$D56,'Activity data'!$D$24:$D$39,0))*INDEX(EF!$H$84:$H$99,MATCH(Emissions!$D56,EF!$D$84:$D$99,0))*INDEX(EF!$H$100:$H$115,MATCH(Emissions!$D56,EF!$D$100:$D$115,0))*INDEX(EF!$H$116:$H$131,MATCH(Emissions!$D56,EF!$D$116:$D$131,0))*kgtoGg</f>
        <v>7.9744608308714833</v>
      </c>
      <c r="X56" s="22">
        <f>INDEX('Activity data'!X$24:X$39,MATCH(Emissions!$D56,'Activity data'!$D$24:$D$39,0))*INDEX(EF!$H$84:$H$99,MATCH(Emissions!$D56,EF!$D$84:$D$99,0))*INDEX(EF!$H$100:$H$115,MATCH(Emissions!$D56,EF!$D$100:$D$115,0))*INDEX(EF!$H$116:$H$131,MATCH(Emissions!$D56,EF!$D$116:$D$131,0))*kgtoGg</f>
        <v>6.9184350841296229</v>
      </c>
      <c r="Y56" s="22">
        <f>INDEX('Activity data'!Y$24:Y$39,MATCH(Emissions!$D56,'Activity data'!$D$24:$D$39,0))*INDEX(EF!$H$84:$H$99,MATCH(Emissions!$D56,EF!$D$84:$D$99,0))*INDEX(EF!$H$100:$H$115,MATCH(Emissions!$D56,EF!$D$100:$D$115,0))*INDEX(EF!$H$116:$H$131,MATCH(Emissions!$D56,EF!$D$116:$D$131,0))*kgtoGg</f>
        <v>3.9808789426975095</v>
      </c>
      <c r="Z56" s="22">
        <f>INDEX('Activity data'!Z$24:Z$39,MATCH(Emissions!$D56,'Activity data'!$D$24:$D$39,0))*INDEX(EF!$H$84:$H$99,MATCH(Emissions!$D56,EF!$D$84:$D$99,0))*INDEX(EF!$H$100:$H$115,MATCH(Emissions!$D56,EF!$D$100:$D$115,0))*INDEX(EF!$H$116:$H$131,MATCH(Emissions!$D56,EF!$D$116:$D$131,0))*kgtoGg</f>
        <v>7.1887462915478917</v>
      </c>
      <c r="AA56" s="22">
        <f>INDEX('Activity data'!AA$24:AA$39,MATCH(Emissions!$D56,'Activity data'!$D$24:$D$39,0))*INDEX(EF!$H$84:$H$99,MATCH(Emissions!$D56,EF!$D$84:$D$99,0))*INDEX(EF!$H$100:$H$115,MATCH(Emissions!$D56,EF!$D$100:$D$115,0))*INDEX(EF!$H$116:$H$131,MATCH(Emissions!$D56,EF!$D$116:$D$131,0))*kgtoGg</f>
        <v>4.7368910065687819</v>
      </c>
      <c r="AB56" s="22">
        <f>INDEX('Activity data'!AB$24:AB$39,MATCH(Emissions!$D56,'Activity data'!$D$24:$D$39,0))*INDEX(EF!$H$84:$H$99,MATCH(Emissions!$D56,EF!$D$84:$D$99,0))*INDEX(EF!$H$100:$H$115,MATCH(Emissions!$D56,EF!$D$100:$D$115,0))*INDEX(EF!$H$116:$H$131,MATCH(Emissions!$D56,EF!$D$116:$D$131,0))*kgtoGg</f>
        <v>6.6733368768000005</v>
      </c>
      <c r="AC56" s="22">
        <f>INDEX('Activity data'!AC$24:AC$39,MATCH(Emissions!$D56,'Activity data'!$D$24:$D$39,0))*INDEX(EF!$H$84:$H$99,MATCH(Emissions!$D56,EF!$D$84:$D$99,0))*INDEX(EF!$H$100:$H$115,MATCH(Emissions!$D56,EF!$D$100:$D$115,0))*INDEX(EF!$H$116:$H$131,MATCH(Emissions!$D56,EF!$D$116:$D$131,0))*kgtoGg</f>
        <v>6.10643382624</v>
      </c>
      <c r="AD56" s="22">
        <f>INDEX('Activity data'!AD$24:AD$39,MATCH(Emissions!$D56,'Activity data'!$D$24:$D$39,0))*INDEX(EF!$H$84:$H$99,MATCH(Emissions!$D56,EF!$D$84:$D$99,0))*INDEX(EF!$H$100:$H$115,MATCH(Emissions!$D56,EF!$D$100:$D$115,0))*INDEX(EF!$H$116:$H$131,MATCH(Emissions!$D56,EF!$D$116:$D$131,0))*kgtoGg</f>
        <v>5.3786221650316861</v>
      </c>
      <c r="AE56" s="22">
        <f>INDEX('Activity data'!AE$24:AE$39,MATCH(Emissions!$D56,'Activity data'!$D$24:$D$39,0))*INDEX(EF!$H$84:$H$99,MATCH(Emissions!$D56,EF!$D$84:$D$99,0))*INDEX(EF!$H$100:$H$115,MATCH(Emissions!$D56,EF!$D$100:$D$115,0))*INDEX(EF!$H$116:$H$131,MATCH(Emissions!$D56,EF!$D$116:$D$131,0))*kgtoGg</f>
        <v>5.3880428110636629</v>
      </c>
      <c r="AF56" s="22">
        <f>INDEX('Activity data'!AF$24:AF$39,MATCH(Emissions!$D56,'Activity data'!$D$24:$D$39,0))*INDEX(EF!$H$84:$H$99,MATCH(Emissions!$D56,EF!$D$84:$D$99,0))*INDEX(EF!$H$100:$H$115,MATCH(Emissions!$D56,EF!$D$100:$D$115,0))*INDEX(EF!$H$116:$H$131,MATCH(Emissions!$D56,EF!$D$116:$D$131,0))*kgtoGg</f>
        <v>5.3974634570956406</v>
      </c>
      <c r="AG56" s="22">
        <f>INDEX('Activity data'!AG$24:AG$39,MATCH(Emissions!$D56,'Activity data'!$D$24:$D$39,0))*INDEX(EF!$H$84:$H$99,MATCH(Emissions!$D56,EF!$D$84:$D$99,0))*INDEX(EF!$H$100:$H$115,MATCH(Emissions!$D56,EF!$D$100:$D$115,0))*INDEX(EF!$H$116:$H$131,MATCH(Emissions!$D56,EF!$D$116:$D$131,0))*kgtoGg</f>
        <v>5.4068841031276182</v>
      </c>
      <c r="AH56" s="22">
        <f>INDEX('Activity data'!AH$24:AH$39,MATCH(Emissions!$D56,'Activity data'!$D$24:$D$39,0))*INDEX(EF!$H$84:$H$99,MATCH(Emissions!$D56,EF!$D$84:$D$99,0))*INDEX(EF!$H$100:$H$115,MATCH(Emissions!$D56,EF!$D$100:$D$115,0))*INDEX(EF!$H$116:$H$131,MATCH(Emissions!$D56,EF!$D$116:$D$131,0))*kgtoGg</f>
        <v>5.4163047491595959</v>
      </c>
      <c r="AI56" s="22">
        <f>INDEX('Activity data'!AI$24:AI$39,MATCH(Emissions!$D56,'Activity data'!$D$24:$D$39,0))*INDEX(EF!$H$84:$H$99,MATCH(Emissions!$D56,EF!$D$84:$D$99,0))*INDEX(EF!$H$100:$H$115,MATCH(Emissions!$D56,EF!$D$100:$D$115,0))*INDEX(EF!$H$116:$H$131,MATCH(Emissions!$D56,EF!$D$116:$D$131,0))*kgtoGg</f>
        <v>5.4257253951915727</v>
      </c>
      <c r="AJ56" s="22">
        <f>INDEX('Activity data'!AJ$24:AJ$39,MATCH(Emissions!$D56,'Activity data'!$D$24:$D$39,0))*INDEX(EF!$H$84:$H$99,MATCH(Emissions!$D56,EF!$D$84:$D$99,0))*INDEX(EF!$H$100:$H$115,MATCH(Emissions!$D56,EF!$D$100:$D$115,0))*INDEX(EF!$H$116:$H$131,MATCH(Emissions!$D56,EF!$D$116:$D$131,0))*kgtoGg</f>
        <v>5.4351460412235486</v>
      </c>
      <c r="AK56" s="22">
        <f>INDEX('Activity data'!AK$24:AK$39,MATCH(Emissions!$D56,'Activity data'!$D$24:$D$39,0))*INDEX(EF!$H$84:$H$99,MATCH(Emissions!$D56,EF!$D$84:$D$99,0))*INDEX(EF!$H$100:$H$115,MATCH(Emissions!$D56,EF!$D$100:$D$115,0))*INDEX(EF!$H$116:$H$131,MATCH(Emissions!$D56,EF!$D$116:$D$131,0))*kgtoGg</f>
        <v>5.3972660466060871</v>
      </c>
      <c r="AL56" s="22">
        <f>INDEX('Activity data'!AL$24:AL$39,MATCH(Emissions!$D56,'Activity data'!$D$24:$D$39,0))*INDEX(EF!$H$84:$H$99,MATCH(Emissions!$D56,EF!$D$84:$D$99,0))*INDEX(EF!$H$100:$H$115,MATCH(Emissions!$D56,EF!$D$100:$D$115,0))*INDEX(EF!$H$116:$H$131,MATCH(Emissions!$D56,EF!$D$116:$D$131,0))*kgtoGg</f>
        <v>5.3593860519886229</v>
      </c>
      <c r="AM56" s="22">
        <f>INDEX('Activity data'!AM$24:AM$39,MATCH(Emissions!$D56,'Activity data'!$D$24:$D$39,0))*INDEX(EF!$H$84:$H$99,MATCH(Emissions!$D56,EF!$D$84:$D$99,0))*INDEX(EF!$H$100:$H$115,MATCH(Emissions!$D56,EF!$D$100:$D$115,0))*INDEX(EF!$H$116:$H$131,MATCH(Emissions!$D56,EF!$D$116:$D$131,0))*kgtoGg</f>
        <v>5.3215060573711588</v>
      </c>
      <c r="AN56" s="22">
        <f>INDEX('Activity data'!AN$24:AN$39,MATCH(Emissions!$D56,'Activity data'!$D$24:$D$39,0))*INDEX(EF!$H$84:$H$99,MATCH(Emissions!$D56,EF!$D$84:$D$99,0))*INDEX(EF!$H$100:$H$115,MATCH(Emissions!$D56,EF!$D$100:$D$115,0))*INDEX(EF!$H$116:$H$131,MATCH(Emissions!$D56,EF!$D$116:$D$131,0))*kgtoGg</f>
        <v>5.2836260627536946</v>
      </c>
      <c r="AO56" s="22">
        <f>INDEX('Activity data'!AO$24:AO$39,MATCH(Emissions!$D56,'Activity data'!$D$24:$D$39,0))*INDEX(EF!$H$84:$H$99,MATCH(Emissions!$D56,EF!$D$84:$D$99,0))*INDEX(EF!$H$100:$H$115,MATCH(Emissions!$D56,EF!$D$100:$D$115,0))*INDEX(EF!$H$116:$H$131,MATCH(Emissions!$D56,EF!$D$116:$D$131,0))*kgtoGg</f>
        <v>5.2457460681362322</v>
      </c>
      <c r="AP56" s="22">
        <f>INDEX('Activity data'!AP$24:AP$39,MATCH(Emissions!$D56,'Activity data'!$D$24:$D$39,0))*INDEX(EF!$H$84:$H$99,MATCH(Emissions!$D56,EF!$D$84:$D$99,0))*INDEX(EF!$H$100:$H$115,MATCH(Emissions!$D56,EF!$D$100:$D$115,0))*INDEX(EF!$H$116:$H$131,MATCH(Emissions!$D56,EF!$D$116:$D$131,0))*kgtoGg</f>
        <v>5.2078660735187698</v>
      </c>
      <c r="AQ56" s="22">
        <f>INDEX('Activity data'!AQ$24:AQ$39,MATCH(Emissions!$D56,'Activity data'!$D$24:$D$39,0))*INDEX(EF!$H$84:$H$99,MATCH(Emissions!$D56,EF!$D$84:$D$99,0))*INDEX(EF!$H$100:$H$115,MATCH(Emissions!$D56,EF!$D$100:$D$115,0))*INDEX(EF!$H$116:$H$131,MATCH(Emissions!$D56,EF!$D$116:$D$131,0))*kgtoGg</f>
        <v>5.1699860789013057</v>
      </c>
      <c r="AR56" s="22">
        <f>INDEX('Activity data'!AR$24:AR$39,MATCH(Emissions!$D56,'Activity data'!$D$24:$D$39,0))*INDEX(EF!$H$84:$H$99,MATCH(Emissions!$D56,EF!$D$84:$D$99,0))*INDEX(EF!$H$100:$H$115,MATCH(Emissions!$D56,EF!$D$100:$D$115,0))*INDEX(EF!$H$116:$H$131,MATCH(Emissions!$D56,EF!$D$116:$D$131,0))*kgtoGg</f>
        <v>5.1321060842838424</v>
      </c>
      <c r="AS56" s="22">
        <f>INDEX('Activity data'!AS$24:AS$39,MATCH(Emissions!$D56,'Activity data'!$D$24:$D$39,0))*INDEX(EF!$H$84:$H$99,MATCH(Emissions!$D56,EF!$D$84:$D$99,0))*INDEX(EF!$H$100:$H$115,MATCH(Emissions!$D56,EF!$D$100:$D$115,0))*INDEX(EF!$H$116:$H$131,MATCH(Emissions!$D56,EF!$D$116:$D$131,0))*kgtoGg</f>
        <v>5.0942260896663782</v>
      </c>
      <c r="AT56" s="22">
        <f>INDEX('Activity data'!AT$24:AT$39,MATCH(Emissions!$D56,'Activity data'!$D$24:$D$39,0))*INDEX(EF!$H$84:$H$99,MATCH(Emissions!$D56,EF!$D$84:$D$99,0))*INDEX(EF!$H$100:$H$115,MATCH(Emissions!$D56,EF!$D$100:$D$115,0))*INDEX(EF!$H$116:$H$131,MATCH(Emissions!$D56,EF!$D$116:$D$131,0))*kgtoGg</f>
        <v>5.0563460950489141</v>
      </c>
      <c r="AU56" s="22">
        <f>INDEX('Activity data'!AU$24:AU$39,MATCH(Emissions!$D56,'Activity data'!$D$24:$D$39,0))*INDEX(EF!$H$84:$H$99,MATCH(Emissions!$D56,EF!$D$84:$D$99,0))*INDEX(EF!$H$100:$H$115,MATCH(Emissions!$D56,EF!$D$100:$D$115,0))*INDEX(EF!$H$116:$H$131,MATCH(Emissions!$D56,EF!$D$116:$D$131,0))*kgtoGg</f>
        <v>5.0184661004314526</v>
      </c>
      <c r="AV56" s="22">
        <f>INDEX('Activity data'!AV$24:AV$39,MATCH(Emissions!$D56,'Activity data'!$D$24:$D$39,0))*INDEX(EF!$H$84:$H$99,MATCH(Emissions!$D56,EF!$D$84:$D$99,0))*INDEX(EF!$H$100:$H$115,MATCH(Emissions!$D56,EF!$D$100:$D$115,0))*INDEX(EF!$H$116:$H$131,MATCH(Emissions!$D56,EF!$D$116:$D$131,0))*kgtoGg</f>
        <v>4.9805861058139884</v>
      </c>
      <c r="AW56" s="22">
        <f>INDEX('Activity data'!AW$24:AW$39,MATCH(Emissions!$D56,'Activity data'!$D$24:$D$39,0))*INDEX(EF!$H$84:$H$99,MATCH(Emissions!$D56,EF!$D$84:$D$99,0))*INDEX(EF!$H$100:$H$115,MATCH(Emissions!$D56,EF!$D$100:$D$115,0))*INDEX(EF!$H$116:$H$131,MATCH(Emissions!$D56,EF!$D$116:$D$131,0))*kgtoGg</f>
        <v>4.9427061111965243</v>
      </c>
      <c r="AX56" s="22">
        <f>INDEX('Activity data'!AX$24:AX$39,MATCH(Emissions!$D56,'Activity data'!$D$24:$D$39,0))*INDEX(EF!$H$84:$H$99,MATCH(Emissions!$D56,EF!$D$84:$D$99,0))*INDEX(EF!$H$100:$H$115,MATCH(Emissions!$D56,EF!$D$100:$D$115,0))*INDEX(EF!$H$116:$H$131,MATCH(Emissions!$D56,EF!$D$116:$D$131,0))*kgtoGg</f>
        <v>4.9048261165790601</v>
      </c>
      <c r="AY56" s="22">
        <f>INDEX('Activity data'!AY$24:AY$39,MATCH(Emissions!$D56,'Activity data'!$D$24:$D$39,0))*INDEX(EF!$H$84:$H$99,MATCH(Emissions!$D56,EF!$D$84:$D$99,0))*INDEX(EF!$H$100:$H$115,MATCH(Emissions!$D56,EF!$D$100:$D$115,0))*INDEX(EF!$H$116:$H$131,MATCH(Emissions!$D56,EF!$D$116:$D$131,0))*kgtoGg</f>
        <v>4.8669461219615968</v>
      </c>
      <c r="AZ56" s="22">
        <f>INDEX('Activity data'!AZ$24:AZ$39,MATCH(Emissions!$D56,'Activity data'!$D$24:$D$39,0))*INDEX(EF!$H$84:$H$99,MATCH(Emissions!$D56,EF!$D$84:$D$99,0))*INDEX(EF!$H$100:$H$115,MATCH(Emissions!$D56,EF!$D$100:$D$115,0))*INDEX(EF!$H$116:$H$131,MATCH(Emissions!$D56,EF!$D$116:$D$131,0))*kgtoGg</f>
        <v>4.8290661273441344</v>
      </c>
      <c r="BA56" s="22">
        <f>INDEX('Activity data'!BA$24:BA$39,MATCH(Emissions!$D56,'Activity data'!$D$24:$D$39,0))*INDEX(EF!$H$84:$H$99,MATCH(Emissions!$D56,EF!$D$84:$D$99,0))*INDEX(EF!$H$100:$H$115,MATCH(Emissions!$D56,EF!$D$100:$D$115,0))*INDEX(EF!$H$116:$H$131,MATCH(Emissions!$D56,EF!$D$116:$D$131,0))*kgtoGg</f>
        <v>4.7911861327266712</v>
      </c>
      <c r="BB56" s="22">
        <f>INDEX('Activity data'!BB$24:BB$39,MATCH(Emissions!$D56,'Activity data'!$D$24:$D$39,0))*INDEX(EF!$H$84:$H$99,MATCH(Emissions!$D56,EF!$D$84:$D$99,0))*INDEX(EF!$H$100:$H$115,MATCH(Emissions!$D56,EF!$D$100:$D$115,0))*INDEX(EF!$H$116:$H$131,MATCH(Emissions!$D56,EF!$D$116:$D$131,0))*kgtoGg</f>
        <v>4.7533061381092079</v>
      </c>
      <c r="BC56" s="22">
        <f>INDEX('Activity data'!BC$24:BC$39,MATCH(Emissions!$D56,'Activity data'!$D$24:$D$39,0))*INDEX(EF!$H$84:$H$99,MATCH(Emissions!$D56,EF!$D$84:$D$99,0))*INDEX(EF!$H$100:$H$115,MATCH(Emissions!$D56,EF!$D$100:$D$115,0))*INDEX(EF!$H$116:$H$131,MATCH(Emissions!$D56,EF!$D$116:$D$131,0))*kgtoGg</f>
        <v>4.7154261434917437</v>
      </c>
      <c r="BD56" s="22">
        <f>INDEX('Activity data'!BD$24:BD$39,MATCH(Emissions!$D56,'Activity data'!$D$24:$D$39,0))*INDEX(EF!$H$84:$H$99,MATCH(Emissions!$D56,EF!$D$84:$D$99,0))*INDEX(EF!$H$100:$H$115,MATCH(Emissions!$D56,EF!$D$100:$D$115,0))*INDEX(EF!$H$116:$H$131,MATCH(Emissions!$D56,EF!$D$116:$D$131,0))*kgtoGg</f>
        <v>4.6775461488742796</v>
      </c>
      <c r="BE56" s="22">
        <f>INDEX('Activity data'!BE$24:BE$39,MATCH(Emissions!$D56,'Activity data'!$D$24:$D$39,0))*INDEX(EF!$H$84:$H$99,MATCH(Emissions!$D56,EF!$D$84:$D$99,0))*INDEX(EF!$H$100:$H$115,MATCH(Emissions!$D56,EF!$D$100:$D$115,0))*INDEX(EF!$H$116:$H$131,MATCH(Emissions!$D56,EF!$D$116:$D$131,0))*kgtoGg</f>
        <v>4.6396661542568172</v>
      </c>
      <c r="BF56" s="22">
        <f>INDEX('Activity data'!BF$24:BF$39,MATCH(Emissions!$D56,'Activity data'!$D$24:$D$39,0))*INDEX(EF!$H$84:$H$99,MATCH(Emissions!$D56,EF!$D$84:$D$99,0))*INDEX(EF!$H$100:$H$115,MATCH(Emissions!$D56,EF!$D$100:$D$115,0))*INDEX(EF!$H$116:$H$131,MATCH(Emissions!$D56,EF!$D$116:$D$131,0))*kgtoGg</f>
        <v>4.601786159639353</v>
      </c>
      <c r="BG56" s="22">
        <f>INDEX('Activity data'!BG$24:BG$39,MATCH(Emissions!$D56,'Activity data'!$D$24:$D$39,0))*INDEX(EF!$H$84:$H$99,MATCH(Emissions!$D56,EF!$D$84:$D$99,0))*INDEX(EF!$H$100:$H$115,MATCH(Emissions!$D56,EF!$D$100:$D$115,0))*INDEX(EF!$H$116:$H$131,MATCH(Emissions!$D56,EF!$D$116:$D$131,0))*kgtoGg</f>
        <v>4.5639061650218888</v>
      </c>
      <c r="BH56" s="22">
        <f>INDEX('Activity data'!BH$24:BH$39,MATCH(Emissions!$D56,'Activity data'!$D$24:$D$39,0))*INDEX(EF!$H$84:$H$99,MATCH(Emissions!$D56,EF!$D$84:$D$99,0))*INDEX(EF!$H$100:$H$115,MATCH(Emissions!$D56,EF!$D$100:$D$115,0))*INDEX(EF!$H$116:$H$131,MATCH(Emissions!$D56,EF!$D$116:$D$131,0))*kgtoGg</f>
        <v>4.5260261704044256</v>
      </c>
      <c r="BI56" s="22">
        <f>INDEX('Activity data'!BI$24:BI$39,MATCH(Emissions!$D56,'Activity data'!$D$24:$D$39,0))*INDEX(EF!$H$84:$H$99,MATCH(Emissions!$D56,EF!$D$84:$D$99,0))*INDEX(EF!$H$100:$H$115,MATCH(Emissions!$D56,EF!$D$100:$D$115,0))*INDEX(EF!$H$116:$H$131,MATCH(Emissions!$D56,EF!$D$116:$D$131,0))*kgtoGg</f>
        <v>4.4881461757869623</v>
      </c>
      <c r="BJ56" s="22">
        <f>INDEX('Activity data'!BJ$24:BJ$39,MATCH(Emissions!$D56,'Activity data'!$D$24:$D$39,0))*INDEX(EF!$H$84:$H$99,MATCH(Emissions!$D56,EF!$D$84:$D$99,0))*INDEX(EF!$H$100:$H$115,MATCH(Emissions!$D56,EF!$D$100:$D$115,0))*INDEX(EF!$H$116:$H$131,MATCH(Emissions!$D56,EF!$D$116:$D$131,0))*kgtoGg</f>
        <v>4.4502661811694981</v>
      </c>
      <c r="BK56" s="22">
        <f>INDEX('Activity data'!BK$24:BK$39,MATCH(Emissions!$D56,'Activity data'!$D$24:$D$39,0))*INDEX(EF!$H$84:$H$99,MATCH(Emissions!$D56,EF!$D$84:$D$99,0))*INDEX(EF!$H$100:$H$115,MATCH(Emissions!$D56,EF!$D$100:$D$115,0))*INDEX(EF!$H$116:$H$131,MATCH(Emissions!$D56,EF!$D$116:$D$131,0))*kgtoGg</f>
        <v>4.4123861865520357</v>
      </c>
      <c r="BL56" s="22">
        <f>INDEX('Activity data'!BL$24:BL$39,MATCH(Emissions!$D56,'Activity data'!$D$24:$D$39,0))*INDEX(EF!$H$84:$H$99,MATCH(Emissions!$D56,EF!$D$84:$D$99,0))*INDEX(EF!$H$100:$H$115,MATCH(Emissions!$D56,EF!$D$100:$D$115,0))*INDEX(EF!$H$116:$H$131,MATCH(Emissions!$D56,EF!$D$116:$D$131,0))*kgtoGg</f>
        <v>4.3745061919345725</v>
      </c>
      <c r="BM56" s="22">
        <f>INDEX('Activity data'!BM$24:BM$39,MATCH(Emissions!$D56,'Activity data'!$D$24:$D$39,0))*INDEX(EF!$H$84:$H$99,MATCH(Emissions!$D56,EF!$D$84:$D$99,0))*INDEX(EF!$H$100:$H$115,MATCH(Emissions!$D56,EF!$D$100:$D$115,0))*INDEX(EF!$H$116:$H$131,MATCH(Emissions!$D56,EF!$D$116:$D$131,0))*kgtoGg</f>
        <v>4.3366261973171101</v>
      </c>
      <c r="BN56" s="22">
        <f>INDEX('Activity data'!BN$24:BN$39,MATCH(Emissions!$D56,'Activity data'!$D$24:$D$39,0))*INDEX(EF!$H$84:$H$99,MATCH(Emissions!$D56,EF!$D$84:$D$99,0))*INDEX(EF!$H$100:$H$115,MATCH(Emissions!$D56,EF!$D$100:$D$115,0))*INDEX(EF!$H$116:$H$131,MATCH(Emissions!$D56,EF!$D$116:$D$131,0))*kgtoGg</f>
        <v>4.2987462026996468</v>
      </c>
      <c r="BO56" s="22">
        <f>INDEX('Activity data'!BO$24:BO$39,MATCH(Emissions!$D56,'Activity data'!$D$24:$D$39,0))*INDEX(EF!$H$84:$H$99,MATCH(Emissions!$D56,EF!$D$84:$D$99,0))*INDEX(EF!$H$100:$H$115,MATCH(Emissions!$D56,EF!$D$100:$D$115,0))*INDEX(EF!$H$116:$H$131,MATCH(Emissions!$D56,EF!$D$116:$D$131,0))*kgtoGg</f>
        <v>4.2608662080821844</v>
      </c>
      <c r="BP56" s="22">
        <f>INDEX('Activity data'!BP$24:BP$39,MATCH(Emissions!$D56,'Activity data'!$D$24:$D$39,0))*INDEX(EF!$H$84:$H$99,MATCH(Emissions!$D56,EF!$D$84:$D$99,0))*INDEX(EF!$H$100:$H$115,MATCH(Emissions!$D56,EF!$D$100:$D$115,0))*INDEX(EF!$H$116:$H$131,MATCH(Emissions!$D56,EF!$D$116:$D$131,0))*kgtoGg</f>
        <v>4.2229862134647194</v>
      </c>
    </row>
    <row r="57" spans="1:68" x14ac:dyDescent="0.25">
      <c r="A57" t="str">
        <f t="shared" si="13"/>
        <v>3C Aggregated and non-CO2 emissions on land</v>
      </c>
      <c r="B57" t="str">
        <f t="shared" si="14"/>
        <v>3C1 Biomass burning (CH4)</v>
      </c>
      <c r="C57" t="str">
        <f t="shared" si="15"/>
        <v>3C1a Biomass burning in forest land</v>
      </c>
      <c r="D57" t="str">
        <f>EF!D87</f>
        <v>Plantations</v>
      </c>
      <c r="E57" t="s">
        <v>644</v>
      </c>
      <c r="F57" t="str">
        <f t="shared" si="16"/>
        <v>CH4</v>
      </c>
      <c r="G57" t="str">
        <f t="shared" si="17"/>
        <v>Gg CH4</v>
      </c>
      <c r="H57" s="22">
        <f>INDEX('Activity data'!H$24:H$39,MATCH(Emissions!$D57,'Activity data'!$D$24:$D$39,0))*INDEX(EF!$H$84:$H$99,MATCH(Emissions!$D57,EF!$D$84:$D$99,0))*INDEX(EF!$H$100:$H$115,MATCH(Emissions!$D57,EF!$D$100:$D$115,0))*INDEX(EF!$H$116:$H$131,MATCH(Emissions!$D57,EF!$D$116:$D$131,0))*kgtoGg</f>
        <v>7.5442559859280678</v>
      </c>
      <c r="I57" s="22">
        <f>INDEX('Activity data'!I$24:I$39,MATCH(Emissions!$D57,'Activity data'!$D$24:$D$39,0))*INDEX(EF!$H$84:$H$99,MATCH(Emissions!$D57,EF!$D$84:$D$99,0))*INDEX(EF!$H$100:$H$115,MATCH(Emissions!$D57,EF!$D$100:$D$115,0))*INDEX(EF!$H$116:$H$131,MATCH(Emissions!$D57,EF!$D$116:$D$131,0))*kgtoGg</f>
        <v>7.5442559859280678</v>
      </c>
      <c r="J57" s="22">
        <f>INDEX('Activity data'!J$24:J$39,MATCH(Emissions!$D57,'Activity data'!$D$24:$D$39,0))*INDEX(EF!$H$84:$H$99,MATCH(Emissions!$D57,EF!$D$84:$D$99,0))*INDEX(EF!$H$100:$H$115,MATCH(Emissions!$D57,EF!$D$100:$D$115,0))*INDEX(EF!$H$116:$H$131,MATCH(Emissions!$D57,EF!$D$116:$D$131,0))*kgtoGg</f>
        <v>7.5442559859280678</v>
      </c>
      <c r="K57" s="22">
        <f>INDEX('Activity data'!K$24:K$39,MATCH(Emissions!$D57,'Activity data'!$D$24:$D$39,0))*INDEX(EF!$H$84:$H$99,MATCH(Emissions!$D57,EF!$D$84:$D$99,0))*INDEX(EF!$H$100:$H$115,MATCH(Emissions!$D57,EF!$D$100:$D$115,0))*INDEX(EF!$H$116:$H$131,MATCH(Emissions!$D57,EF!$D$116:$D$131,0))*kgtoGg</f>
        <v>7.5442559859280678</v>
      </c>
      <c r="L57" s="22">
        <f>INDEX('Activity data'!L$24:L$39,MATCH(Emissions!$D57,'Activity data'!$D$24:$D$39,0))*INDEX(EF!$H$84:$H$99,MATCH(Emissions!$D57,EF!$D$84:$D$99,0))*INDEX(EF!$H$100:$H$115,MATCH(Emissions!$D57,EF!$D$100:$D$115,0))*INDEX(EF!$H$116:$H$131,MATCH(Emissions!$D57,EF!$D$116:$D$131,0))*kgtoGg</f>
        <v>7.5442559859280678</v>
      </c>
      <c r="M57" s="22">
        <f>INDEX('Activity data'!M$24:M$39,MATCH(Emissions!$D57,'Activity data'!$D$24:$D$39,0))*INDEX(EF!$H$84:$H$99,MATCH(Emissions!$D57,EF!$D$84:$D$99,0))*INDEX(EF!$H$100:$H$115,MATCH(Emissions!$D57,EF!$D$100:$D$115,0))*INDEX(EF!$H$116:$H$131,MATCH(Emissions!$D57,EF!$D$116:$D$131,0))*kgtoGg</f>
        <v>7.5442559859280678</v>
      </c>
      <c r="N57" s="22">
        <f>INDEX('Activity data'!N$24:N$39,MATCH(Emissions!$D57,'Activity data'!$D$24:$D$39,0))*INDEX(EF!$H$84:$H$99,MATCH(Emissions!$D57,EF!$D$84:$D$99,0))*INDEX(EF!$H$100:$H$115,MATCH(Emissions!$D57,EF!$D$100:$D$115,0))*INDEX(EF!$H$116:$H$131,MATCH(Emissions!$D57,EF!$D$116:$D$131,0))*kgtoGg</f>
        <v>7.5442559859280678</v>
      </c>
      <c r="O57" s="22">
        <f>INDEX('Activity data'!O$24:O$39,MATCH(Emissions!$D57,'Activity data'!$D$24:$D$39,0))*INDEX(EF!$H$84:$H$99,MATCH(Emissions!$D57,EF!$D$84:$D$99,0))*INDEX(EF!$H$100:$H$115,MATCH(Emissions!$D57,EF!$D$100:$D$115,0))*INDEX(EF!$H$116:$H$131,MATCH(Emissions!$D57,EF!$D$116:$D$131,0))*kgtoGg</f>
        <v>7.5442559859280678</v>
      </c>
      <c r="P57" s="22">
        <f>INDEX('Activity data'!P$24:P$39,MATCH(Emissions!$D57,'Activity data'!$D$24:$D$39,0))*INDEX(EF!$H$84:$H$99,MATCH(Emissions!$D57,EF!$D$84:$D$99,0))*INDEX(EF!$H$100:$H$115,MATCH(Emissions!$D57,EF!$D$100:$D$115,0))*INDEX(EF!$H$116:$H$131,MATCH(Emissions!$D57,EF!$D$116:$D$131,0))*kgtoGg</f>
        <v>7.5442559859280678</v>
      </c>
      <c r="Q57" s="22">
        <f>INDEX('Activity data'!Q$24:Q$39,MATCH(Emissions!$D57,'Activity data'!$D$24:$D$39,0))*INDEX(EF!$H$84:$H$99,MATCH(Emissions!$D57,EF!$D$84:$D$99,0))*INDEX(EF!$H$100:$H$115,MATCH(Emissions!$D57,EF!$D$100:$D$115,0))*INDEX(EF!$H$116:$H$131,MATCH(Emissions!$D57,EF!$D$116:$D$131,0))*kgtoGg</f>
        <v>7.5442559859280678</v>
      </c>
      <c r="R57" s="22">
        <f>INDEX('Activity data'!R$24:R$39,MATCH(Emissions!$D57,'Activity data'!$D$24:$D$39,0))*INDEX(EF!$H$84:$H$99,MATCH(Emissions!$D57,EF!$D$84:$D$99,0))*INDEX(EF!$H$100:$H$115,MATCH(Emissions!$D57,EF!$D$100:$D$115,0))*INDEX(EF!$H$116:$H$131,MATCH(Emissions!$D57,EF!$D$116:$D$131,0))*kgtoGg</f>
        <v>6.8796151958231224</v>
      </c>
      <c r="S57" s="22">
        <f>INDEX('Activity data'!S$24:S$39,MATCH(Emissions!$D57,'Activity data'!$D$24:$D$39,0))*INDEX(EF!$H$84:$H$99,MATCH(Emissions!$D57,EF!$D$84:$D$99,0))*INDEX(EF!$H$100:$H$115,MATCH(Emissions!$D57,EF!$D$100:$D$115,0))*INDEX(EF!$H$116:$H$131,MATCH(Emissions!$D57,EF!$D$116:$D$131,0))*kgtoGg</f>
        <v>8.4683398914687142</v>
      </c>
      <c r="T57" s="22">
        <f>INDEX('Activity data'!T$24:T$39,MATCH(Emissions!$D57,'Activity data'!$D$24:$D$39,0))*INDEX(EF!$H$84:$H$99,MATCH(Emissions!$D57,EF!$D$84:$D$99,0))*INDEX(EF!$H$100:$H$115,MATCH(Emissions!$D57,EF!$D$100:$D$115,0))*INDEX(EF!$H$116:$H$131,MATCH(Emissions!$D57,EF!$D$116:$D$131,0))*kgtoGg</f>
        <v>7.561017760239924</v>
      </c>
      <c r="U57" s="22">
        <f>INDEX('Activity data'!U$24:U$39,MATCH(Emissions!$D57,'Activity data'!$D$24:$D$39,0))*INDEX(EF!$H$84:$H$99,MATCH(Emissions!$D57,EF!$D$84:$D$99,0))*INDEX(EF!$H$100:$H$115,MATCH(Emissions!$D57,EF!$D$100:$D$115,0))*INDEX(EF!$H$116:$H$131,MATCH(Emissions!$D57,EF!$D$116:$D$131,0))*kgtoGg</f>
        <v>8.7780683298399893</v>
      </c>
      <c r="V57" s="22">
        <f>INDEX('Activity data'!V$24:V$39,MATCH(Emissions!$D57,'Activity data'!$D$24:$D$39,0))*INDEX(EF!$H$84:$H$99,MATCH(Emissions!$D57,EF!$D$84:$D$99,0))*INDEX(EF!$H$100:$H$115,MATCH(Emissions!$D57,EF!$D$100:$D$115,0))*INDEX(EF!$H$116:$H$131,MATCH(Emissions!$D57,EF!$D$116:$D$131,0))*kgtoGg</f>
        <v>6.0342387522685863</v>
      </c>
      <c r="W57" s="22">
        <f>INDEX('Activity data'!W$24:W$39,MATCH(Emissions!$D57,'Activity data'!$D$24:$D$39,0))*INDEX(EF!$H$84:$H$99,MATCH(Emissions!$D57,EF!$D$84:$D$99,0))*INDEX(EF!$H$100:$H$115,MATCH(Emissions!$D57,EF!$D$100:$D$115,0))*INDEX(EF!$H$116:$H$131,MATCH(Emissions!$D57,EF!$D$116:$D$131,0))*kgtoGg</f>
        <v>8.8436578814950799</v>
      </c>
      <c r="X57" s="22">
        <f>INDEX('Activity data'!X$24:X$39,MATCH(Emissions!$D57,'Activity data'!$D$24:$D$39,0))*INDEX(EF!$H$84:$H$99,MATCH(Emissions!$D57,EF!$D$84:$D$99,0))*INDEX(EF!$H$100:$H$115,MATCH(Emissions!$D57,EF!$D$100:$D$115,0))*INDEX(EF!$H$116:$H$131,MATCH(Emissions!$D57,EF!$D$116:$D$131,0))*kgtoGg</f>
        <v>6.9124099716506668</v>
      </c>
      <c r="Y57" s="22">
        <f>INDEX('Activity data'!Y$24:Y$39,MATCH(Emissions!$D57,'Activity data'!$D$24:$D$39,0))*INDEX(EF!$H$84:$H$99,MATCH(Emissions!$D57,EF!$D$84:$D$99,0))*INDEX(EF!$H$100:$H$115,MATCH(Emissions!$D57,EF!$D$100:$D$115,0))*INDEX(EF!$H$116:$H$131,MATCH(Emissions!$D57,EF!$D$116:$D$131,0))*kgtoGg</f>
        <v>12.870127580321645</v>
      </c>
      <c r="Z57" s="22">
        <f>INDEX('Activity data'!Z$24:Z$39,MATCH(Emissions!$D57,'Activity data'!$D$24:$D$39,0))*INDEX(EF!$H$84:$H$99,MATCH(Emissions!$D57,EF!$D$84:$D$99,0))*INDEX(EF!$H$100:$H$115,MATCH(Emissions!$D57,EF!$D$100:$D$115,0))*INDEX(EF!$H$116:$H$131,MATCH(Emissions!$D57,EF!$D$116:$D$131,0))*kgtoGg</f>
        <v>8.3152976042734963</v>
      </c>
      <c r="AA57" s="22">
        <f>INDEX('Activity data'!AA$24:AA$39,MATCH(Emissions!$D57,'Activity data'!$D$24:$D$39,0))*INDEX(EF!$H$84:$H$99,MATCH(Emissions!$D57,EF!$D$84:$D$99,0))*INDEX(EF!$H$100:$H$115,MATCH(Emissions!$D57,EF!$D$100:$D$115,0))*INDEX(EF!$H$116:$H$131,MATCH(Emissions!$D57,EF!$D$116:$D$131,0))*kgtoGg</f>
        <v>7.0836715787500779</v>
      </c>
      <c r="AB57" s="22">
        <f>INDEX('Activity data'!AB$24:AB$39,MATCH(Emissions!$D57,'Activity data'!$D$24:$D$39,0))*INDEX(EF!$H$84:$H$99,MATCH(Emissions!$D57,EF!$D$84:$D$99,0))*INDEX(EF!$H$100:$H$115,MATCH(Emissions!$D57,EF!$D$100:$D$115,0))*INDEX(EF!$H$116:$H$131,MATCH(Emissions!$D57,EF!$D$116:$D$131,0))*kgtoGg</f>
        <v>5.9791970448000002</v>
      </c>
      <c r="AC57" s="22">
        <f>INDEX('Activity data'!AC$24:AC$39,MATCH(Emissions!$D57,'Activity data'!$D$24:$D$39,0))*INDEX(EF!$H$84:$H$99,MATCH(Emissions!$D57,EF!$D$84:$D$99,0))*INDEX(EF!$H$100:$H$115,MATCH(Emissions!$D57,EF!$D$100:$D$115,0))*INDEX(EF!$H$116:$H$131,MATCH(Emissions!$D57,EF!$D$116:$D$131,0))*kgtoGg</f>
        <v>6.8024024208</v>
      </c>
      <c r="AD57" s="22">
        <f>INDEX('Activity data'!AD$24:AD$39,MATCH(Emissions!$D57,'Activity data'!$D$24:$D$39,0))*INDEX(EF!$H$84:$H$99,MATCH(Emissions!$D57,EF!$D$84:$D$99,0))*INDEX(EF!$H$100:$H$115,MATCH(Emissions!$D57,EF!$D$100:$D$115,0))*INDEX(EF!$H$116:$H$131,MATCH(Emissions!$D57,EF!$D$116:$D$131,0))*kgtoGg</f>
        <v>2.098124981532016</v>
      </c>
      <c r="AE57" s="22">
        <f>INDEX('Activity data'!AE$24:AE$39,MATCH(Emissions!$D57,'Activity data'!$D$24:$D$39,0))*INDEX(EF!$H$84:$H$99,MATCH(Emissions!$D57,EF!$D$84:$D$99,0))*INDEX(EF!$H$100:$H$115,MATCH(Emissions!$D57,EF!$D$100:$D$115,0))*INDEX(EF!$H$116:$H$131,MATCH(Emissions!$D57,EF!$D$116:$D$131,0))*kgtoGg</f>
        <v>3.9454731415320157</v>
      </c>
      <c r="AF57" s="22">
        <f>INDEX('Activity data'!AF$24:AF$39,MATCH(Emissions!$D57,'Activity data'!$D$24:$D$39,0))*INDEX(EF!$H$84:$H$99,MATCH(Emissions!$D57,EF!$D$84:$D$99,0))*INDEX(EF!$H$100:$H$115,MATCH(Emissions!$D57,EF!$D$100:$D$115,0))*INDEX(EF!$H$116:$H$131,MATCH(Emissions!$D57,EF!$D$116:$D$131,0))*kgtoGg</f>
        <v>3.1857200215320161</v>
      </c>
      <c r="AG57" s="22">
        <f>INDEX('Activity data'!AG$24:AG$39,MATCH(Emissions!$D57,'Activity data'!$D$24:$D$39,0))*INDEX(EF!$H$84:$H$99,MATCH(Emissions!$D57,EF!$D$84:$D$99,0))*INDEX(EF!$H$100:$H$115,MATCH(Emissions!$D57,EF!$D$100:$D$115,0))*INDEX(EF!$H$116:$H$131,MATCH(Emissions!$D57,EF!$D$116:$D$131,0))*kgtoGg</f>
        <v>2.4712899415320164</v>
      </c>
      <c r="AH57" s="22">
        <f>INDEX('Activity data'!AH$24:AH$39,MATCH(Emissions!$D57,'Activity data'!$D$24:$D$39,0))*INDEX(EF!$H$84:$H$99,MATCH(Emissions!$D57,EF!$D$84:$D$99,0))*INDEX(EF!$H$100:$H$115,MATCH(Emissions!$D57,EF!$D$100:$D$115,0))*INDEX(EF!$H$116:$H$131,MATCH(Emissions!$D57,EF!$D$116:$D$131,0))*kgtoGg</f>
        <v>2.8281891415320159</v>
      </c>
      <c r="AI57" s="22">
        <f>INDEX('Activity data'!AI$24:AI$39,MATCH(Emissions!$D57,'Activity data'!$D$24:$D$39,0))*INDEX(EF!$H$84:$H$99,MATCH(Emissions!$D57,EF!$D$84:$D$99,0))*INDEX(EF!$H$100:$H$115,MATCH(Emissions!$D57,EF!$D$100:$D$115,0))*INDEX(EF!$H$116:$H$131,MATCH(Emissions!$D57,EF!$D$116:$D$131,0))*kgtoGg</f>
        <v>3.1318693015320158</v>
      </c>
      <c r="AJ57" s="22">
        <f>INDEX('Activity data'!AJ$24:AJ$39,MATCH(Emissions!$D57,'Activity data'!$D$24:$D$39,0))*INDEX(EF!$H$84:$H$99,MATCH(Emissions!$D57,EF!$D$84:$D$99,0))*INDEX(EF!$H$100:$H$115,MATCH(Emissions!$D57,EF!$D$100:$D$115,0))*INDEX(EF!$H$116:$H$131,MATCH(Emissions!$D57,EF!$D$116:$D$131,0))*kgtoGg</f>
        <v>3.1318693015320158</v>
      </c>
      <c r="AK57" s="22">
        <f>INDEX('Activity data'!AK$24:AK$39,MATCH(Emissions!$D57,'Activity data'!$D$24:$D$39,0))*INDEX(EF!$H$84:$H$99,MATCH(Emissions!$D57,EF!$D$84:$D$99,0))*INDEX(EF!$H$100:$H$115,MATCH(Emissions!$D57,EF!$D$100:$D$115,0))*INDEX(EF!$H$116:$H$131,MATCH(Emissions!$D57,EF!$D$116:$D$131,0))*kgtoGg</f>
        <v>3.1454659408897232</v>
      </c>
      <c r="AL57" s="22">
        <f>INDEX('Activity data'!AL$24:AL$39,MATCH(Emissions!$D57,'Activity data'!$D$24:$D$39,0))*INDEX(EF!$H$84:$H$99,MATCH(Emissions!$D57,EF!$D$84:$D$99,0))*INDEX(EF!$H$100:$H$115,MATCH(Emissions!$D57,EF!$D$100:$D$115,0))*INDEX(EF!$H$116:$H$131,MATCH(Emissions!$D57,EF!$D$116:$D$131,0))*kgtoGg</f>
        <v>3.1590625802474293</v>
      </c>
      <c r="AM57" s="22">
        <f>INDEX('Activity data'!AM$24:AM$39,MATCH(Emissions!$D57,'Activity data'!$D$24:$D$39,0))*INDEX(EF!$H$84:$H$99,MATCH(Emissions!$D57,EF!$D$84:$D$99,0))*INDEX(EF!$H$100:$H$115,MATCH(Emissions!$D57,EF!$D$100:$D$115,0))*INDEX(EF!$H$116:$H$131,MATCH(Emissions!$D57,EF!$D$116:$D$131,0))*kgtoGg</f>
        <v>3.1726592196051362</v>
      </c>
      <c r="AN57" s="22">
        <f>INDEX('Activity data'!AN$24:AN$39,MATCH(Emissions!$D57,'Activity data'!$D$24:$D$39,0))*INDEX(EF!$H$84:$H$99,MATCH(Emissions!$D57,EF!$D$84:$D$99,0))*INDEX(EF!$H$100:$H$115,MATCH(Emissions!$D57,EF!$D$100:$D$115,0))*INDEX(EF!$H$116:$H$131,MATCH(Emissions!$D57,EF!$D$116:$D$131,0))*kgtoGg</f>
        <v>3.1862558589628427</v>
      </c>
      <c r="AO57" s="22">
        <f>INDEX('Activity data'!AO$24:AO$39,MATCH(Emissions!$D57,'Activity data'!$D$24:$D$39,0))*INDEX(EF!$H$84:$H$99,MATCH(Emissions!$D57,EF!$D$84:$D$99,0))*INDEX(EF!$H$100:$H$115,MATCH(Emissions!$D57,EF!$D$100:$D$115,0))*INDEX(EF!$H$116:$H$131,MATCH(Emissions!$D57,EF!$D$116:$D$131,0))*kgtoGg</f>
        <v>3.1998524983205496</v>
      </c>
      <c r="AP57" s="22">
        <f>INDEX('Activity data'!AP$24:AP$39,MATCH(Emissions!$D57,'Activity data'!$D$24:$D$39,0))*INDEX(EF!$H$84:$H$99,MATCH(Emissions!$D57,EF!$D$84:$D$99,0))*INDEX(EF!$H$100:$H$115,MATCH(Emissions!$D57,EF!$D$100:$D$115,0))*INDEX(EF!$H$116:$H$131,MATCH(Emissions!$D57,EF!$D$116:$D$131,0))*kgtoGg</f>
        <v>3.2134491376782566</v>
      </c>
      <c r="AQ57" s="22">
        <f>INDEX('Activity data'!AQ$24:AQ$39,MATCH(Emissions!$D57,'Activity data'!$D$24:$D$39,0))*INDEX(EF!$H$84:$H$99,MATCH(Emissions!$D57,EF!$D$84:$D$99,0))*INDEX(EF!$H$100:$H$115,MATCH(Emissions!$D57,EF!$D$100:$D$115,0))*INDEX(EF!$H$116:$H$131,MATCH(Emissions!$D57,EF!$D$116:$D$131,0))*kgtoGg</f>
        <v>3.2270457770359631</v>
      </c>
      <c r="AR57" s="22">
        <f>INDEX('Activity data'!AR$24:AR$39,MATCH(Emissions!$D57,'Activity data'!$D$24:$D$39,0))*INDEX(EF!$H$84:$H$99,MATCH(Emissions!$D57,EF!$D$84:$D$99,0))*INDEX(EF!$H$100:$H$115,MATCH(Emissions!$D57,EF!$D$100:$D$115,0))*INDEX(EF!$H$116:$H$131,MATCH(Emissions!$D57,EF!$D$116:$D$131,0))*kgtoGg</f>
        <v>3.24064241639367</v>
      </c>
      <c r="AS57" s="22">
        <f>INDEX('Activity data'!AS$24:AS$39,MATCH(Emissions!$D57,'Activity data'!$D$24:$D$39,0))*INDEX(EF!$H$84:$H$99,MATCH(Emissions!$D57,EF!$D$84:$D$99,0))*INDEX(EF!$H$100:$H$115,MATCH(Emissions!$D57,EF!$D$100:$D$115,0))*INDEX(EF!$H$116:$H$131,MATCH(Emissions!$D57,EF!$D$116:$D$131,0))*kgtoGg</f>
        <v>3.2542390557513761</v>
      </c>
      <c r="AT57" s="22">
        <f>INDEX('Activity data'!AT$24:AT$39,MATCH(Emissions!$D57,'Activity data'!$D$24:$D$39,0))*INDEX(EF!$H$84:$H$99,MATCH(Emissions!$D57,EF!$D$84:$D$99,0))*INDEX(EF!$H$100:$H$115,MATCH(Emissions!$D57,EF!$D$100:$D$115,0))*INDEX(EF!$H$116:$H$131,MATCH(Emissions!$D57,EF!$D$116:$D$131,0))*kgtoGg</f>
        <v>3.267835695109083</v>
      </c>
      <c r="AU57" s="22">
        <f>INDEX('Activity data'!AU$24:AU$39,MATCH(Emissions!$D57,'Activity data'!$D$24:$D$39,0))*INDEX(EF!$H$84:$H$99,MATCH(Emissions!$D57,EF!$D$84:$D$99,0))*INDEX(EF!$H$100:$H$115,MATCH(Emissions!$D57,EF!$D$100:$D$115,0))*INDEX(EF!$H$116:$H$131,MATCH(Emissions!$D57,EF!$D$116:$D$131,0))*kgtoGg</f>
        <v>3.2814323344667895</v>
      </c>
      <c r="AV57" s="22">
        <f>INDEX('Activity data'!AV$24:AV$39,MATCH(Emissions!$D57,'Activity data'!$D$24:$D$39,0))*INDEX(EF!$H$84:$H$99,MATCH(Emissions!$D57,EF!$D$84:$D$99,0))*INDEX(EF!$H$100:$H$115,MATCH(Emissions!$D57,EF!$D$100:$D$115,0))*INDEX(EF!$H$116:$H$131,MATCH(Emissions!$D57,EF!$D$116:$D$131,0))*kgtoGg</f>
        <v>3.2950289738244969</v>
      </c>
      <c r="AW57" s="22">
        <f>INDEX('Activity data'!AW$24:AW$39,MATCH(Emissions!$D57,'Activity data'!$D$24:$D$39,0))*INDEX(EF!$H$84:$H$99,MATCH(Emissions!$D57,EF!$D$84:$D$99,0))*INDEX(EF!$H$100:$H$115,MATCH(Emissions!$D57,EF!$D$100:$D$115,0))*INDEX(EF!$H$116:$H$131,MATCH(Emissions!$D57,EF!$D$116:$D$131,0))*kgtoGg</f>
        <v>3.2950289738244969</v>
      </c>
      <c r="AX57" s="22">
        <f>INDEX('Activity data'!AX$24:AX$39,MATCH(Emissions!$D57,'Activity data'!$D$24:$D$39,0))*INDEX(EF!$H$84:$H$99,MATCH(Emissions!$D57,EF!$D$84:$D$99,0))*INDEX(EF!$H$100:$H$115,MATCH(Emissions!$D57,EF!$D$100:$D$115,0))*INDEX(EF!$H$116:$H$131,MATCH(Emissions!$D57,EF!$D$116:$D$131,0))*kgtoGg</f>
        <v>3.2950289738244969</v>
      </c>
      <c r="AY57" s="22">
        <f>INDEX('Activity data'!AY$24:AY$39,MATCH(Emissions!$D57,'Activity data'!$D$24:$D$39,0))*INDEX(EF!$H$84:$H$99,MATCH(Emissions!$D57,EF!$D$84:$D$99,0))*INDEX(EF!$H$100:$H$115,MATCH(Emissions!$D57,EF!$D$100:$D$115,0))*INDEX(EF!$H$116:$H$131,MATCH(Emissions!$D57,EF!$D$116:$D$131,0))*kgtoGg</f>
        <v>3.2950289738244969</v>
      </c>
      <c r="AZ57" s="22">
        <f>INDEX('Activity data'!AZ$24:AZ$39,MATCH(Emissions!$D57,'Activity data'!$D$24:$D$39,0))*INDEX(EF!$H$84:$H$99,MATCH(Emissions!$D57,EF!$D$84:$D$99,0))*INDEX(EF!$H$100:$H$115,MATCH(Emissions!$D57,EF!$D$100:$D$115,0))*INDEX(EF!$H$116:$H$131,MATCH(Emissions!$D57,EF!$D$116:$D$131,0))*kgtoGg</f>
        <v>3.2950289738244969</v>
      </c>
      <c r="BA57" s="22">
        <f>INDEX('Activity data'!BA$24:BA$39,MATCH(Emissions!$D57,'Activity data'!$D$24:$D$39,0))*INDEX(EF!$H$84:$H$99,MATCH(Emissions!$D57,EF!$D$84:$D$99,0))*INDEX(EF!$H$100:$H$115,MATCH(Emissions!$D57,EF!$D$100:$D$115,0))*INDEX(EF!$H$116:$H$131,MATCH(Emissions!$D57,EF!$D$116:$D$131,0))*kgtoGg</f>
        <v>3.2950289738244969</v>
      </c>
      <c r="BB57" s="22">
        <f>INDEX('Activity data'!BB$24:BB$39,MATCH(Emissions!$D57,'Activity data'!$D$24:$D$39,0))*INDEX(EF!$H$84:$H$99,MATCH(Emissions!$D57,EF!$D$84:$D$99,0))*INDEX(EF!$H$100:$H$115,MATCH(Emissions!$D57,EF!$D$100:$D$115,0))*INDEX(EF!$H$116:$H$131,MATCH(Emissions!$D57,EF!$D$116:$D$131,0))*kgtoGg</f>
        <v>3.2950289738244969</v>
      </c>
      <c r="BC57" s="22">
        <f>INDEX('Activity data'!BC$24:BC$39,MATCH(Emissions!$D57,'Activity data'!$D$24:$D$39,0))*INDEX(EF!$H$84:$H$99,MATCH(Emissions!$D57,EF!$D$84:$D$99,0))*INDEX(EF!$H$100:$H$115,MATCH(Emissions!$D57,EF!$D$100:$D$115,0))*INDEX(EF!$H$116:$H$131,MATCH(Emissions!$D57,EF!$D$116:$D$131,0))*kgtoGg</f>
        <v>3.2950289738244969</v>
      </c>
      <c r="BD57" s="22">
        <f>INDEX('Activity data'!BD$24:BD$39,MATCH(Emissions!$D57,'Activity data'!$D$24:$D$39,0))*INDEX(EF!$H$84:$H$99,MATCH(Emissions!$D57,EF!$D$84:$D$99,0))*INDEX(EF!$H$100:$H$115,MATCH(Emissions!$D57,EF!$D$100:$D$115,0))*INDEX(EF!$H$116:$H$131,MATCH(Emissions!$D57,EF!$D$116:$D$131,0))*kgtoGg</f>
        <v>3.2950289738244969</v>
      </c>
      <c r="BE57" s="22">
        <f>INDEX('Activity data'!BE$24:BE$39,MATCH(Emissions!$D57,'Activity data'!$D$24:$D$39,0))*INDEX(EF!$H$84:$H$99,MATCH(Emissions!$D57,EF!$D$84:$D$99,0))*INDEX(EF!$H$100:$H$115,MATCH(Emissions!$D57,EF!$D$100:$D$115,0))*INDEX(EF!$H$116:$H$131,MATCH(Emissions!$D57,EF!$D$116:$D$131,0))*kgtoGg</f>
        <v>3.2814323344667895</v>
      </c>
      <c r="BF57" s="22">
        <f>INDEX('Activity data'!BF$24:BF$39,MATCH(Emissions!$D57,'Activity data'!$D$24:$D$39,0))*INDEX(EF!$H$84:$H$99,MATCH(Emissions!$D57,EF!$D$84:$D$99,0))*INDEX(EF!$H$100:$H$115,MATCH(Emissions!$D57,EF!$D$100:$D$115,0))*INDEX(EF!$H$116:$H$131,MATCH(Emissions!$D57,EF!$D$116:$D$131,0))*kgtoGg</f>
        <v>3.267835695109083</v>
      </c>
      <c r="BG57" s="22">
        <f>INDEX('Activity data'!BG$24:BG$39,MATCH(Emissions!$D57,'Activity data'!$D$24:$D$39,0))*INDEX(EF!$H$84:$H$99,MATCH(Emissions!$D57,EF!$D$84:$D$99,0))*INDEX(EF!$H$100:$H$115,MATCH(Emissions!$D57,EF!$D$100:$D$115,0))*INDEX(EF!$H$116:$H$131,MATCH(Emissions!$D57,EF!$D$116:$D$131,0))*kgtoGg</f>
        <v>3.2542390557513761</v>
      </c>
      <c r="BH57" s="22">
        <f>INDEX('Activity data'!BH$24:BH$39,MATCH(Emissions!$D57,'Activity data'!$D$24:$D$39,0))*INDEX(EF!$H$84:$H$99,MATCH(Emissions!$D57,EF!$D$84:$D$99,0))*INDEX(EF!$H$100:$H$115,MATCH(Emissions!$D57,EF!$D$100:$D$115,0))*INDEX(EF!$H$116:$H$131,MATCH(Emissions!$D57,EF!$D$116:$D$131,0))*kgtoGg</f>
        <v>3.24064241639367</v>
      </c>
      <c r="BI57" s="22">
        <f>INDEX('Activity data'!BI$24:BI$39,MATCH(Emissions!$D57,'Activity data'!$D$24:$D$39,0))*INDEX(EF!$H$84:$H$99,MATCH(Emissions!$D57,EF!$D$84:$D$99,0))*INDEX(EF!$H$100:$H$115,MATCH(Emissions!$D57,EF!$D$100:$D$115,0))*INDEX(EF!$H$116:$H$131,MATCH(Emissions!$D57,EF!$D$116:$D$131,0))*kgtoGg</f>
        <v>3.2270457770359631</v>
      </c>
      <c r="BJ57" s="22">
        <f>INDEX('Activity data'!BJ$24:BJ$39,MATCH(Emissions!$D57,'Activity data'!$D$24:$D$39,0))*INDEX(EF!$H$84:$H$99,MATCH(Emissions!$D57,EF!$D$84:$D$99,0))*INDEX(EF!$H$100:$H$115,MATCH(Emissions!$D57,EF!$D$100:$D$115,0))*INDEX(EF!$H$116:$H$131,MATCH(Emissions!$D57,EF!$D$116:$D$131,0))*kgtoGg</f>
        <v>3.2134491376782566</v>
      </c>
      <c r="BK57" s="22">
        <f>INDEX('Activity data'!BK$24:BK$39,MATCH(Emissions!$D57,'Activity data'!$D$24:$D$39,0))*INDEX(EF!$H$84:$H$99,MATCH(Emissions!$D57,EF!$D$84:$D$99,0))*INDEX(EF!$H$100:$H$115,MATCH(Emissions!$D57,EF!$D$100:$D$115,0))*INDEX(EF!$H$116:$H$131,MATCH(Emissions!$D57,EF!$D$116:$D$131,0))*kgtoGg</f>
        <v>3.1998524983205496</v>
      </c>
      <c r="BL57" s="22">
        <f>INDEX('Activity data'!BL$24:BL$39,MATCH(Emissions!$D57,'Activity data'!$D$24:$D$39,0))*INDEX(EF!$H$84:$H$99,MATCH(Emissions!$D57,EF!$D$84:$D$99,0))*INDEX(EF!$H$100:$H$115,MATCH(Emissions!$D57,EF!$D$100:$D$115,0))*INDEX(EF!$H$116:$H$131,MATCH(Emissions!$D57,EF!$D$116:$D$131,0))*kgtoGg</f>
        <v>3.1862558589628427</v>
      </c>
      <c r="BM57" s="22">
        <f>INDEX('Activity data'!BM$24:BM$39,MATCH(Emissions!$D57,'Activity data'!$D$24:$D$39,0))*INDEX(EF!$H$84:$H$99,MATCH(Emissions!$D57,EF!$D$84:$D$99,0))*INDEX(EF!$H$100:$H$115,MATCH(Emissions!$D57,EF!$D$100:$D$115,0))*INDEX(EF!$H$116:$H$131,MATCH(Emissions!$D57,EF!$D$116:$D$131,0))*kgtoGg</f>
        <v>3.1726592196051362</v>
      </c>
      <c r="BN57" s="22">
        <f>INDEX('Activity data'!BN$24:BN$39,MATCH(Emissions!$D57,'Activity data'!$D$24:$D$39,0))*INDEX(EF!$H$84:$H$99,MATCH(Emissions!$D57,EF!$D$84:$D$99,0))*INDEX(EF!$H$100:$H$115,MATCH(Emissions!$D57,EF!$D$100:$D$115,0))*INDEX(EF!$H$116:$H$131,MATCH(Emissions!$D57,EF!$D$116:$D$131,0))*kgtoGg</f>
        <v>3.1590625802474293</v>
      </c>
      <c r="BO57" s="22">
        <f>INDEX('Activity data'!BO$24:BO$39,MATCH(Emissions!$D57,'Activity data'!$D$24:$D$39,0))*INDEX(EF!$H$84:$H$99,MATCH(Emissions!$D57,EF!$D$84:$D$99,0))*INDEX(EF!$H$100:$H$115,MATCH(Emissions!$D57,EF!$D$100:$D$115,0))*INDEX(EF!$H$116:$H$131,MATCH(Emissions!$D57,EF!$D$116:$D$131,0))*kgtoGg</f>
        <v>3.1454659408897232</v>
      </c>
      <c r="BP57" s="22">
        <f>INDEX('Activity data'!BP$24:BP$39,MATCH(Emissions!$D57,'Activity data'!$D$24:$D$39,0))*INDEX(EF!$H$84:$H$99,MATCH(Emissions!$D57,EF!$D$84:$D$99,0))*INDEX(EF!$H$100:$H$115,MATCH(Emissions!$D57,EF!$D$100:$D$115,0))*INDEX(EF!$H$116:$H$131,MATCH(Emissions!$D57,EF!$D$116:$D$131,0))*kgtoGg</f>
        <v>3.1318693015320158</v>
      </c>
    </row>
    <row r="58" spans="1:68" x14ac:dyDescent="0.25">
      <c r="A58" t="str">
        <f t="shared" si="13"/>
        <v>3C Aggregated and non-CO2 emissions on land</v>
      </c>
      <c r="B58" t="str">
        <f t="shared" si="14"/>
        <v>3C1 Biomass burning (CH4)</v>
      </c>
      <c r="C58" t="str">
        <f>'IPCC Categories'!C60</f>
        <v>3C1b Biomass burning in Croplands</v>
      </c>
      <c r="D58" t="str">
        <f>EF!D88</f>
        <v>Annual non-pivot</v>
      </c>
      <c r="E58" t="s">
        <v>645</v>
      </c>
      <c r="F58" t="str">
        <f t="shared" si="16"/>
        <v>CH4</v>
      </c>
      <c r="G58" t="str">
        <f t="shared" si="17"/>
        <v>Gg CH4</v>
      </c>
      <c r="H58" s="22">
        <f>INDEX('Activity data'!H$24:H$39,MATCH(Emissions!$D58,'Activity data'!$D$24:$D$39,0))*INDEX(EF!$H$84:$H$99,MATCH(Emissions!$D58,EF!$D$84:$D$99,0))*INDEX(EF!$H$100:$H$115,MATCH(Emissions!$D58,EF!$D$100:$D$115,0))*INDEX(EF!$H$116:$H$131,MATCH(Emissions!$D58,EF!$D$116:$D$131,0))*kgtoGg</f>
        <v>0.56789038673711778</v>
      </c>
      <c r="I58" s="22">
        <f>INDEX('Activity data'!I$24:I$39,MATCH(Emissions!$D58,'Activity data'!$D$24:$D$39,0))*INDEX(EF!$H$84:$H$99,MATCH(Emissions!$D58,EF!$D$84:$D$99,0))*INDEX(EF!$H$100:$H$115,MATCH(Emissions!$D58,EF!$D$100:$D$115,0))*INDEX(EF!$H$116:$H$131,MATCH(Emissions!$D58,EF!$D$116:$D$131,0))*kgtoGg</f>
        <v>0.56789038673711778</v>
      </c>
      <c r="J58" s="22">
        <f>INDEX('Activity data'!J$24:J$39,MATCH(Emissions!$D58,'Activity data'!$D$24:$D$39,0))*INDEX(EF!$H$84:$H$99,MATCH(Emissions!$D58,EF!$D$84:$D$99,0))*INDEX(EF!$H$100:$H$115,MATCH(Emissions!$D58,EF!$D$100:$D$115,0))*INDEX(EF!$H$116:$H$131,MATCH(Emissions!$D58,EF!$D$116:$D$131,0))*kgtoGg</f>
        <v>0.56789038673711778</v>
      </c>
      <c r="K58" s="22">
        <f>INDEX('Activity data'!K$24:K$39,MATCH(Emissions!$D58,'Activity data'!$D$24:$D$39,0))*INDEX(EF!$H$84:$H$99,MATCH(Emissions!$D58,EF!$D$84:$D$99,0))*INDEX(EF!$H$100:$H$115,MATCH(Emissions!$D58,EF!$D$100:$D$115,0))*INDEX(EF!$H$116:$H$131,MATCH(Emissions!$D58,EF!$D$116:$D$131,0))*kgtoGg</f>
        <v>0.56789038673711778</v>
      </c>
      <c r="L58" s="22">
        <f>INDEX('Activity data'!L$24:L$39,MATCH(Emissions!$D58,'Activity data'!$D$24:$D$39,0))*INDEX(EF!$H$84:$H$99,MATCH(Emissions!$D58,EF!$D$84:$D$99,0))*INDEX(EF!$H$100:$H$115,MATCH(Emissions!$D58,EF!$D$100:$D$115,0))*INDEX(EF!$H$116:$H$131,MATCH(Emissions!$D58,EF!$D$116:$D$131,0))*kgtoGg</f>
        <v>0.56789038673711778</v>
      </c>
      <c r="M58" s="22">
        <f>INDEX('Activity data'!M$24:M$39,MATCH(Emissions!$D58,'Activity data'!$D$24:$D$39,0))*INDEX(EF!$H$84:$H$99,MATCH(Emissions!$D58,EF!$D$84:$D$99,0))*INDEX(EF!$H$100:$H$115,MATCH(Emissions!$D58,EF!$D$100:$D$115,0))*INDEX(EF!$H$116:$H$131,MATCH(Emissions!$D58,EF!$D$116:$D$131,0))*kgtoGg</f>
        <v>0.56789038673711778</v>
      </c>
      <c r="N58" s="22">
        <f>INDEX('Activity data'!N$24:N$39,MATCH(Emissions!$D58,'Activity data'!$D$24:$D$39,0))*INDEX(EF!$H$84:$H$99,MATCH(Emissions!$D58,EF!$D$84:$D$99,0))*INDEX(EF!$H$100:$H$115,MATCH(Emissions!$D58,EF!$D$100:$D$115,0))*INDEX(EF!$H$116:$H$131,MATCH(Emissions!$D58,EF!$D$116:$D$131,0))*kgtoGg</f>
        <v>0.56789038673711778</v>
      </c>
      <c r="O58" s="22">
        <f>INDEX('Activity data'!O$24:O$39,MATCH(Emissions!$D58,'Activity data'!$D$24:$D$39,0))*INDEX(EF!$H$84:$H$99,MATCH(Emissions!$D58,EF!$D$84:$D$99,0))*INDEX(EF!$H$100:$H$115,MATCH(Emissions!$D58,EF!$D$100:$D$115,0))*INDEX(EF!$H$116:$H$131,MATCH(Emissions!$D58,EF!$D$116:$D$131,0))*kgtoGg</f>
        <v>0.56789038673711778</v>
      </c>
      <c r="P58" s="22">
        <f>INDEX('Activity data'!P$24:P$39,MATCH(Emissions!$D58,'Activity data'!$D$24:$D$39,0))*INDEX(EF!$H$84:$H$99,MATCH(Emissions!$D58,EF!$D$84:$D$99,0))*INDEX(EF!$H$100:$H$115,MATCH(Emissions!$D58,EF!$D$100:$D$115,0))*INDEX(EF!$H$116:$H$131,MATCH(Emissions!$D58,EF!$D$116:$D$131,0))*kgtoGg</f>
        <v>0.56789038673711778</v>
      </c>
      <c r="Q58" s="22">
        <f>INDEX('Activity data'!Q$24:Q$39,MATCH(Emissions!$D58,'Activity data'!$D$24:$D$39,0))*INDEX(EF!$H$84:$H$99,MATCH(Emissions!$D58,EF!$D$84:$D$99,0))*INDEX(EF!$H$100:$H$115,MATCH(Emissions!$D58,EF!$D$100:$D$115,0))*INDEX(EF!$H$116:$H$131,MATCH(Emissions!$D58,EF!$D$116:$D$131,0))*kgtoGg</f>
        <v>0.56789038673711778</v>
      </c>
      <c r="R58" s="22">
        <f>INDEX('Activity data'!R$24:R$39,MATCH(Emissions!$D58,'Activity data'!$D$24:$D$39,0))*INDEX(EF!$H$84:$H$99,MATCH(Emissions!$D58,EF!$D$84:$D$99,0))*INDEX(EF!$H$100:$H$115,MATCH(Emissions!$D58,EF!$D$100:$D$115,0))*INDEX(EF!$H$116:$H$131,MATCH(Emissions!$D58,EF!$D$116:$D$131,0))*kgtoGg</f>
        <v>0.57739738292116727</v>
      </c>
      <c r="S58" s="22">
        <f>INDEX('Activity data'!S$24:S$39,MATCH(Emissions!$D58,'Activity data'!$D$24:$D$39,0))*INDEX(EF!$H$84:$H$99,MATCH(Emissions!$D58,EF!$D$84:$D$99,0))*INDEX(EF!$H$100:$H$115,MATCH(Emissions!$D58,EF!$D$100:$D$115,0))*INDEX(EF!$H$116:$H$131,MATCH(Emissions!$D58,EF!$D$116:$D$131,0))*kgtoGg</f>
        <v>0.45049206688637894</v>
      </c>
      <c r="T58" s="22">
        <f>INDEX('Activity data'!T$24:T$39,MATCH(Emissions!$D58,'Activity data'!$D$24:$D$39,0))*INDEX(EF!$H$84:$H$99,MATCH(Emissions!$D58,EF!$D$84:$D$99,0))*INDEX(EF!$H$100:$H$115,MATCH(Emissions!$D58,EF!$D$100:$D$115,0))*INDEX(EF!$H$116:$H$131,MATCH(Emissions!$D58,EF!$D$116:$D$131,0))*kgtoGg</f>
        <v>0.58568329702653155</v>
      </c>
      <c r="U58" s="22">
        <f>INDEX('Activity data'!U$24:U$39,MATCH(Emissions!$D58,'Activity data'!$D$24:$D$39,0))*INDEX(EF!$H$84:$H$99,MATCH(Emissions!$D58,EF!$D$84:$D$99,0))*INDEX(EF!$H$100:$H$115,MATCH(Emissions!$D58,EF!$D$100:$D$115,0))*INDEX(EF!$H$116:$H$131,MATCH(Emissions!$D58,EF!$D$116:$D$131,0))*kgtoGg</f>
        <v>0.54250932353016013</v>
      </c>
      <c r="V58" s="22">
        <f>INDEX('Activity data'!V$24:V$39,MATCH(Emissions!$D58,'Activity data'!$D$24:$D$39,0))*INDEX(EF!$H$84:$H$99,MATCH(Emissions!$D58,EF!$D$84:$D$99,0))*INDEX(EF!$H$100:$H$115,MATCH(Emissions!$D58,EF!$D$100:$D$115,0))*INDEX(EF!$H$116:$H$131,MATCH(Emissions!$D58,EF!$D$116:$D$131,0))*kgtoGg</f>
        <v>0.68336986332135119</v>
      </c>
      <c r="W58" s="22">
        <f>INDEX('Activity data'!W$24:W$39,MATCH(Emissions!$D58,'Activity data'!$D$24:$D$39,0))*INDEX(EF!$H$84:$H$99,MATCH(Emissions!$D58,EF!$D$84:$D$99,0))*INDEX(EF!$H$100:$H$115,MATCH(Emissions!$D58,EF!$D$100:$D$115,0))*INDEX(EF!$H$116:$H$131,MATCH(Emissions!$D58,EF!$D$116:$D$131,0))*kgtoGg</f>
        <v>0.75052937764903993</v>
      </c>
      <c r="X58" s="22">
        <f>INDEX('Activity data'!X$24:X$39,MATCH(Emissions!$D58,'Activity data'!$D$24:$D$39,0))*INDEX(EF!$H$84:$H$99,MATCH(Emissions!$D58,EF!$D$84:$D$99,0))*INDEX(EF!$H$100:$H$115,MATCH(Emissions!$D58,EF!$D$100:$D$115,0))*INDEX(EF!$H$116:$H$131,MATCH(Emissions!$D58,EF!$D$116:$D$131,0))*kgtoGg</f>
        <v>0.5625699576799893</v>
      </c>
      <c r="Y58" s="22">
        <f>INDEX('Activity data'!Y$24:Y$39,MATCH(Emissions!$D58,'Activity data'!$D$24:$D$39,0))*INDEX(EF!$H$84:$H$99,MATCH(Emissions!$D58,EF!$D$84:$D$99,0))*INDEX(EF!$H$100:$H$115,MATCH(Emissions!$D58,EF!$D$100:$D$115,0))*INDEX(EF!$H$116:$H$131,MATCH(Emissions!$D58,EF!$D$116:$D$131,0))*kgtoGg</f>
        <v>0.56431436064953955</v>
      </c>
      <c r="Z58" s="22">
        <f>INDEX('Activity data'!Z$24:Z$39,MATCH(Emissions!$D58,'Activity data'!$D$24:$D$39,0))*INDEX(EF!$H$84:$H$99,MATCH(Emissions!$D58,EF!$D$84:$D$99,0))*INDEX(EF!$H$100:$H$115,MATCH(Emissions!$D58,EF!$D$100:$D$115,0))*INDEX(EF!$H$116:$H$131,MATCH(Emissions!$D58,EF!$D$116:$D$131,0))*kgtoGg</f>
        <v>0.39859607854225587</v>
      </c>
      <c r="AA58" s="22">
        <f>INDEX('Activity data'!AA$24:AA$39,MATCH(Emissions!$D58,'Activity data'!$D$24:$D$39,0))*INDEX(EF!$H$84:$H$99,MATCH(Emissions!$D58,EF!$D$84:$D$99,0))*INDEX(EF!$H$100:$H$115,MATCH(Emissions!$D58,EF!$D$100:$D$115,0))*INDEX(EF!$H$116:$H$131,MATCH(Emissions!$D58,EF!$D$116:$D$131,0))*kgtoGg</f>
        <v>0.41385960452582149</v>
      </c>
      <c r="AB58" s="22">
        <f>INDEX('Activity data'!AB$24:AB$39,MATCH(Emissions!$D58,'Activity data'!$D$24:$D$39,0))*INDEX(EF!$H$84:$H$99,MATCH(Emissions!$D58,EF!$D$84:$D$99,0))*INDEX(EF!$H$100:$H$115,MATCH(Emissions!$D58,EF!$D$100:$D$115,0))*INDEX(EF!$H$116:$H$131,MATCH(Emissions!$D58,EF!$D$116:$D$131,0))*kgtoGg</f>
        <v>0.58478679</v>
      </c>
      <c r="AC58" s="22">
        <f>INDEX('Activity data'!AC$24:AC$39,MATCH(Emissions!$D58,'Activity data'!$D$24:$D$39,0))*INDEX(EF!$H$84:$H$99,MATCH(Emissions!$D58,EF!$D$84:$D$99,0))*INDEX(EF!$H$100:$H$115,MATCH(Emissions!$D58,EF!$D$100:$D$115,0))*INDEX(EF!$H$116:$H$131,MATCH(Emissions!$D58,EF!$D$116:$D$131,0))*kgtoGg</f>
        <v>0.584370045</v>
      </c>
      <c r="AD58" s="22">
        <f>INDEX('Activity data'!AD$24:AD$39,MATCH(Emissions!$D58,'Activity data'!$D$24:$D$39,0))*INDEX(EF!$H$84:$H$99,MATCH(Emissions!$D58,EF!$D$84:$D$99,0))*INDEX(EF!$H$100:$H$115,MATCH(Emissions!$D58,EF!$D$100:$D$115,0))*INDEX(EF!$H$116:$H$131,MATCH(Emissions!$D58,EF!$D$116:$D$131,0))*kgtoGg</f>
        <v>6.2297189589909543</v>
      </c>
      <c r="AE58" s="22">
        <f>INDEX('Activity data'!AE$24:AE$39,MATCH(Emissions!$D58,'Activity data'!$D$24:$D$39,0))*INDEX(EF!$H$84:$H$99,MATCH(Emissions!$D58,EF!$D$84:$D$99,0))*INDEX(EF!$H$100:$H$115,MATCH(Emissions!$D58,EF!$D$100:$D$115,0))*INDEX(EF!$H$116:$H$131,MATCH(Emissions!$D58,EF!$D$116:$D$131,0))*kgtoGg</f>
        <v>6.2126409419483526</v>
      </c>
      <c r="AF58" s="22">
        <f>INDEX('Activity data'!AF$24:AF$39,MATCH(Emissions!$D58,'Activity data'!$D$24:$D$39,0))*INDEX(EF!$H$84:$H$99,MATCH(Emissions!$D58,EF!$D$84:$D$99,0))*INDEX(EF!$H$100:$H$115,MATCH(Emissions!$D58,EF!$D$100:$D$115,0))*INDEX(EF!$H$116:$H$131,MATCH(Emissions!$D58,EF!$D$116:$D$131,0))*kgtoGg</f>
        <v>6.1955629249057527</v>
      </c>
      <c r="AG58" s="22">
        <f>INDEX('Activity data'!AG$24:AG$39,MATCH(Emissions!$D58,'Activity data'!$D$24:$D$39,0))*INDEX(EF!$H$84:$H$99,MATCH(Emissions!$D58,EF!$D$84:$D$99,0))*INDEX(EF!$H$100:$H$115,MATCH(Emissions!$D58,EF!$D$100:$D$115,0))*INDEX(EF!$H$116:$H$131,MATCH(Emissions!$D58,EF!$D$116:$D$131,0))*kgtoGg</f>
        <v>6.1784849078631501</v>
      </c>
      <c r="AH58" s="22">
        <f>INDEX('Activity data'!AH$24:AH$39,MATCH(Emissions!$D58,'Activity data'!$D$24:$D$39,0))*INDEX(EF!$H$84:$H$99,MATCH(Emissions!$D58,EF!$D$84:$D$99,0))*INDEX(EF!$H$100:$H$115,MATCH(Emissions!$D58,EF!$D$100:$D$115,0))*INDEX(EF!$H$116:$H$131,MATCH(Emissions!$D58,EF!$D$116:$D$131,0))*kgtoGg</f>
        <v>6.1614068908205484</v>
      </c>
      <c r="AI58" s="22">
        <f>INDEX('Activity data'!AI$24:AI$39,MATCH(Emissions!$D58,'Activity data'!$D$24:$D$39,0))*INDEX(EF!$H$84:$H$99,MATCH(Emissions!$D58,EF!$D$84:$D$99,0))*INDEX(EF!$H$100:$H$115,MATCH(Emissions!$D58,EF!$D$100:$D$115,0))*INDEX(EF!$H$116:$H$131,MATCH(Emissions!$D58,EF!$D$116:$D$131,0))*kgtoGg</f>
        <v>6.1443288737779493</v>
      </c>
      <c r="AJ58" s="22">
        <f>INDEX('Activity data'!AJ$24:AJ$39,MATCH(Emissions!$D58,'Activity data'!$D$24:$D$39,0))*INDEX(EF!$H$84:$H$99,MATCH(Emissions!$D58,EF!$D$84:$D$99,0))*INDEX(EF!$H$100:$H$115,MATCH(Emissions!$D58,EF!$D$100:$D$115,0))*INDEX(EF!$H$116:$H$131,MATCH(Emissions!$D58,EF!$D$116:$D$131,0))*kgtoGg</f>
        <v>6.1272508567353459</v>
      </c>
      <c r="AK58" s="22">
        <f>INDEX('Activity data'!AK$24:AK$39,MATCH(Emissions!$D58,'Activity data'!$D$24:$D$39,0))*INDEX(EF!$H$84:$H$99,MATCH(Emissions!$D58,EF!$D$84:$D$99,0))*INDEX(EF!$H$100:$H$115,MATCH(Emissions!$D58,EF!$D$100:$D$115,0))*INDEX(EF!$H$116:$H$131,MATCH(Emissions!$D58,EF!$D$116:$D$131,0))*kgtoGg</f>
        <v>6.1101728396927459</v>
      </c>
      <c r="AL58" s="22">
        <f>INDEX('Activity data'!AL$24:AL$39,MATCH(Emissions!$D58,'Activity data'!$D$24:$D$39,0))*INDEX(EF!$H$84:$H$99,MATCH(Emissions!$D58,EF!$D$84:$D$99,0))*INDEX(EF!$H$100:$H$115,MATCH(Emissions!$D58,EF!$D$100:$D$115,0))*INDEX(EF!$H$116:$H$131,MATCH(Emissions!$D58,EF!$D$116:$D$131,0))*kgtoGg</f>
        <v>6.0930948226501442</v>
      </c>
      <c r="AM58" s="22">
        <f>INDEX('Activity data'!AM$24:AM$39,MATCH(Emissions!$D58,'Activity data'!$D$24:$D$39,0))*INDEX(EF!$H$84:$H$99,MATCH(Emissions!$D58,EF!$D$84:$D$99,0))*INDEX(EF!$H$100:$H$115,MATCH(Emissions!$D58,EF!$D$100:$D$115,0))*INDEX(EF!$H$116:$H$131,MATCH(Emissions!$D58,EF!$D$116:$D$131,0))*kgtoGg</f>
        <v>6.0760168056075434</v>
      </c>
      <c r="AN58" s="22">
        <f>INDEX('Activity data'!AN$24:AN$39,MATCH(Emissions!$D58,'Activity data'!$D$24:$D$39,0))*INDEX(EF!$H$84:$H$99,MATCH(Emissions!$D58,EF!$D$84:$D$99,0))*INDEX(EF!$H$100:$H$115,MATCH(Emissions!$D58,EF!$D$100:$D$115,0))*INDEX(EF!$H$116:$H$131,MATCH(Emissions!$D58,EF!$D$116:$D$131,0))*kgtoGg</f>
        <v>6.0589387885649417</v>
      </c>
      <c r="AO58" s="22">
        <f>INDEX('Activity data'!AO$24:AO$39,MATCH(Emissions!$D58,'Activity data'!$D$24:$D$39,0))*INDEX(EF!$H$84:$H$99,MATCH(Emissions!$D58,EF!$D$84:$D$99,0))*INDEX(EF!$H$100:$H$115,MATCH(Emissions!$D58,EF!$D$100:$D$115,0))*INDEX(EF!$H$116:$H$131,MATCH(Emissions!$D58,EF!$D$116:$D$131,0))*kgtoGg</f>
        <v>6.04186077152234</v>
      </c>
      <c r="AP58" s="22">
        <f>INDEX('Activity data'!AP$24:AP$39,MATCH(Emissions!$D58,'Activity data'!$D$24:$D$39,0))*INDEX(EF!$H$84:$H$99,MATCH(Emissions!$D58,EF!$D$84:$D$99,0))*INDEX(EF!$H$100:$H$115,MATCH(Emissions!$D58,EF!$D$100:$D$115,0))*INDEX(EF!$H$116:$H$131,MATCH(Emissions!$D58,EF!$D$116:$D$131,0))*kgtoGg</f>
        <v>6.0247827544797383</v>
      </c>
      <c r="AQ58" s="22">
        <f>INDEX('Activity data'!AQ$24:AQ$39,MATCH(Emissions!$D58,'Activity data'!$D$24:$D$39,0))*INDEX(EF!$H$84:$H$99,MATCH(Emissions!$D58,EF!$D$84:$D$99,0))*INDEX(EF!$H$100:$H$115,MATCH(Emissions!$D58,EF!$D$100:$D$115,0))*INDEX(EF!$H$116:$H$131,MATCH(Emissions!$D58,EF!$D$116:$D$131,0))*kgtoGg</f>
        <v>6.0077047374371375</v>
      </c>
      <c r="AR58" s="22">
        <f>INDEX('Activity data'!AR$24:AR$39,MATCH(Emissions!$D58,'Activity data'!$D$24:$D$39,0))*INDEX(EF!$H$84:$H$99,MATCH(Emissions!$D58,EF!$D$84:$D$99,0))*INDEX(EF!$H$100:$H$115,MATCH(Emissions!$D58,EF!$D$100:$D$115,0))*INDEX(EF!$H$116:$H$131,MATCH(Emissions!$D58,EF!$D$116:$D$131,0))*kgtoGg</f>
        <v>5.9906267203945358</v>
      </c>
      <c r="AS58" s="22">
        <f>INDEX('Activity data'!AS$24:AS$39,MATCH(Emissions!$D58,'Activity data'!$D$24:$D$39,0))*INDEX(EF!$H$84:$H$99,MATCH(Emissions!$D58,EF!$D$84:$D$99,0))*INDEX(EF!$H$100:$H$115,MATCH(Emissions!$D58,EF!$D$100:$D$115,0))*INDEX(EF!$H$116:$H$131,MATCH(Emissions!$D58,EF!$D$116:$D$131,0))*kgtoGg</f>
        <v>5.9735487033519359</v>
      </c>
      <c r="AT58" s="22">
        <f>INDEX('Activity data'!AT$24:AT$39,MATCH(Emissions!$D58,'Activity data'!$D$24:$D$39,0))*INDEX(EF!$H$84:$H$99,MATCH(Emissions!$D58,EF!$D$84:$D$99,0))*INDEX(EF!$H$100:$H$115,MATCH(Emissions!$D58,EF!$D$100:$D$115,0))*INDEX(EF!$H$116:$H$131,MATCH(Emissions!$D58,EF!$D$116:$D$131,0))*kgtoGg</f>
        <v>5.9564706863093333</v>
      </c>
      <c r="AU58" s="22">
        <f>INDEX('Activity data'!AU$24:AU$39,MATCH(Emissions!$D58,'Activity data'!$D$24:$D$39,0))*INDEX(EF!$H$84:$H$99,MATCH(Emissions!$D58,EF!$D$84:$D$99,0))*INDEX(EF!$H$100:$H$115,MATCH(Emissions!$D58,EF!$D$100:$D$115,0))*INDEX(EF!$H$116:$H$131,MATCH(Emissions!$D58,EF!$D$116:$D$131,0))*kgtoGg</f>
        <v>5.9393926692667334</v>
      </c>
      <c r="AV58" s="22">
        <f>INDEX('Activity data'!AV$24:AV$39,MATCH(Emissions!$D58,'Activity data'!$D$24:$D$39,0))*INDEX(EF!$H$84:$H$99,MATCH(Emissions!$D58,EF!$D$84:$D$99,0))*INDEX(EF!$H$100:$H$115,MATCH(Emissions!$D58,EF!$D$100:$D$115,0))*INDEX(EF!$H$116:$H$131,MATCH(Emissions!$D58,EF!$D$116:$D$131,0))*kgtoGg</f>
        <v>5.9223146522241317</v>
      </c>
      <c r="AW58" s="22">
        <f>INDEX('Activity data'!AW$24:AW$39,MATCH(Emissions!$D58,'Activity data'!$D$24:$D$39,0))*INDEX(EF!$H$84:$H$99,MATCH(Emissions!$D58,EF!$D$84:$D$99,0))*INDEX(EF!$H$100:$H$115,MATCH(Emissions!$D58,EF!$D$100:$D$115,0))*INDEX(EF!$H$116:$H$131,MATCH(Emissions!$D58,EF!$D$116:$D$131,0))*kgtoGg</f>
        <v>5.90523663518153</v>
      </c>
      <c r="AX58" s="22">
        <f>INDEX('Activity data'!AX$24:AX$39,MATCH(Emissions!$D58,'Activity data'!$D$24:$D$39,0))*INDEX(EF!$H$84:$H$99,MATCH(Emissions!$D58,EF!$D$84:$D$99,0))*INDEX(EF!$H$100:$H$115,MATCH(Emissions!$D58,EF!$D$100:$D$115,0))*INDEX(EF!$H$116:$H$131,MATCH(Emissions!$D58,EF!$D$116:$D$131,0))*kgtoGg</f>
        <v>5.8881586181389283</v>
      </c>
      <c r="AY58" s="22">
        <f>INDEX('Activity data'!AY$24:AY$39,MATCH(Emissions!$D58,'Activity data'!$D$24:$D$39,0))*INDEX(EF!$H$84:$H$99,MATCH(Emissions!$D58,EF!$D$84:$D$99,0))*INDEX(EF!$H$100:$H$115,MATCH(Emissions!$D58,EF!$D$100:$D$115,0))*INDEX(EF!$H$116:$H$131,MATCH(Emissions!$D58,EF!$D$116:$D$131,0))*kgtoGg</f>
        <v>5.8710806010963275</v>
      </c>
      <c r="AZ58" s="22">
        <f>INDEX('Activity data'!AZ$24:AZ$39,MATCH(Emissions!$D58,'Activity data'!$D$24:$D$39,0))*INDEX(EF!$H$84:$H$99,MATCH(Emissions!$D58,EF!$D$84:$D$99,0))*INDEX(EF!$H$100:$H$115,MATCH(Emissions!$D58,EF!$D$100:$D$115,0))*INDEX(EF!$H$116:$H$131,MATCH(Emissions!$D58,EF!$D$116:$D$131,0))*kgtoGg</f>
        <v>5.8540025840537266</v>
      </c>
      <c r="BA58" s="22">
        <f>INDEX('Activity data'!BA$24:BA$39,MATCH(Emissions!$D58,'Activity data'!$D$24:$D$39,0))*INDEX(EF!$H$84:$H$99,MATCH(Emissions!$D58,EF!$D$84:$D$99,0))*INDEX(EF!$H$100:$H$115,MATCH(Emissions!$D58,EF!$D$100:$D$115,0))*INDEX(EF!$H$116:$H$131,MATCH(Emissions!$D58,EF!$D$116:$D$131,0))*kgtoGg</f>
        <v>5.8369245670111249</v>
      </c>
      <c r="BB58" s="22">
        <f>INDEX('Activity data'!BB$24:BB$39,MATCH(Emissions!$D58,'Activity data'!$D$24:$D$39,0))*INDEX(EF!$H$84:$H$99,MATCH(Emissions!$D58,EF!$D$84:$D$99,0))*INDEX(EF!$H$100:$H$115,MATCH(Emissions!$D58,EF!$D$100:$D$115,0))*INDEX(EF!$H$116:$H$131,MATCH(Emissions!$D58,EF!$D$116:$D$131,0))*kgtoGg</f>
        <v>5.8198465499685241</v>
      </c>
      <c r="BC58" s="22">
        <f>INDEX('Activity data'!BC$24:BC$39,MATCH(Emissions!$D58,'Activity data'!$D$24:$D$39,0))*INDEX(EF!$H$84:$H$99,MATCH(Emissions!$D58,EF!$D$84:$D$99,0))*INDEX(EF!$H$100:$H$115,MATCH(Emissions!$D58,EF!$D$100:$D$115,0))*INDEX(EF!$H$116:$H$131,MATCH(Emissions!$D58,EF!$D$116:$D$131,0))*kgtoGg</f>
        <v>5.8027685329259224</v>
      </c>
      <c r="BD58" s="22">
        <f>INDEX('Activity data'!BD$24:BD$39,MATCH(Emissions!$D58,'Activity data'!$D$24:$D$39,0))*INDEX(EF!$H$84:$H$99,MATCH(Emissions!$D58,EF!$D$84:$D$99,0))*INDEX(EF!$H$100:$H$115,MATCH(Emissions!$D58,EF!$D$100:$D$115,0))*INDEX(EF!$H$116:$H$131,MATCH(Emissions!$D58,EF!$D$116:$D$131,0))*kgtoGg</f>
        <v>5.7856905158833216</v>
      </c>
      <c r="BE58" s="22">
        <f>INDEX('Activity data'!BE$24:BE$39,MATCH(Emissions!$D58,'Activity data'!$D$24:$D$39,0))*INDEX(EF!$H$84:$H$99,MATCH(Emissions!$D58,EF!$D$84:$D$99,0))*INDEX(EF!$H$100:$H$115,MATCH(Emissions!$D58,EF!$D$100:$D$115,0))*INDEX(EF!$H$116:$H$131,MATCH(Emissions!$D58,EF!$D$116:$D$131,0))*kgtoGg</f>
        <v>5.7686124988407199</v>
      </c>
      <c r="BF58" s="22">
        <f>INDEX('Activity data'!BF$24:BF$39,MATCH(Emissions!$D58,'Activity data'!$D$24:$D$39,0))*INDEX(EF!$H$84:$H$99,MATCH(Emissions!$D58,EF!$D$84:$D$99,0))*INDEX(EF!$H$100:$H$115,MATCH(Emissions!$D58,EF!$D$100:$D$115,0))*INDEX(EF!$H$116:$H$131,MATCH(Emissions!$D58,EF!$D$116:$D$131,0))*kgtoGg</f>
        <v>5.7515344817981173</v>
      </c>
      <c r="BG58" s="22">
        <f>INDEX('Activity data'!BG$24:BG$39,MATCH(Emissions!$D58,'Activity data'!$D$24:$D$39,0))*INDEX(EF!$H$84:$H$99,MATCH(Emissions!$D58,EF!$D$84:$D$99,0))*INDEX(EF!$H$100:$H$115,MATCH(Emissions!$D58,EF!$D$100:$D$115,0))*INDEX(EF!$H$116:$H$131,MATCH(Emissions!$D58,EF!$D$116:$D$131,0))*kgtoGg</f>
        <v>5.7344564647555183</v>
      </c>
      <c r="BH58" s="22">
        <f>INDEX('Activity data'!BH$24:BH$39,MATCH(Emissions!$D58,'Activity data'!$D$24:$D$39,0))*INDEX(EF!$H$84:$H$99,MATCH(Emissions!$D58,EF!$D$84:$D$99,0))*INDEX(EF!$H$100:$H$115,MATCH(Emissions!$D58,EF!$D$100:$D$115,0))*INDEX(EF!$H$116:$H$131,MATCH(Emissions!$D58,EF!$D$116:$D$131,0))*kgtoGg</f>
        <v>5.7173784477129166</v>
      </c>
      <c r="BI58" s="22">
        <f>INDEX('Activity data'!BI$24:BI$39,MATCH(Emissions!$D58,'Activity data'!$D$24:$D$39,0))*INDEX(EF!$H$84:$H$99,MATCH(Emissions!$D58,EF!$D$84:$D$99,0))*INDEX(EF!$H$100:$H$115,MATCH(Emissions!$D58,EF!$D$100:$D$115,0))*INDEX(EF!$H$116:$H$131,MATCH(Emissions!$D58,EF!$D$116:$D$131,0))*kgtoGg</f>
        <v>5.7003004306703149</v>
      </c>
      <c r="BJ58" s="22">
        <f>INDEX('Activity data'!BJ$24:BJ$39,MATCH(Emissions!$D58,'Activity data'!$D$24:$D$39,0))*INDEX(EF!$H$84:$H$99,MATCH(Emissions!$D58,EF!$D$84:$D$99,0))*INDEX(EF!$H$100:$H$115,MATCH(Emissions!$D58,EF!$D$100:$D$115,0))*INDEX(EF!$H$116:$H$131,MATCH(Emissions!$D58,EF!$D$116:$D$131,0))*kgtoGg</f>
        <v>5.6832224136277141</v>
      </c>
      <c r="BK58" s="22">
        <f>INDEX('Activity data'!BK$24:BK$39,MATCH(Emissions!$D58,'Activity data'!$D$24:$D$39,0))*INDEX(EF!$H$84:$H$99,MATCH(Emissions!$D58,EF!$D$84:$D$99,0))*INDEX(EF!$H$100:$H$115,MATCH(Emissions!$D58,EF!$D$100:$D$115,0))*INDEX(EF!$H$116:$H$131,MATCH(Emissions!$D58,EF!$D$116:$D$131,0))*kgtoGg</f>
        <v>5.6661443965851124</v>
      </c>
      <c r="BL58" s="22">
        <f>INDEX('Activity data'!BL$24:BL$39,MATCH(Emissions!$D58,'Activity data'!$D$24:$D$39,0))*INDEX(EF!$H$84:$H$99,MATCH(Emissions!$D58,EF!$D$84:$D$99,0))*INDEX(EF!$H$100:$H$115,MATCH(Emissions!$D58,EF!$D$100:$D$115,0))*INDEX(EF!$H$116:$H$131,MATCH(Emissions!$D58,EF!$D$116:$D$131,0))*kgtoGg</f>
        <v>5.6490663795425107</v>
      </c>
      <c r="BM58" s="22">
        <f>INDEX('Activity data'!BM$24:BM$39,MATCH(Emissions!$D58,'Activity data'!$D$24:$D$39,0))*INDEX(EF!$H$84:$H$99,MATCH(Emissions!$D58,EF!$D$84:$D$99,0))*INDEX(EF!$H$100:$H$115,MATCH(Emissions!$D58,EF!$D$100:$D$115,0))*INDEX(EF!$H$116:$H$131,MATCH(Emissions!$D58,EF!$D$116:$D$131,0))*kgtoGg</f>
        <v>5.631988362499909</v>
      </c>
      <c r="BN58" s="22">
        <f>INDEX('Activity data'!BN$24:BN$39,MATCH(Emissions!$D58,'Activity data'!$D$24:$D$39,0))*INDEX(EF!$H$84:$H$99,MATCH(Emissions!$D58,EF!$D$84:$D$99,0))*INDEX(EF!$H$100:$H$115,MATCH(Emissions!$D58,EF!$D$100:$D$115,0))*INDEX(EF!$H$116:$H$131,MATCH(Emissions!$D58,EF!$D$116:$D$131,0))*kgtoGg</f>
        <v>5.614910345457309</v>
      </c>
      <c r="BO58" s="22">
        <f>INDEX('Activity data'!BO$24:BO$39,MATCH(Emissions!$D58,'Activity data'!$D$24:$D$39,0))*INDEX(EF!$H$84:$H$99,MATCH(Emissions!$D58,EF!$D$84:$D$99,0))*INDEX(EF!$H$100:$H$115,MATCH(Emissions!$D58,EF!$D$100:$D$115,0))*INDEX(EF!$H$116:$H$131,MATCH(Emissions!$D58,EF!$D$116:$D$131,0))*kgtoGg</f>
        <v>5.5978323284147082</v>
      </c>
      <c r="BP58" s="22">
        <f>INDEX('Activity data'!BP$24:BP$39,MATCH(Emissions!$D58,'Activity data'!$D$24:$D$39,0))*INDEX(EF!$H$84:$H$99,MATCH(Emissions!$D58,EF!$D$84:$D$99,0))*INDEX(EF!$H$100:$H$115,MATCH(Emissions!$D58,EF!$D$100:$D$115,0))*INDEX(EF!$H$116:$H$131,MATCH(Emissions!$D58,EF!$D$116:$D$131,0))*kgtoGg</f>
        <v>5.5807543113721056</v>
      </c>
    </row>
    <row r="59" spans="1:68" x14ac:dyDescent="0.25">
      <c r="A59" t="str">
        <f t="shared" si="13"/>
        <v>3C Aggregated and non-CO2 emissions on land</v>
      </c>
      <c r="B59" t="str">
        <f t="shared" si="14"/>
        <v>3C1 Biomass burning (CH4)</v>
      </c>
      <c r="C59" t="str">
        <f>C58</f>
        <v>3C1b Biomass burning in Croplands</v>
      </c>
      <c r="D59" t="str">
        <f>EF!D89</f>
        <v>Annual pivot</v>
      </c>
      <c r="E59" t="s">
        <v>646</v>
      </c>
      <c r="F59" t="str">
        <f t="shared" si="16"/>
        <v>CH4</v>
      </c>
      <c r="G59" t="str">
        <f t="shared" si="17"/>
        <v>Gg CH4</v>
      </c>
      <c r="H59" s="22">
        <f>INDEX('Activity data'!H$24:H$39,MATCH(Emissions!$D59,'Activity data'!$D$24:$D$39,0))*INDEX(EF!$H$84:$H$99,MATCH(Emissions!$D59,EF!$D$84:$D$99,0))*INDEX(EF!$H$100:$H$115,MATCH(Emissions!$D59,EF!$D$100:$D$115,0))*INDEX(EF!$H$116:$H$131,MATCH(Emissions!$D59,EF!$D$116:$D$131,0))*kgtoGg</f>
        <v>7.1890335181109197</v>
      </c>
      <c r="I59" s="22">
        <f>INDEX('Activity data'!I$24:I$39,MATCH(Emissions!$D59,'Activity data'!$D$24:$D$39,0))*INDEX(EF!$H$84:$H$99,MATCH(Emissions!$D59,EF!$D$84:$D$99,0))*INDEX(EF!$H$100:$H$115,MATCH(Emissions!$D59,EF!$D$100:$D$115,0))*INDEX(EF!$H$116:$H$131,MATCH(Emissions!$D59,EF!$D$116:$D$131,0))*kgtoGg</f>
        <v>7.1890335181109197</v>
      </c>
      <c r="J59" s="22">
        <f>INDEX('Activity data'!J$24:J$39,MATCH(Emissions!$D59,'Activity data'!$D$24:$D$39,0))*INDEX(EF!$H$84:$H$99,MATCH(Emissions!$D59,EF!$D$84:$D$99,0))*INDEX(EF!$H$100:$H$115,MATCH(Emissions!$D59,EF!$D$100:$D$115,0))*INDEX(EF!$H$116:$H$131,MATCH(Emissions!$D59,EF!$D$116:$D$131,0))*kgtoGg</f>
        <v>7.1890335181109197</v>
      </c>
      <c r="K59" s="22">
        <f>INDEX('Activity data'!K$24:K$39,MATCH(Emissions!$D59,'Activity data'!$D$24:$D$39,0))*INDEX(EF!$H$84:$H$99,MATCH(Emissions!$D59,EF!$D$84:$D$99,0))*INDEX(EF!$H$100:$H$115,MATCH(Emissions!$D59,EF!$D$100:$D$115,0))*INDEX(EF!$H$116:$H$131,MATCH(Emissions!$D59,EF!$D$116:$D$131,0))*kgtoGg</f>
        <v>7.1890335181109197</v>
      </c>
      <c r="L59" s="22">
        <f>INDEX('Activity data'!L$24:L$39,MATCH(Emissions!$D59,'Activity data'!$D$24:$D$39,0))*INDEX(EF!$H$84:$H$99,MATCH(Emissions!$D59,EF!$D$84:$D$99,0))*INDEX(EF!$H$100:$H$115,MATCH(Emissions!$D59,EF!$D$100:$D$115,0))*INDEX(EF!$H$116:$H$131,MATCH(Emissions!$D59,EF!$D$116:$D$131,0))*kgtoGg</f>
        <v>7.1890335181109197</v>
      </c>
      <c r="M59" s="22">
        <f>INDEX('Activity data'!M$24:M$39,MATCH(Emissions!$D59,'Activity data'!$D$24:$D$39,0))*INDEX(EF!$H$84:$H$99,MATCH(Emissions!$D59,EF!$D$84:$D$99,0))*INDEX(EF!$H$100:$H$115,MATCH(Emissions!$D59,EF!$D$100:$D$115,0))*INDEX(EF!$H$116:$H$131,MATCH(Emissions!$D59,EF!$D$116:$D$131,0))*kgtoGg</f>
        <v>7.1890335181109197</v>
      </c>
      <c r="N59" s="22">
        <f>INDEX('Activity data'!N$24:N$39,MATCH(Emissions!$D59,'Activity data'!$D$24:$D$39,0))*INDEX(EF!$H$84:$H$99,MATCH(Emissions!$D59,EF!$D$84:$D$99,0))*INDEX(EF!$H$100:$H$115,MATCH(Emissions!$D59,EF!$D$100:$D$115,0))*INDEX(EF!$H$116:$H$131,MATCH(Emissions!$D59,EF!$D$116:$D$131,0))*kgtoGg</f>
        <v>7.1890335181109197</v>
      </c>
      <c r="O59" s="22">
        <f>INDEX('Activity data'!O$24:O$39,MATCH(Emissions!$D59,'Activity data'!$D$24:$D$39,0))*INDEX(EF!$H$84:$H$99,MATCH(Emissions!$D59,EF!$D$84:$D$99,0))*INDEX(EF!$H$100:$H$115,MATCH(Emissions!$D59,EF!$D$100:$D$115,0))*INDEX(EF!$H$116:$H$131,MATCH(Emissions!$D59,EF!$D$116:$D$131,0))*kgtoGg</f>
        <v>7.1890335181109197</v>
      </c>
      <c r="P59" s="22">
        <f>INDEX('Activity data'!P$24:P$39,MATCH(Emissions!$D59,'Activity data'!$D$24:$D$39,0))*INDEX(EF!$H$84:$H$99,MATCH(Emissions!$D59,EF!$D$84:$D$99,0))*INDEX(EF!$H$100:$H$115,MATCH(Emissions!$D59,EF!$D$100:$D$115,0))*INDEX(EF!$H$116:$H$131,MATCH(Emissions!$D59,EF!$D$116:$D$131,0))*kgtoGg</f>
        <v>7.1890335181109197</v>
      </c>
      <c r="Q59" s="22">
        <f>INDEX('Activity data'!Q$24:Q$39,MATCH(Emissions!$D59,'Activity data'!$D$24:$D$39,0))*INDEX(EF!$H$84:$H$99,MATCH(Emissions!$D59,EF!$D$84:$D$99,0))*INDEX(EF!$H$100:$H$115,MATCH(Emissions!$D59,EF!$D$100:$D$115,0))*INDEX(EF!$H$116:$H$131,MATCH(Emissions!$D59,EF!$D$116:$D$131,0))*kgtoGg</f>
        <v>7.1890335181109197</v>
      </c>
      <c r="R59" s="22">
        <f>INDEX('Activity data'!R$24:R$39,MATCH(Emissions!$D59,'Activity data'!$D$24:$D$39,0))*INDEX(EF!$H$84:$H$99,MATCH(Emissions!$D59,EF!$D$84:$D$99,0))*INDEX(EF!$H$100:$H$115,MATCH(Emissions!$D59,EF!$D$100:$D$115,0))*INDEX(EF!$H$116:$H$131,MATCH(Emissions!$D59,EF!$D$116:$D$131,0))*kgtoGg</f>
        <v>7.7769845389978656</v>
      </c>
      <c r="S59" s="22">
        <f>INDEX('Activity data'!S$24:S$39,MATCH(Emissions!$D59,'Activity data'!$D$24:$D$39,0))*INDEX(EF!$H$84:$H$99,MATCH(Emissions!$D59,EF!$D$84:$D$99,0))*INDEX(EF!$H$100:$H$115,MATCH(Emissions!$D59,EF!$D$100:$D$115,0))*INDEX(EF!$H$116:$H$131,MATCH(Emissions!$D59,EF!$D$116:$D$131,0))*kgtoGg</f>
        <v>7.2043842642429627</v>
      </c>
      <c r="T59" s="22">
        <f>INDEX('Activity data'!T$24:T$39,MATCH(Emissions!$D59,'Activity data'!$D$24:$D$39,0))*INDEX(EF!$H$84:$H$99,MATCH(Emissions!$D59,EF!$D$84:$D$99,0))*INDEX(EF!$H$100:$H$115,MATCH(Emissions!$D59,EF!$D$100:$D$115,0))*INDEX(EF!$H$116:$H$131,MATCH(Emissions!$D59,EF!$D$116:$D$131,0))*kgtoGg</f>
        <v>8.8223180185009138</v>
      </c>
      <c r="U59" s="22">
        <f>INDEX('Activity data'!U$24:U$39,MATCH(Emissions!$D59,'Activity data'!$D$24:$D$39,0))*INDEX(EF!$H$84:$H$99,MATCH(Emissions!$D59,EF!$D$84:$D$99,0))*INDEX(EF!$H$100:$H$115,MATCH(Emissions!$D59,EF!$D$100:$D$115,0))*INDEX(EF!$H$116:$H$131,MATCH(Emissions!$D59,EF!$D$116:$D$131,0))*kgtoGg</f>
        <v>6.58642951227975</v>
      </c>
      <c r="V59" s="22">
        <f>INDEX('Activity data'!V$24:V$39,MATCH(Emissions!$D59,'Activity data'!$D$24:$D$39,0))*INDEX(EF!$H$84:$H$99,MATCH(Emissions!$D59,EF!$D$84:$D$99,0))*INDEX(EF!$H$100:$H$115,MATCH(Emissions!$D59,EF!$D$100:$D$115,0))*INDEX(EF!$H$116:$H$131,MATCH(Emissions!$D59,EF!$D$116:$D$131,0))*kgtoGg</f>
        <v>5.5550512565331021</v>
      </c>
      <c r="W59" s="22">
        <f>INDEX('Activity data'!W$24:W$39,MATCH(Emissions!$D59,'Activity data'!$D$24:$D$39,0))*INDEX(EF!$H$84:$H$99,MATCH(Emissions!$D59,EF!$D$84:$D$99,0))*INDEX(EF!$H$100:$H$115,MATCH(Emissions!$D59,EF!$D$100:$D$115,0))*INDEX(EF!$H$116:$H$131,MATCH(Emissions!$D59,EF!$D$116:$D$131,0))*kgtoGg</f>
        <v>9.4036403081035704</v>
      </c>
      <c r="X59" s="22">
        <f>INDEX('Activity data'!X$24:X$39,MATCH(Emissions!$D59,'Activity data'!$D$24:$D$39,0))*INDEX(EF!$H$84:$H$99,MATCH(Emissions!$D59,EF!$D$84:$D$99,0))*INDEX(EF!$H$100:$H$115,MATCH(Emissions!$D59,EF!$D$100:$D$115,0))*INDEX(EF!$H$116:$H$131,MATCH(Emissions!$D59,EF!$D$116:$D$131,0))*kgtoGg</f>
        <v>9.5850582169368082</v>
      </c>
      <c r="Y59" s="22">
        <f>INDEX('Activity data'!Y$24:Y$39,MATCH(Emissions!$D59,'Activity data'!$D$24:$D$39,0))*INDEX(EF!$H$84:$H$99,MATCH(Emissions!$D59,EF!$D$84:$D$99,0))*INDEX(EF!$H$100:$H$115,MATCH(Emissions!$D59,EF!$D$100:$D$115,0))*INDEX(EF!$H$116:$H$131,MATCH(Emissions!$D59,EF!$D$116:$D$131,0))*kgtoGg</f>
        <v>5.4189878249081751</v>
      </c>
      <c r="Z59" s="22">
        <f>INDEX('Activity data'!Z$24:Z$39,MATCH(Emissions!$D59,'Activity data'!$D$24:$D$39,0))*INDEX(EF!$H$84:$H$99,MATCH(Emissions!$D59,EF!$D$84:$D$99,0))*INDEX(EF!$H$100:$H$115,MATCH(Emissions!$D59,EF!$D$100:$D$115,0))*INDEX(EF!$H$116:$H$131,MATCH(Emissions!$D59,EF!$D$116:$D$131,0))*kgtoGg</f>
        <v>6.2693842725639728</v>
      </c>
      <c r="AA59" s="22">
        <f>INDEX('Activity data'!AA$24:AA$39,MATCH(Emissions!$D59,'Activity data'!$D$24:$D$39,0))*INDEX(EF!$H$84:$H$99,MATCH(Emissions!$D59,EF!$D$84:$D$99,0))*INDEX(EF!$H$100:$H$115,MATCH(Emissions!$D59,EF!$D$100:$D$115,0))*INDEX(EF!$H$116:$H$131,MATCH(Emissions!$D59,EF!$D$116:$D$131,0))*kgtoGg</f>
        <v>6.2022247582362837</v>
      </c>
      <c r="AB59" s="22">
        <f>INDEX('Activity data'!AB$24:AB$39,MATCH(Emissions!$D59,'Activity data'!$D$24:$D$39,0))*INDEX(EF!$H$84:$H$99,MATCH(Emissions!$D59,EF!$D$84:$D$99,0))*INDEX(EF!$H$100:$H$115,MATCH(Emissions!$D59,EF!$D$100:$D$115,0))*INDEX(EF!$H$116:$H$131,MATCH(Emissions!$D59,EF!$D$116:$D$131,0))*kgtoGg</f>
        <v>6.9937244370000009</v>
      </c>
      <c r="AC59" s="22">
        <f>INDEX('Activity data'!AC$24:AC$39,MATCH(Emissions!$D59,'Activity data'!$D$24:$D$39,0))*INDEX(EF!$H$84:$H$99,MATCH(Emissions!$D59,EF!$D$84:$D$99,0))*INDEX(EF!$H$100:$H$115,MATCH(Emissions!$D59,EF!$D$100:$D$115,0))*INDEX(EF!$H$116:$H$131,MATCH(Emissions!$D59,EF!$D$116:$D$131,0))*kgtoGg</f>
        <v>7.3062814859999996</v>
      </c>
      <c r="AD59" s="22">
        <f>INDEX('Activity data'!AD$24:AD$39,MATCH(Emissions!$D59,'Activity data'!$D$24:$D$39,0))*INDEX(EF!$H$84:$H$99,MATCH(Emissions!$D59,EF!$D$84:$D$99,0))*INDEX(EF!$H$100:$H$115,MATCH(Emissions!$D59,EF!$D$100:$D$115,0))*INDEX(EF!$H$116:$H$131,MATCH(Emissions!$D59,EF!$D$116:$D$131,0))*kgtoGg</f>
        <v>0.51545593822160218</v>
      </c>
      <c r="AE59" s="22">
        <f>INDEX('Activity data'!AE$24:AE$39,MATCH(Emissions!$D59,'Activity data'!$D$24:$D$39,0))*INDEX(EF!$H$84:$H$99,MATCH(Emissions!$D59,EF!$D$84:$D$99,0))*INDEX(EF!$H$100:$H$115,MATCH(Emissions!$D59,EF!$D$100:$D$115,0))*INDEX(EF!$H$116:$H$131,MATCH(Emissions!$D59,EF!$D$116:$D$131,0))*kgtoGg</f>
        <v>0.53112945404780765</v>
      </c>
      <c r="AF59" s="22">
        <f>INDEX('Activity data'!AF$24:AF$39,MATCH(Emissions!$D59,'Activity data'!$D$24:$D$39,0))*INDEX(EF!$H$84:$H$99,MATCH(Emissions!$D59,EF!$D$84:$D$99,0))*INDEX(EF!$H$100:$H$115,MATCH(Emissions!$D59,EF!$D$100:$D$115,0))*INDEX(EF!$H$116:$H$131,MATCH(Emissions!$D59,EF!$D$116:$D$131,0))*kgtoGg</f>
        <v>0.54680296987401311</v>
      </c>
      <c r="AG59" s="22">
        <f>INDEX('Activity data'!AG$24:AG$39,MATCH(Emissions!$D59,'Activity data'!$D$24:$D$39,0))*INDEX(EF!$H$84:$H$99,MATCH(Emissions!$D59,EF!$D$84:$D$99,0))*INDEX(EF!$H$100:$H$115,MATCH(Emissions!$D59,EF!$D$100:$D$115,0))*INDEX(EF!$H$116:$H$131,MATCH(Emissions!$D59,EF!$D$116:$D$131,0))*kgtoGg</f>
        <v>0.5624764857002188</v>
      </c>
      <c r="AH59" s="22">
        <f>INDEX('Activity data'!AH$24:AH$39,MATCH(Emissions!$D59,'Activity data'!$D$24:$D$39,0))*INDEX(EF!$H$84:$H$99,MATCH(Emissions!$D59,EF!$D$84:$D$99,0))*INDEX(EF!$H$100:$H$115,MATCH(Emissions!$D59,EF!$D$100:$D$115,0))*INDEX(EF!$H$116:$H$131,MATCH(Emissions!$D59,EF!$D$116:$D$131,0))*kgtoGg</f>
        <v>0.57815000152642426</v>
      </c>
      <c r="AI59" s="22">
        <f>INDEX('Activity data'!AI$24:AI$39,MATCH(Emissions!$D59,'Activity data'!$D$24:$D$39,0))*INDEX(EF!$H$84:$H$99,MATCH(Emissions!$D59,EF!$D$84:$D$99,0))*INDEX(EF!$H$100:$H$115,MATCH(Emissions!$D59,EF!$D$100:$D$115,0))*INDEX(EF!$H$116:$H$131,MATCH(Emissions!$D59,EF!$D$116:$D$131,0))*kgtoGg</f>
        <v>0.59382351735262984</v>
      </c>
      <c r="AJ59" s="22">
        <f>INDEX('Activity data'!AJ$24:AJ$39,MATCH(Emissions!$D59,'Activity data'!$D$24:$D$39,0))*INDEX(EF!$H$84:$H$99,MATCH(Emissions!$D59,EF!$D$84:$D$99,0))*INDEX(EF!$H$100:$H$115,MATCH(Emissions!$D59,EF!$D$100:$D$115,0))*INDEX(EF!$H$116:$H$131,MATCH(Emissions!$D59,EF!$D$116:$D$131,0))*kgtoGg</f>
        <v>0.6094970331788353</v>
      </c>
      <c r="AK59" s="22">
        <f>INDEX('Activity data'!AK$24:AK$39,MATCH(Emissions!$D59,'Activity data'!$D$24:$D$39,0))*INDEX(EF!$H$84:$H$99,MATCH(Emissions!$D59,EF!$D$84:$D$99,0))*INDEX(EF!$H$100:$H$115,MATCH(Emissions!$D59,EF!$D$100:$D$115,0))*INDEX(EF!$H$116:$H$131,MATCH(Emissions!$D59,EF!$D$116:$D$131,0))*kgtoGg</f>
        <v>0.62517054900504077</v>
      </c>
      <c r="AL59" s="22">
        <f>INDEX('Activity data'!AL$24:AL$39,MATCH(Emissions!$D59,'Activity data'!$D$24:$D$39,0))*INDEX(EF!$H$84:$H$99,MATCH(Emissions!$D59,EF!$D$84:$D$99,0))*INDEX(EF!$H$100:$H$115,MATCH(Emissions!$D59,EF!$D$100:$D$115,0))*INDEX(EF!$H$116:$H$131,MATCH(Emissions!$D59,EF!$D$116:$D$131,0))*kgtoGg</f>
        <v>0.64084406483124634</v>
      </c>
      <c r="AM59" s="22">
        <f>INDEX('Activity data'!AM$24:AM$39,MATCH(Emissions!$D59,'Activity data'!$D$24:$D$39,0))*INDEX(EF!$H$84:$H$99,MATCH(Emissions!$D59,EF!$D$84:$D$99,0))*INDEX(EF!$H$100:$H$115,MATCH(Emissions!$D59,EF!$D$100:$D$115,0))*INDEX(EF!$H$116:$H$131,MATCH(Emissions!$D59,EF!$D$116:$D$131,0))*kgtoGg</f>
        <v>0.65651758065745214</v>
      </c>
      <c r="AN59" s="22">
        <f>INDEX('Activity data'!AN$24:AN$39,MATCH(Emissions!$D59,'Activity data'!$D$24:$D$39,0))*INDEX(EF!$H$84:$H$99,MATCH(Emissions!$D59,EF!$D$84:$D$99,0))*INDEX(EF!$H$100:$H$115,MATCH(Emissions!$D59,EF!$D$100:$D$115,0))*INDEX(EF!$H$116:$H$131,MATCH(Emissions!$D59,EF!$D$116:$D$131,0))*kgtoGg</f>
        <v>0.6721910964836576</v>
      </c>
      <c r="AO59" s="22">
        <f>INDEX('Activity data'!AO$24:AO$39,MATCH(Emissions!$D59,'Activity data'!$D$24:$D$39,0))*INDEX(EF!$H$84:$H$99,MATCH(Emissions!$D59,EF!$D$84:$D$99,0))*INDEX(EF!$H$100:$H$115,MATCH(Emissions!$D59,EF!$D$100:$D$115,0))*INDEX(EF!$H$116:$H$131,MATCH(Emissions!$D59,EF!$D$116:$D$131,0))*kgtoGg</f>
        <v>0.68786461230986296</v>
      </c>
      <c r="AP59" s="22">
        <f>INDEX('Activity data'!AP$24:AP$39,MATCH(Emissions!$D59,'Activity data'!$D$24:$D$39,0))*INDEX(EF!$H$84:$H$99,MATCH(Emissions!$D59,EF!$D$84:$D$99,0))*INDEX(EF!$H$100:$H$115,MATCH(Emissions!$D59,EF!$D$100:$D$115,0))*INDEX(EF!$H$116:$H$131,MATCH(Emissions!$D59,EF!$D$116:$D$131,0))*kgtoGg</f>
        <v>0.70353812813606853</v>
      </c>
      <c r="AQ59" s="22">
        <f>INDEX('Activity data'!AQ$24:AQ$39,MATCH(Emissions!$D59,'Activity data'!$D$24:$D$39,0))*INDEX(EF!$H$84:$H$99,MATCH(Emissions!$D59,EF!$D$84:$D$99,0))*INDEX(EF!$H$100:$H$115,MATCH(Emissions!$D59,EF!$D$100:$D$115,0))*INDEX(EF!$H$116:$H$131,MATCH(Emissions!$D59,EF!$D$116:$D$131,0))*kgtoGg</f>
        <v>0.71921164396227399</v>
      </c>
      <c r="AR59" s="22">
        <f>INDEX('Activity data'!AR$24:AR$39,MATCH(Emissions!$D59,'Activity data'!$D$24:$D$39,0))*INDEX(EF!$H$84:$H$99,MATCH(Emissions!$D59,EF!$D$84:$D$99,0))*INDEX(EF!$H$100:$H$115,MATCH(Emissions!$D59,EF!$D$100:$D$115,0))*INDEX(EF!$H$116:$H$131,MATCH(Emissions!$D59,EF!$D$116:$D$131,0))*kgtoGg</f>
        <v>0.73488515978847979</v>
      </c>
      <c r="AS59" s="22">
        <f>INDEX('Activity data'!AS$24:AS$39,MATCH(Emissions!$D59,'Activity data'!$D$24:$D$39,0))*INDEX(EF!$H$84:$H$99,MATCH(Emissions!$D59,EF!$D$84:$D$99,0))*INDEX(EF!$H$100:$H$115,MATCH(Emissions!$D59,EF!$D$100:$D$115,0))*INDEX(EF!$H$116:$H$131,MATCH(Emissions!$D59,EF!$D$116:$D$131,0))*kgtoGg</f>
        <v>0.75055867561468514</v>
      </c>
      <c r="AT59" s="22">
        <f>INDEX('Activity data'!AT$24:AT$39,MATCH(Emissions!$D59,'Activity data'!$D$24:$D$39,0))*INDEX(EF!$H$84:$H$99,MATCH(Emissions!$D59,EF!$D$84:$D$99,0))*INDEX(EF!$H$100:$H$115,MATCH(Emissions!$D59,EF!$D$100:$D$115,0))*INDEX(EF!$H$116:$H$131,MATCH(Emissions!$D59,EF!$D$116:$D$131,0))*kgtoGg</f>
        <v>0.76623219144089083</v>
      </c>
      <c r="AU59" s="22">
        <f>INDEX('Activity data'!AU$24:AU$39,MATCH(Emissions!$D59,'Activity data'!$D$24:$D$39,0))*INDEX(EF!$H$84:$H$99,MATCH(Emissions!$D59,EF!$D$84:$D$99,0))*INDEX(EF!$H$100:$H$115,MATCH(Emissions!$D59,EF!$D$100:$D$115,0))*INDEX(EF!$H$116:$H$131,MATCH(Emissions!$D59,EF!$D$116:$D$131,0))*kgtoGg</f>
        <v>0.78190570726709629</v>
      </c>
      <c r="AV59" s="22">
        <f>INDEX('Activity data'!AV$24:AV$39,MATCH(Emissions!$D59,'Activity data'!$D$24:$D$39,0))*INDEX(EF!$H$84:$H$99,MATCH(Emissions!$D59,EF!$D$84:$D$99,0))*INDEX(EF!$H$100:$H$115,MATCH(Emissions!$D59,EF!$D$100:$D$115,0))*INDEX(EF!$H$116:$H$131,MATCH(Emissions!$D59,EF!$D$116:$D$131,0))*kgtoGg</f>
        <v>0.79757922309330198</v>
      </c>
      <c r="AW59" s="22">
        <f>INDEX('Activity data'!AW$24:AW$39,MATCH(Emissions!$D59,'Activity data'!$D$24:$D$39,0))*INDEX(EF!$H$84:$H$99,MATCH(Emissions!$D59,EF!$D$84:$D$99,0))*INDEX(EF!$H$100:$H$115,MATCH(Emissions!$D59,EF!$D$100:$D$115,0))*INDEX(EF!$H$116:$H$131,MATCH(Emissions!$D59,EF!$D$116:$D$131,0))*kgtoGg</f>
        <v>0.81325273891950733</v>
      </c>
      <c r="AX59" s="22">
        <f>INDEX('Activity data'!AX$24:AX$39,MATCH(Emissions!$D59,'Activity data'!$D$24:$D$39,0))*INDEX(EF!$H$84:$H$99,MATCH(Emissions!$D59,EF!$D$84:$D$99,0))*INDEX(EF!$H$100:$H$115,MATCH(Emissions!$D59,EF!$D$100:$D$115,0))*INDEX(EF!$H$116:$H$131,MATCH(Emissions!$D59,EF!$D$116:$D$131,0))*kgtoGg</f>
        <v>0.82892625474571302</v>
      </c>
      <c r="AY59" s="22">
        <f>INDEX('Activity data'!AY$24:AY$39,MATCH(Emissions!$D59,'Activity data'!$D$24:$D$39,0))*INDEX(EF!$H$84:$H$99,MATCH(Emissions!$D59,EF!$D$84:$D$99,0))*INDEX(EF!$H$100:$H$115,MATCH(Emissions!$D59,EF!$D$100:$D$115,0))*INDEX(EF!$H$116:$H$131,MATCH(Emissions!$D59,EF!$D$116:$D$131,0))*kgtoGg</f>
        <v>0.84459977057191826</v>
      </c>
      <c r="AZ59" s="22">
        <f>INDEX('Activity data'!AZ$24:AZ$39,MATCH(Emissions!$D59,'Activity data'!$D$24:$D$39,0))*INDEX(EF!$H$84:$H$99,MATCH(Emissions!$D59,EF!$D$84:$D$99,0))*INDEX(EF!$H$100:$H$115,MATCH(Emissions!$D59,EF!$D$100:$D$115,0))*INDEX(EF!$H$116:$H$131,MATCH(Emissions!$D59,EF!$D$116:$D$131,0))*kgtoGg</f>
        <v>0.86027328639812406</v>
      </c>
      <c r="BA59" s="22">
        <f>INDEX('Activity data'!BA$24:BA$39,MATCH(Emissions!$D59,'Activity data'!$D$24:$D$39,0))*INDEX(EF!$H$84:$H$99,MATCH(Emissions!$D59,EF!$D$84:$D$99,0))*INDEX(EF!$H$100:$H$115,MATCH(Emissions!$D59,EF!$D$100:$D$115,0))*INDEX(EF!$H$116:$H$131,MATCH(Emissions!$D59,EF!$D$116:$D$131,0))*kgtoGg</f>
        <v>0.87594680222432952</v>
      </c>
      <c r="BB59" s="22">
        <f>INDEX('Activity data'!BB$24:BB$39,MATCH(Emissions!$D59,'Activity data'!$D$24:$D$39,0))*INDEX(EF!$H$84:$H$99,MATCH(Emissions!$D59,EF!$D$84:$D$99,0))*INDEX(EF!$H$100:$H$115,MATCH(Emissions!$D59,EF!$D$100:$D$115,0))*INDEX(EF!$H$116:$H$131,MATCH(Emissions!$D59,EF!$D$116:$D$131,0))*kgtoGg</f>
        <v>0.89162031805053521</v>
      </c>
      <c r="BC59" s="22">
        <f>INDEX('Activity data'!BC$24:BC$39,MATCH(Emissions!$D59,'Activity data'!$D$24:$D$39,0))*INDEX(EF!$H$84:$H$99,MATCH(Emissions!$D59,EF!$D$84:$D$99,0))*INDEX(EF!$H$100:$H$115,MATCH(Emissions!$D59,EF!$D$100:$D$115,0))*INDEX(EF!$H$116:$H$131,MATCH(Emissions!$D59,EF!$D$116:$D$131,0))*kgtoGg</f>
        <v>0.90729383387674067</v>
      </c>
      <c r="BD59" s="22">
        <f>INDEX('Activity data'!BD$24:BD$39,MATCH(Emissions!$D59,'Activity data'!$D$24:$D$39,0))*INDEX(EF!$H$84:$H$99,MATCH(Emissions!$D59,EF!$D$84:$D$99,0))*INDEX(EF!$H$100:$H$115,MATCH(Emissions!$D59,EF!$D$100:$D$115,0))*INDEX(EF!$H$116:$H$131,MATCH(Emissions!$D59,EF!$D$116:$D$131,0))*kgtoGg</f>
        <v>0.92296734970294614</v>
      </c>
      <c r="BE59" s="22">
        <f>INDEX('Activity data'!BE$24:BE$39,MATCH(Emissions!$D59,'Activity data'!$D$24:$D$39,0))*INDEX(EF!$H$84:$H$99,MATCH(Emissions!$D59,EF!$D$84:$D$99,0))*INDEX(EF!$H$100:$H$115,MATCH(Emissions!$D59,EF!$D$100:$D$115,0))*INDEX(EF!$H$116:$H$131,MATCH(Emissions!$D59,EF!$D$116:$D$131,0))*kgtoGg</f>
        <v>0.93864086552915194</v>
      </c>
      <c r="BF59" s="22">
        <f>INDEX('Activity data'!BF$24:BF$39,MATCH(Emissions!$D59,'Activity data'!$D$24:$D$39,0))*INDEX(EF!$H$84:$H$99,MATCH(Emissions!$D59,EF!$D$84:$D$99,0))*INDEX(EF!$H$100:$H$115,MATCH(Emissions!$D59,EF!$D$100:$D$115,0))*INDEX(EF!$H$116:$H$131,MATCH(Emissions!$D59,EF!$D$116:$D$131,0))*kgtoGg</f>
        <v>0.95431438135535729</v>
      </c>
      <c r="BG59" s="22">
        <f>INDEX('Activity data'!BG$24:BG$39,MATCH(Emissions!$D59,'Activity data'!$D$24:$D$39,0))*INDEX(EF!$H$84:$H$99,MATCH(Emissions!$D59,EF!$D$84:$D$99,0))*INDEX(EF!$H$100:$H$115,MATCH(Emissions!$D59,EF!$D$100:$D$115,0))*INDEX(EF!$H$116:$H$131,MATCH(Emissions!$D59,EF!$D$116:$D$131,0))*kgtoGg</f>
        <v>0.96998789718156264</v>
      </c>
      <c r="BH59" s="22">
        <f>INDEX('Activity data'!BH$24:BH$39,MATCH(Emissions!$D59,'Activity data'!$D$24:$D$39,0))*INDEX(EF!$H$84:$H$99,MATCH(Emissions!$D59,EF!$D$84:$D$99,0))*INDEX(EF!$H$100:$H$115,MATCH(Emissions!$D59,EF!$D$100:$D$115,0))*INDEX(EF!$H$116:$H$131,MATCH(Emissions!$D59,EF!$D$116:$D$131,0))*kgtoGg</f>
        <v>0.98566141300776822</v>
      </c>
      <c r="BI59" s="22">
        <f>INDEX('Activity data'!BI$24:BI$39,MATCH(Emissions!$D59,'Activity data'!$D$24:$D$39,0))*INDEX(EF!$H$84:$H$99,MATCH(Emissions!$D59,EF!$D$84:$D$99,0))*INDEX(EF!$H$100:$H$115,MATCH(Emissions!$D59,EF!$D$100:$D$115,0))*INDEX(EF!$H$116:$H$131,MATCH(Emissions!$D59,EF!$D$116:$D$131,0))*kgtoGg</f>
        <v>1.0013349288339739</v>
      </c>
      <c r="BJ59" s="22">
        <f>INDEX('Activity data'!BJ$24:BJ$39,MATCH(Emissions!$D59,'Activity data'!$D$24:$D$39,0))*INDEX(EF!$H$84:$H$99,MATCH(Emissions!$D59,EF!$D$84:$D$99,0))*INDEX(EF!$H$100:$H$115,MATCH(Emissions!$D59,EF!$D$100:$D$115,0))*INDEX(EF!$H$116:$H$131,MATCH(Emissions!$D59,EF!$D$116:$D$131,0))*kgtoGg</f>
        <v>1.0170084446601795</v>
      </c>
      <c r="BK59" s="22">
        <f>INDEX('Activity data'!BK$24:BK$39,MATCH(Emissions!$D59,'Activity data'!$D$24:$D$39,0))*INDEX(EF!$H$84:$H$99,MATCH(Emissions!$D59,EF!$D$84:$D$99,0))*INDEX(EF!$H$100:$H$115,MATCH(Emissions!$D59,EF!$D$100:$D$115,0))*INDEX(EF!$H$116:$H$131,MATCH(Emissions!$D59,EF!$D$116:$D$131,0))*kgtoGg</f>
        <v>1.0326819604863848</v>
      </c>
      <c r="BL59" s="22">
        <f>INDEX('Activity data'!BL$24:BL$39,MATCH(Emissions!$D59,'Activity data'!$D$24:$D$39,0))*INDEX(EF!$H$84:$H$99,MATCH(Emissions!$D59,EF!$D$84:$D$99,0))*INDEX(EF!$H$100:$H$115,MATCH(Emissions!$D59,EF!$D$100:$D$115,0))*INDEX(EF!$H$116:$H$131,MATCH(Emissions!$D59,EF!$D$116:$D$131,0))*kgtoGg</f>
        <v>1.0483554763125904</v>
      </c>
      <c r="BM59" s="22">
        <f>INDEX('Activity data'!BM$24:BM$39,MATCH(Emissions!$D59,'Activity data'!$D$24:$D$39,0))*INDEX(EF!$H$84:$H$99,MATCH(Emissions!$D59,EF!$D$84:$D$99,0))*INDEX(EF!$H$100:$H$115,MATCH(Emissions!$D59,EF!$D$100:$D$115,0))*INDEX(EF!$H$116:$H$131,MATCH(Emissions!$D59,EF!$D$116:$D$131,0))*kgtoGg</f>
        <v>1.0640289921387955</v>
      </c>
      <c r="BN59" s="22">
        <f>INDEX('Activity data'!BN$24:BN$39,MATCH(Emissions!$D59,'Activity data'!$D$24:$D$39,0))*INDEX(EF!$H$84:$H$99,MATCH(Emissions!$D59,EF!$D$84:$D$99,0))*INDEX(EF!$H$100:$H$115,MATCH(Emissions!$D59,EF!$D$100:$D$115,0))*INDEX(EF!$H$116:$H$131,MATCH(Emissions!$D59,EF!$D$116:$D$131,0))*kgtoGg</f>
        <v>1.0797025079650009</v>
      </c>
      <c r="BO59" s="22">
        <f>INDEX('Activity data'!BO$24:BO$39,MATCH(Emissions!$D59,'Activity data'!$D$24:$D$39,0))*INDEX(EF!$H$84:$H$99,MATCH(Emissions!$D59,EF!$D$84:$D$99,0))*INDEX(EF!$H$100:$H$115,MATCH(Emissions!$D59,EF!$D$100:$D$115,0))*INDEX(EF!$H$116:$H$131,MATCH(Emissions!$D59,EF!$D$116:$D$131,0))*kgtoGg</f>
        <v>1.0953760237912065</v>
      </c>
      <c r="BP59" s="22">
        <f>INDEX('Activity data'!BP$24:BP$39,MATCH(Emissions!$D59,'Activity data'!$D$24:$D$39,0))*INDEX(EF!$H$84:$H$99,MATCH(Emissions!$D59,EF!$D$84:$D$99,0))*INDEX(EF!$H$100:$H$115,MATCH(Emissions!$D59,EF!$D$100:$D$115,0))*INDEX(EF!$H$116:$H$131,MATCH(Emissions!$D59,EF!$D$116:$D$131,0))*kgtoGg</f>
        <v>1.111049539617412</v>
      </c>
    </row>
    <row r="60" spans="1:68" x14ac:dyDescent="0.25">
      <c r="A60" t="str">
        <f t="shared" si="13"/>
        <v>3C Aggregated and non-CO2 emissions on land</v>
      </c>
      <c r="B60" t="str">
        <f>B59</f>
        <v>3C1 Biomass burning (CH4)</v>
      </c>
      <c r="C60" t="str">
        <f t="shared" ref="C60:C62" si="18">C59</f>
        <v>3C1b Biomass burning in Croplands</v>
      </c>
      <c r="D60" t="str">
        <f>EF!D90</f>
        <v>Perennial orchards</v>
      </c>
      <c r="E60" t="s">
        <v>647</v>
      </c>
      <c r="F60" t="str">
        <f>F59</f>
        <v>CH4</v>
      </c>
      <c r="G60" t="str">
        <f>G59</f>
        <v>Gg CH4</v>
      </c>
      <c r="H60" s="22">
        <f>INDEX('Activity data'!H$24:H$39,MATCH(Emissions!$D60,'Activity data'!$D$24:$D$39,0))*INDEX(EF!$H$84:$H$99,MATCH(Emissions!$D60,EF!$D$84:$D$99,0))*INDEX(EF!$H$100:$H$115,MATCH(Emissions!$D60,EF!$D$100:$D$115,0))*INDEX(EF!$H$116:$H$131,MATCH(Emissions!$D60,EF!$D$116:$D$131,0))*kgtoGg</f>
        <v>5.1372667453257928E-2</v>
      </c>
      <c r="I60" s="22">
        <f>INDEX('Activity data'!I$24:I$39,MATCH(Emissions!$D60,'Activity data'!$D$24:$D$39,0))*INDEX(EF!$H$84:$H$99,MATCH(Emissions!$D60,EF!$D$84:$D$99,0))*INDEX(EF!$H$100:$H$115,MATCH(Emissions!$D60,EF!$D$100:$D$115,0))*INDEX(EF!$H$116:$H$131,MATCH(Emissions!$D60,EF!$D$116:$D$131,0))*kgtoGg</f>
        <v>5.1372667453257928E-2</v>
      </c>
      <c r="J60" s="22">
        <f>INDEX('Activity data'!J$24:J$39,MATCH(Emissions!$D60,'Activity data'!$D$24:$D$39,0))*INDEX(EF!$H$84:$H$99,MATCH(Emissions!$D60,EF!$D$84:$D$99,0))*INDEX(EF!$H$100:$H$115,MATCH(Emissions!$D60,EF!$D$100:$D$115,0))*INDEX(EF!$H$116:$H$131,MATCH(Emissions!$D60,EF!$D$116:$D$131,0))*kgtoGg</f>
        <v>5.1372667453257928E-2</v>
      </c>
      <c r="K60" s="22">
        <f>INDEX('Activity data'!K$24:K$39,MATCH(Emissions!$D60,'Activity data'!$D$24:$D$39,0))*INDEX(EF!$H$84:$H$99,MATCH(Emissions!$D60,EF!$D$84:$D$99,0))*INDEX(EF!$H$100:$H$115,MATCH(Emissions!$D60,EF!$D$100:$D$115,0))*INDEX(EF!$H$116:$H$131,MATCH(Emissions!$D60,EF!$D$116:$D$131,0))*kgtoGg</f>
        <v>5.1372667453257928E-2</v>
      </c>
      <c r="L60" s="22">
        <f>INDEX('Activity data'!L$24:L$39,MATCH(Emissions!$D60,'Activity data'!$D$24:$D$39,0))*INDEX(EF!$H$84:$H$99,MATCH(Emissions!$D60,EF!$D$84:$D$99,0))*INDEX(EF!$H$100:$H$115,MATCH(Emissions!$D60,EF!$D$100:$D$115,0))*INDEX(EF!$H$116:$H$131,MATCH(Emissions!$D60,EF!$D$116:$D$131,0))*kgtoGg</f>
        <v>5.1372667453257928E-2</v>
      </c>
      <c r="M60" s="22">
        <f>INDEX('Activity data'!M$24:M$39,MATCH(Emissions!$D60,'Activity data'!$D$24:$D$39,0))*INDEX(EF!$H$84:$H$99,MATCH(Emissions!$D60,EF!$D$84:$D$99,0))*INDEX(EF!$H$100:$H$115,MATCH(Emissions!$D60,EF!$D$100:$D$115,0))*INDEX(EF!$H$116:$H$131,MATCH(Emissions!$D60,EF!$D$116:$D$131,0))*kgtoGg</f>
        <v>5.1372667453257928E-2</v>
      </c>
      <c r="N60" s="22">
        <f>INDEX('Activity data'!N$24:N$39,MATCH(Emissions!$D60,'Activity data'!$D$24:$D$39,0))*INDEX(EF!$H$84:$H$99,MATCH(Emissions!$D60,EF!$D$84:$D$99,0))*INDEX(EF!$H$100:$H$115,MATCH(Emissions!$D60,EF!$D$100:$D$115,0))*INDEX(EF!$H$116:$H$131,MATCH(Emissions!$D60,EF!$D$116:$D$131,0))*kgtoGg</f>
        <v>5.1372667453257928E-2</v>
      </c>
      <c r="O60" s="22">
        <f>INDEX('Activity data'!O$24:O$39,MATCH(Emissions!$D60,'Activity data'!$D$24:$D$39,0))*INDEX(EF!$H$84:$H$99,MATCH(Emissions!$D60,EF!$D$84:$D$99,0))*INDEX(EF!$H$100:$H$115,MATCH(Emissions!$D60,EF!$D$100:$D$115,0))*INDEX(EF!$H$116:$H$131,MATCH(Emissions!$D60,EF!$D$116:$D$131,0))*kgtoGg</f>
        <v>5.1372667453257928E-2</v>
      </c>
      <c r="P60" s="22">
        <f>INDEX('Activity data'!P$24:P$39,MATCH(Emissions!$D60,'Activity data'!$D$24:$D$39,0))*INDEX(EF!$H$84:$H$99,MATCH(Emissions!$D60,EF!$D$84:$D$99,0))*INDEX(EF!$H$100:$H$115,MATCH(Emissions!$D60,EF!$D$100:$D$115,0))*INDEX(EF!$H$116:$H$131,MATCH(Emissions!$D60,EF!$D$116:$D$131,0))*kgtoGg</f>
        <v>5.1372667453257928E-2</v>
      </c>
      <c r="Q60" s="22">
        <f>INDEX('Activity data'!Q$24:Q$39,MATCH(Emissions!$D60,'Activity data'!$D$24:$D$39,0))*INDEX(EF!$H$84:$H$99,MATCH(Emissions!$D60,EF!$D$84:$D$99,0))*INDEX(EF!$H$100:$H$115,MATCH(Emissions!$D60,EF!$D$100:$D$115,0))*INDEX(EF!$H$116:$H$131,MATCH(Emissions!$D60,EF!$D$116:$D$131,0))*kgtoGg</f>
        <v>5.1372667453257928E-2</v>
      </c>
      <c r="R60" s="22">
        <f>INDEX('Activity data'!R$24:R$39,MATCH(Emissions!$D60,'Activity data'!$D$24:$D$39,0))*INDEX(EF!$H$84:$H$99,MATCH(Emissions!$D60,EF!$D$84:$D$99,0))*INDEX(EF!$H$100:$H$115,MATCH(Emissions!$D60,EF!$D$100:$D$115,0))*INDEX(EF!$H$116:$H$131,MATCH(Emissions!$D60,EF!$D$116:$D$131,0))*kgtoGg</f>
        <v>3.9249066814882973E-2</v>
      </c>
      <c r="S60" s="22">
        <f>INDEX('Activity data'!S$24:S$39,MATCH(Emissions!$D60,'Activity data'!$D$24:$D$39,0))*INDEX(EF!$H$84:$H$99,MATCH(Emissions!$D60,EF!$D$84:$D$99,0))*INDEX(EF!$H$100:$H$115,MATCH(Emissions!$D60,EF!$D$100:$D$115,0))*INDEX(EF!$H$116:$H$131,MATCH(Emissions!$D60,EF!$D$116:$D$131,0))*kgtoGg</f>
        <v>7.5445428433052811E-2</v>
      </c>
      <c r="T60" s="22">
        <f>INDEX('Activity data'!T$24:T$39,MATCH(Emissions!$D60,'Activity data'!$D$24:$D$39,0))*INDEX(EF!$H$84:$H$99,MATCH(Emissions!$D60,EF!$D$84:$D$99,0))*INDEX(EF!$H$100:$H$115,MATCH(Emissions!$D60,EF!$D$100:$D$115,0))*INDEX(EF!$H$116:$H$131,MATCH(Emissions!$D60,EF!$D$116:$D$131,0))*kgtoGg</f>
        <v>5.494869354083616E-2</v>
      </c>
      <c r="U60" s="22">
        <f>INDEX('Activity data'!U$24:U$39,MATCH(Emissions!$D60,'Activity data'!$D$24:$D$39,0))*INDEX(EF!$H$84:$H$99,MATCH(Emissions!$D60,EF!$D$84:$D$99,0))*INDEX(EF!$H$100:$H$115,MATCH(Emissions!$D60,EF!$D$100:$D$115,0))*INDEX(EF!$H$116:$H$131,MATCH(Emissions!$D60,EF!$D$116:$D$131,0))*kgtoGg</f>
        <v>5.6256995767998919E-2</v>
      </c>
      <c r="V60" s="22">
        <f>INDEX('Activity data'!V$24:V$39,MATCH(Emissions!$D60,'Activity data'!$D$24:$D$39,0))*INDEX(EF!$H$84:$H$99,MATCH(Emissions!$D60,EF!$D$84:$D$99,0))*INDEX(EF!$H$100:$H$115,MATCH(Emissions!$D60,EF!$D$100:$D$115,0))*INDEX(EF!$H$116:$H$131,MATCH(Emissions!$D60,EF!$D$116:$D$131,0))*kgtoGg</f>
        <v>3.0963152709518785E-2</v>
      </c>
      <c r="W60" s="22">
        <f>INDEX('Activity data'!W$24:W$39,MATCH(Emissions!$D60,'Activity data'!$D$24:$D$39,0))*INDEX(EF!$H$84:$H$99,MATCH(Emissions!$D60,EF!$D$84:$D$99,0))*INDEX(EF!$H$100:$H$115,MATCH(Emissions!$D60,EF!$D$100:$D$115,0))*INDEX(EF!$H$116:$H$131,MATCH(Emissions!$D60,EF!$D$116:$D$131,0))*kgtoGg</f>
        <v>6.977611878201416E-2</v>
      </c>
      <c r="X60" s="22">
        <f>INDEX('Activity data'!X$24:X$39,MATCH(Emissions!$D60,'Activity data'!$D$24:$D$39,0))*INDEX(EF!$H$84:$H$99,MATCH(Emissions!$D60,EF!$D$84:$D$99,0))*INDEX(EF!$H$100:$H$115,MATCH(Emissions!$D60,EF!$D$100:$D$115,0))*INDEX(EF!$H$116:$H$131,MATCH(Emissions!$D60,EF!$D$116:$D$131,0))*kgtoGg</f>
        <v>4.8407182405022328E-2</v>
      </c>
      <c r="Y60" s="22">
        <f>INDEX('Activity data'!Y$24:Y$39,MATCH(Emissions!$D60,'Activity data'!$D$24:$D$39,0))*INDEX(EF!$H$84:$H$99,MATCH(Emissions!$D60,EF!$D$84:$D$99,0))*INDEX(EF!$H$100:$H$115,MATCH(Emissions!$D60,EF!$D$100:$D$115,0))*INDEX(EF!$H$116:$H$131,MATCH(Emissions!$D60,EF!$D$116:$D$131,0))*kgtoGg</f>
        <v>8.4167443280804582E-2</v>
      </c>
      <c r="Z60" s="22">
        <f>INDEX('Activity data'!Z$24:Z$39,MATCH(Emissions!$D60,'Activity data'!$D$24:$D$39,0))*INDEX(EF!$H$84:$H$99,MATCH(Emissions!$D60,EF!$D$84:$D$99,0))*INDEX(EF!$H$100:$H$115,MATCH(Emissions!$D60,EF!$D$100:$D$115,0))*INDEX(EF!$H$116:$H$131,MATCH(Emissions!$D60,EF!$D$116:$D$131,0))*kgtoGg</f>
        <v>0.10728078262734679</v>
      </c>
      <c r="AA60" s="22">
        <f>INDEX('Activity data'!AA$24:AA$39,MATCH(Emissions!$D60,'Activity data'!$D$24:$D$39,0))*INDEX(EF!$H$84:$H$99,MATCH(Emissions!$D60,EF!$D$84:$D$99,0))*INDEX(EF!$H$100:$H$115,MATCH(Emissions!$D60,EF!$D$100:$D$115,0))*INDEX(EF!$H$116:$H$131,MATCH(Emissions!$D60,EF!$D$116:$D$131,0))*kgtoGg</f>
        <v>4.5790577950696791E-2</v>
      </c>
      <c r="AB60" s="22">
        <f>INDEX('Activity data'!AB$24:AB$39,MATCH(Emissions!$D60,'Activity data'!$D$24:$D$39,0))*INDEX(EF!$H$84:$H$99,MATCH(Emissions!$D60,EF!$D$84:$D$99,0))*INDEX(EF!$H$100:$H$115,MATCH(Emissions!$D60,EF!$D$100:$D$115,0))*INDEX(EF!$H$116:$H$131,MATCH(Emissions!$D60,EF!$D$116:$D$131,0))*kgtoGg</f>
        <v>7.6968548999999997E-2</v>
      </c>
      <c r="AC60" s="22">
        <f>INDEX('Activity data'!AC$24:AC$39,MATCH(Emissions!$D60,'Activity data'!$D$24:$D$39,0))*INDEX(EF!$H$84:$H$99,MATCH(Emissions!$D60,EF!$D$84:$D$99,0))*INDEX(EF!$H$100:$H$115,MATCH(Emissions!$D60,EF!$D$100:$D$115,0))*INDEX(EF!$H$116:$H$131,MATCH(Emissions!$D60,EF!$D$116:$D$131,0))*kgtoGg</f>
        <v>5.8869908999999998E-2</v>
      </c>
      <c r="AD60" s="22">
        <f>INDEX('Activity data'!AD$24:AD$39,MATCH(Emissions!$D60,'Activity data'!$D$24:$D$39,0))*INDEX(EF!$H$84:$H$99,MATCH(Emissions!$D60,EF!$D$84:$D$99,0))*INDEX(EF!$H$100:$H$115,MATCH(Emissions!$D60,EF!$D$100:$D$115,0))*INDEX(EF!$H$116:$H$131,MATCH(Emissions!$D60,EF!$D$116:$D$131,0))*kgtoGg</f>
        <v>6.1007970305663753E-2</v>
      </c>
      <c r="AE60" s="22">
        <f>INDEX('Activity data'!AE$24:AE$39,MATCH(Emissions!$D60,'Activity data'!$D$24:$D$39,0))*INDEX(EF!$H$84:$H$99,MATCH(Emissions!$D60,EF!$D$84:$D$99,0))*INDEX(EF!$H$100:$H$115,MATCH(Emissions!$D60,EF!$D$100:$D$115,0))*INDEX(EF!$H$116:$H$131,MATCH(Emissions!$D60,EF!$D$116:$D$131,0))*kgtoGg</f>
        <v>6.1529004605947853E-2</v>
      </c>
      <c r="AF60" s="22">
        <f>INDEX('Activity data'!AF$24:AF$39,MATCH(Emissions!$D60,'Activity data'!$D$24:$D$39,0))*INDEX(EF!$H$84:$H$99,MATCH(Emissions!$D60,EF!$D$84:$D$99,0))*INDEX(EF!$H$100:$H$115,MATCH(Emissions!$D60,EF!$D$100:$D$115,0))*INDEX(EF!$H$116:$H$131,MATCH(Emissions!$D60,EF!$D$116:$D$131,0))*kgtoGg</f>
        <v>6.2050038906231952E-2</v>
      </c>
      <c r="AG60" s="22">
        <f>INDEX('Activity data'!AG$24:AG$39,MATCH(Emissions!$D60,'Activity data'!$D$24:$D$39,0))*INDEX(EF!$H$84:$H$99,MATCH(Emissions!$D60,EF!$D$84:$D$99,0))*INDEX(EF!$H$100:$H$115,MATCH(Emissions!$D60,EF!$D$100:$D$115,0))*INDEX(EF!$H$116:$H$131,MATCH(Emissions!$D60,EF!$D$116:$D$131,0))*kgtoGg</f>
        <v>6.2571073206516031E-2</v>
      </c>
      <c r="AH60" s="22">
        <f>INDEX('Activity data'!AH$24:AH$39,MATCH(Emissions!$D60,'Activity data'!$D$24:$D$39,0))*INDEX(EF!$H$84:$H$99,MATCH(Emissions!$D60,EF!$D$84:$D$99,0))*INDEX(EF!$H$100:$H$115,MATCH(Emissions!$D60,EF!$D$100:$D$115,0))*INDEX(EF!$H$116:$H$131,MATCH(Emissions!$D60,EF!$D$116:$D$131,0))*kgtoGg</f>
        <v>6.3092107506800124E-2</v>
      </c>
      <c r="AI60" s="22">
        <f>INDEX('Activity data'!AI$24:AI$39,MATCH(Emissions!$D60,'Activity data'!$D$24:$D$39,0))*INDEX(EF!$H$84:$H$99,MATCH(Emissions!$D60,EF!$D$84:$D$99,0))*INDEX(EF!$H$100:$H$115,MATCH(Emissions!$D60,EF!$D$100:$D$115,0))*INDEX(EF!$H$116:$H$131,MATCH(Emissions!$D60,EF!$D$116:$D$131,0))*kgtoGg</f>
        <v>6.3613141807084217E-2</v>
      </c>
      <c r="AJ60" s="22">
        <f>INDEX('Activity data'!AJ$24:AJ$39,MATCH(Emissions!$D60,'Activity data'!$D$24:$D$39,0))*INDEX(EF!$H$84:$H$99,MATCH(Emissions!$D60,EF!$D$84:$D$99,0))*INDEX(EF!$H$100:$H$115,MATCH(Emissions!$D60,EF!$D$100:$D$115,0))*INDEX(EF!$H$116:$H$131,MATCH(Emissions!$D60,EF!$D$116:$D$131,0))*kgtoGg</f>
        <v>6.413417610736831E-2</v>
      </c>
      <c r="AK60" s="22">
        <f>INDEX('Activity data'!AK$24:AK$39,MATCH(Emissions!$D60,'Activity data'!$D$24:$D$39,0))*INDEX(EF!$H$84:$H$99,MATCH(Emissions!$D60,EF!$D$84:$D$99,0))*INDEX(EF!$H$100:$H$115,MATCH(Emissions!$D60,EF!$D$100:$D$115,0))*INDEX(EF!$H$116:$H$131,MATCH(Emissions!$D60,EF!$D$116:$D$131,0))*kgtoGg</f>
        <v>6.4655210407652403E-2</v>
      </c>
      <c r="AL60" s="22">
        <f>INDEX('Activity data'!AL$24:AL$39,MATCH(Emissions!$D60,'Activity data'!$D$24:$D$39,0))*INDEX(EF!$H$84:$H$99,MATCH(Emissions!$D60,EF!$D$84:$D$99,0))*INDEX(EF!$H$100:$H$115,MATCH(Emissions!$D60,EF!$D$100:$D$115,0))*INDEX(EF!$H$116:$H$131,MATCH(Emissions!$D60,EF!$D$116:$D$131,0))*kgtoGg</f>
        <v>6.5176244707936495E-2</v>
      </c>
      <c r="AM60" s="22">
        <f>INDEX('Activity data'!AM$24:AM$39,MATCH(Emissions!$D60,'Activity data'!$D$24:$D$39,0))*INDEX(EF!$H$84:$H$99,MATCH(Emissions!$D60,EF!$D$84:$D$99,0))*INDEX(EF!$H$100:$H$115,MATCH(Emissions!$D60,EF!$D$100:$D$115,0))*INDEX(EF!$H$116:$H$131,MATCH(Emissions!$D60,EF!$D$116:$D$131,0))*kgtoGg</f>
        <v>6.5697279008220588E-2</v>
      </c>
      <c r="AN60" s="22">
        <f>INDEX('Activity data'!AN$24:AN$39,MATCH(Emissions!$D60,'Activity data'!$D$24:$D$39,0))*INDEX(EF!$H$84:$H$99,MATCH(Emissions!$D60,EF!$D$84:$D$99,0))*INDEX(EF!$H$100:$H$115,MATCH(Emissions!$D60,EF!$D$100:$D$115,0))*INDEX(EF!$H$116:$H$131,MATCH(Emissions!$D60,EF!$D$116:$D$131,0))*kgtoGg</f>
        <v>6.6218313308504667E-2</v>
      </c>
      <c r="AO60" s="22">
        <f>INDEX('Activity data'!AO$24:AO$39,MATCH(Emissions!$D60,'Activity data'!$D$24:$D$39,0))*INDEX(EF!$H$84:$H$99,MATCH(Emissions!$D60,EF!$D$84:$D$99,0))*INDEX(EF!$H$100:$H$115,MATCH(Emissions!$D60,EF!$D$100:$D$115,0))*INDEX(EF!$H$116:$H$131,MATCH(Emissions!$D60,EF!$D$116:$D$131,0))*kgtoGg</f>
        <v>6.673934760878876E-2</v>
      </c>
      <c r="AP60" s="22">
        <f>INDEX('Activity data'!AP$24:AP$39,MATCH(Emissions!$D60,'Activity data'!$D$24:$D$39,0))*INDEX(EF!$H$84:$H$99,MATCH(Emissions!$D60,EF!$D$84:$D$99,0))*INDEX(EF!$H$100:$H$115,MATCH(Emissions!$D60,EF!$D$100:$D$115,0))*INDEX(EF!$H$116:$H$131,MATCH(Emissions!$D60,EF!$D$116:$D$131,0))*kgtoGg</f>
        <v>6.7260381909072867E-2</v>
      </c>
      <c r="AQ60" s="22">
        <f>INDEX('Activity data'!AQ$24:AQ$39,MATCH(Emissions!$D60,'Activity data'!$D$24:$D$39,0))*INDEX(EF!$H$84:$H$99,MATCH(Emissions!$D60,EF!$D$84:$D$99,0))*INDEX(EF!$H$100:$H$115,MATCH(Emissions!$D60,EF!$D$100:$D$115,0))*INDEX(EF!$H$116:$H$131,MATCH(Emissions!$D60,EF!$D$116:$D$131,0))*kgtoGg</f>
        <v>6.7781416209356946E-2</v>
      </c>
      <c r="AR60" s="22">
        <f>INDEX('Activity data'!AR$24:AR$39,MATCH(Emissions!$D60,'Activity data'!$D$24:$D$39,0))*INDEX(EF!$H$84:$H$99,MATCH(Emissions!$D60,EF!$D$84:$D$99,0))*INDEX(EF!$H$100:$H$115,MATCH(Emissions!$D60,EF!$D$100:$D$115,0))*INDEX(EF!$H$116:$H$131,MATCH(Emissions!$D60,EF!$D$116:$D$131,0))*kgtoGg</f>
        <v>6.8302450509641038E-2</v>
      </c>
      <c r="AS60" s="22">
        <f>INDEX('Activity data'!AS$24:AS$39,MATCH(Emissions!$D60,'Activity data'!$D$24:$D$39,0))*INDEX(EF!$H$84:$H$99,MATCH(Emissions!$D60,EF!$D$84:$D$99,0))*INDEX(EF!$H$100:$H$115,MATCH(Emissions!$D60,EF!$D$100:$D$115,0))*INDEX(EF!$H$116:$H$131,MATCH(Emissions!$D60,EF!$D$116:$D$131,0))*kgtoGg</f>
        <v>6.8823484809925117E-2</v>
      </c>
      <c r="AT60" s="22">
        <f>INDEX('Activity data'!AT$24:AT$39,MATCH(Emissions!$D60,'Activity data'!$D$24:$D$39,0))*INDEX(EF!$H$84:$H$99,MATCH(Emissions!$D60,EF!$D$84:$D$99,0))*INDEX(EF!$H$100:$H$115,MATCH(Emissions!$D60,EF!$D$100:$D$115,0))*INDEX(EF!$H$116:$H$131,MATCH(Emissions!$D60,EF!$D$116:$D$131,0))*kgtoGg</f>
        <v>6.9344519110209224E-2</v>
      </c>
      <c r="AU60" s="22">
        <f>INDEX('Activity data'!AU$24:AU$39,MATCH(Emissions!$D60,'Activity data'!$D$24:$D$39,0))*INDEX(EF!$H$84:$H$99,MATCH(Emissions!$D60,EF!$D$84:$D$99,0))*INDEX(EF!$H$100:$H$115,MATCH(Emissions!$D60,EF!$D$100:$D$115,0))*INDEX(EF!$H$116:$H$131,MATCH(Emissions!$D60,EF!$D$116:$D$131,0))*kgtoGg</f>
        <v>6.9865553410493303E-2</v>
      </c>
      <c r="AV60" s="22">
        <f>INDEX('Activity data'!AV$24:AV$39,MATCH(Emissions!$D60,'Activity data'!$D$24:$D$39,0))*INDEX(EF!$H$84:$H$99,MATCH(Emissions!$D60,EF!$D$84:$D$99,0))*INDEX(EF!$H$100:$H$115,MATCH(Emissions!$D60,EF!$D$100:$D$115,0))*INDEX(EF!$H$116:$H$131,MATCH(Emissions!$D60,EF!$D$116:$D$131,0))*kgtoGg</f>
        <v>7.038658771077741E-2</v>
      </c>
      <c r="AW60" s="22">
        <f>INDEX('Activity data'!AW$24:AW$39,MATCH(Emissions!$D60,'Activity data'!$D$24:$D$39,0))*INDEX(EF!$H$84:$H$99,MATCH(Emissions!$D60,EF!$D$84:$D$99,0))*INDEX(EF!$H$100:$H$115,MATCH(Emissions!$D60,EF!$D$100:$D$115,0))*INDEX(EF!$H$116:$H$131,MATCH(Emissions!$D60,EF!$D$116:$D$131,0))*kgtoGg</f>
        <v>7.0907622011061489E-2</v>
      </c>
      <c r="AX60" s="22">
        <f>INDEX('Activity data'!AX$24:AX$39,MATCH(Emissions!$D60,'Activity data'!$D$24:$D$39,0))*INDEX(EF!$H$84:$H$99,MATCH(Emissions!$D60,EF!$D$84:$D$99,0))*INDEX(EF!$H$100:$H$115,MATCH(Emissions!$D60,EF!$D$100:$D$115,0))*INDEX(EF!$H$116:$H$131,MATCH(Emissions!$D60,EF!$D$116:$D$131,0))*kgtoGg</f>
        <v>7.1428656311345595E-2</v>
      </c>
      <c r="AY60" s="22">
        <f>INDEX('Activity data'!AY$24:AY$39,MATCH(Emissions!$D60,'Activity data'!$D$24:$D$39,0))*INDEX(EF!$H$84:$H$99,MATCH(Emissions!$D60,EF!$D$84:$D$99,0))*INDEX(EF!$H$100:$H$115,MATCH(Emissions!$D60,EF!$D$100:$D$115,0))*INDEX(EF!$H$116:$H$131,MATCH(Emissions!$D60,EF!$D$116:$D$131,0))*kgtoGg</f>
        <v>7.1949690611629674E-2</v>
      </c>
      <c r="AZ60" s="22">
        <f>INDEX('Activity data'!AZ$24:AZ$39,MATCH(Emissions!$D60,'Activity data'!$D$24:$D$39,0))*INDEX(EF!$H$84:$H$99,MATCH(Emissions!$D60,EF!$D$84:$D$99,0))*INDEX(EF!$H$100:$H$115,MATCH(Emissions!$D60,EF!$D$100:$D$115,0))*INDEX(EF!$H$116:$H$131,MATCH(Emissions!$D60,EF!$D$116:$D$131,0))*kgtoGg</f>
        <v>7.2470724911913767E-2</v>
      </c>
      <c r="BA60" s="22">
        <f>INDEX('Activity data'!BA$24:BA$39,MATCH(Emissions!$D60,'Activity data'!$D$24:$D$39,0))*INDEX(EF!$H$84:$H$99,MATCH(Emissions!$D60,EF!$D$84:$D$99,0))*INDEX(EF!$H$100:$H$115,MATCH(Emissions!$D60,EF!$D$100:$D$115,0))*INDEX(EF!$H$116:$H$131,MATCH(Emissions!$D60,EF!$D$116:$D$131,0))*kgtoGg</f>
        <v>7.2991759212197846E-2</v>
      </c>
      <c r="BB60" s="22">
        <f>INDEX('Activity data'!BB$24:BB$39,MATCH(Emissions!$D60,'Activity data'!$D$24:$D$39,0))*INDEX(EF!$H$84:$H$99,MATCH(Emissions!$D60,EF!$D$84:$D$99,0))*INDEX(EF!$H$100:$H$115,MATCH(Emissions!$D60,EF!$D$100:$D$115,0))*INDEX(EF!$H$116:$H$131,MATCH(Emissions!$D60,EF!$D$116:$D$131,0))*kgtoGg</f>
        <v>7.3512793512481966E-2</v>
      </c>
      <c r="BC60" s="22">
        <f>INDEX('Activity data'!BC$24:BC$39,MATCH(Emissions!$D60,'Activity data'!$D$24:$D$39,0))*INDEX(EF!$H$84:$H$99,MATCH(Emissions!$D60,EF!$D$84:$D$99,0))*INDEX(EF!$H$100:$H$115,MATCH(Emissions!$D60,EF!$D$100:$D$115,0))*INDEX(EF!$H$116:$H$131,MATCH(Emissions!$D60,EF!$D$116:$D$131,0))*kgtoGg</f>
        <v>7.4033827812766045E-2</v>
      </c>
      <c r="BD60" s="22">
        <f>INDEX('Activity data'!BD$24:BD$39,MATCH(Emissions!$D60,'Activity data'!$D$24:$D$39,0))*INDEX(EF!$H$84:$H$99,MATCH(Emissions!$D60,EF!$D$84:$D$99,0))*INDEX(EF!$H$100:$H$115,MATCH(Emissions!$D60,EF!$D$100:$D$115,0))*INDEX(EF!$H$116:$H$131,MATCH(Emissions!$D60,EF!$D$116:$D$131,0))*kgtoGg</f>
        <v>7.4554862113050138E-2</v>
      </c>
      <c r="BE60" s="22">
        <f>INDEX('Activity data'!BE$24:BE$39,MATCH(Emissions!$D60,'Activity data'!$D$24:$D$39,0))*INDEX(EF!$H$84:$H$99,MATCH(Emissions!$D60,EF!$D$84:$D$99,0))*INDEX(EF!$H$100:$H$115,MATCH(Emissions!$D60,EF!$D$100:$D$115,0))*INDEX(EF!$H$116:$H$131,MATCH(Emissions!$D60,EF!$D$116:$D$131,0))*kgtoGg</f>
        <v>7.5075896413334217E-2</v>
      </c>
      <c r="BF60" s="22">
        <f>INDEX('Activity data'!BF$24:BF$39,MATCH(Emissions!$D60,'Activity data'!$D$24:$D$39,0))*INDEX(EF!$H$84:$H$99,MATCH(Emissions!$D60,EF!$D$84:$D$99,0))*INDEX(EF!$H$100:$H$115,MATCH(Emissions!$D60,EF!$D$100:$D$115,0))*INDEX(EF!$H$116:$H$131,MATCH(Emissions!$D60,EF!$D$116:$D$131,0))*kgtoGg</f>
        <v>7.5596930713618296E-2</v>
      </c>
      <c r="BG60" s="22">
        <f>INDEX('Activity data'!BG$24:BG$39,MATCH(Emissions!$D60,'Activity data'!$D$24:$D$39,0))*INDEX(EF!$H$84:$H$99,MATCH(Emissions!$D60,EF!$D$84:$D$99,0))*INDEX(EF!$H$100:$H$115,MATCH(Emissions!$D60,EF!$D$100:$D$115,0))*INDEX(EF!$H$116:$H$131,MATCH(Emissions!$D60,EF!$D$116:$D$131,0))*kgtoGg</f>
        <v>7.6117965013902403E-2</v>
      </c>
      <c r="BH60" s="22">
        <f>INDEX('Activity data'!BH$24:BH$39,MATCH(Emissions!$D60,'Activity data'!$D$24:$D$39,0))*INDEX(EF!$H$84:$H$99,MATCH(Emissions!$D60,EF!$D$84:$D$99,0))*INDEX(EF!$H$100:$H$115,MATCH(Emissions!$D60,EF!$D$100:$D$115,0))*INDEX(EF!$H$116:$H$131,MATCH(Emissions!$D60,EF!$D$116:$D$131,0))*kgtoGg</f>
        <v>7.6638999314186496E-2</v>
      </c>
      <c r="BI60" s="22">
        <f>INDEX('Activity data'!BI$24:BI$39,MATCH(Emissions!$D60,'Activity data'!$D$24:$D$39,0))*INDEX(EF!$H$84:$H$99,MATCH(Emissions!$D60,EF!$D$84:$D$99,0))*INDEX(EF!$H$100:$H$115,MATCH(Emissions!$D60,EF!$D$100:$D$115,0))*INDEX(EF!$H$116:$H$131,MATCH(Emissions!$D60,EF!$D$116:$D$131,0))*kgtoGg</f>
        <v>7.7160033614470575E-2</v>
      </c>
      <c r="BJ60" s="22">
        <f>INDEX('Activity data'!BJ$24:BJ$39,MATCH(Emissions!$D60,'Activity data'!$D$24:$D$39,0))*INDEX(EF!$H$84:$H$99,MATCH(Emissions!$D60,EF!$D$84:$D$99,0))*INDEX(EF!$H$100:$H$115,MATCH(Emissions!$D60,EF!$D$100:$D$115,0))*INDEX(EF!$H$116:$H$131,MATCH(Emissions!$D60,EF!$D$116:$D$131,0))*kgtoGg</f>
        <v>7.7681067914754681E-2</v>
      </c>
      <c r="BK60" s="22">
        <f>INDEX('Activity data'!BK$24:BK$39,MATCH(Emissions!$D60,'Activity data'!$D$24:$D$39,0))*INDEX(EF!$H$84:$H$99,MATCH(Emissions!$D60,EF!$D$84:$D$99,0))*INDEX(EF!$H$100:$H$115,MATCH(Emissions!$D60,EF!$D$100:$D$115,0))*INDEX(EF!$H$116:$H$131,MATCH(Emissions!$D60,EF!$D$116:$D$131,0))*kgtoGg</f>
        <v>7.8202102215038774E-2</v>
      </c>
      <c r="BL60" s="22">
        <f>INDEX('Activity data'!BL$24:BL$39,MATCH(Emissions!$D60,'Activity data'!$D$24:$D$39,0))*INDEX(EF!$H$84:$H$99,MATCH(Emissions!$D60,EF!$D$84:$D$99,0))*INDEX(EF!$H$100:$H$115,MATCH(Emissions!$D60,EF!$D$100:$D$115,0))*INDEX(EF!$H$116:$H$131,MATCH(Emissions!$D60,EF!$D$116:$D$131,0))*kgtoGg</f>
        <v>7.8723136515322853E-2</v>
      </c>
      <c r="BM60" s="22">
        <f>INDEX('Activity data'!BM$24:BM$39,MATCH(Emissions!$D60,'Activity data'!$D$24:$D$39,0))*INDEX(EF!$H$84:$H$99,MATCH(Emissions!$D60,EF!$D$84:$D$99,0))*INDEX(EF!$H$100:$H$115,MATCH(Emissions!$D60,EF!$D$100:$D$115,0))*INDEX(EF!$H$116:$H$131,MATCH(Emissions!$D60,EF!$D$116:$D$131,0))*kgtoGg</f>
        <v>7.9244170815606946E-2</v>
      </c>
      <c r="BN60" s="22">
        <f>INDEX('Activity data'!BN$24:BN$39,MATCH(Emissions!$D60,'Activity data'!$D$24:$D$39,0))*INDEX(EF!$H$84:$H$99,MATCH(Emissions!$D60,EF!$D$84:$D$99,0))*INDEX(EF!$H$100:$H$115,MATCH(Emissions!$D60,EF!$D$100:$D$115,0))*INDEX(EF!$H$116:$H$131,MATCH(Emissions!$D60,EF!$D$116:$D$131,0))*kgtoGg</f>
        <v>7.9765205115891025E-2</v>
      </c>
      <c r="BO60" s="22">
        <f>INDEX('Activity data'!BO$24:BO$39,MATCH(Emissions!$D60,'Activity data'!$D$24:$D$39,0))*INDEX(EF!$H$84:$H$99,MATCH(Emissions!$D60,EF!$D$84:$D$99,0))*INDEX(EF!$H$100:$H$115,MATCH(Emissions!$D60,EF!$D$100:$D$115,0))*INDEX(EF!$H$116:$H$131,MATCH(Emissions!$D60,EF!$D$116:$D$131,0))*kgtoGg</f>
        <v>8.0286239416175145E-2</v>
      </c>
      <c r="BP60" s="22">
        <f>INDEX('Activity data'!BP$24:BP$39,MATCH(Emissions!$D60,'Activity data'!$D$24:$D$39,0))*INDEX(EF!$H$84:$H$99,MATCH(Emissions!$D60,EF!$D$84:$D$99,0))*INDEX(EF!$H$100:$H$115,MATCH(Emissions!$D60,EF!$D$100:$D$115,0))*INDEX(EF!$H$116:$H$131,MATCH(Emissions!$D60,EF!$D$116:$D$131,0))*kgtoGg</f>
        <v>8.0807273716459224E-2</v>
      </c>
    </row>
    <row r="61" spans="1:68" x14ac:dyDescent="0.25">
      <c r="A61" t="str">
        <f t="shared" ref="A61:A85" si="19">A60</f>
        <v>3C Aggregated and non-CO2 emissions on land</v>
      </c>
      <c r="B61" t="str">
        <f t="shared" ref="B61:B69" si="20">B60</f>
        <v>3C1 Biomass burning (CH4)</v>
      </c>
      <c r="C61" t="str">
        <f t="shared" si="18"/>
        <v>3C1b Biomass burning in Croplands</v>
      </c>
      <c r="D61" t="str">
        <f>EF!D91</f>
        <v>Perennial vineyards</v>
      </c>
      <c r="E61" t="s">
        <v>648</v>
      </c>
      <c r="F61" t="str">
        <f>F60</f>
        <v>CH4</v>
      </c>
      <c r="G61" t="str">
        <f>G60</f>
        <v>Gg CH4</v>
      </c>
      <c r="H61" s="22">
        <f>INDEX('Activity data'!H$24:H$39,MATCH(Emissions!$D61,'Activity data'!$D$24:$D$39,0))*INDEX(EF!$H$84:$H$99,MATCH(Emissions!$D61,EF!$D$84:$D$99,0))*INDEX(EF!$H$100:$H$115,MATCH(Emissions!$D61,EF!$D$100:$D$115,0))*INDEX(EF!$H$116:$H$131,MATCH(Emissions!$D61,EF!$D$116:$D$131,0))*kgtoGg</f>
        <v>1.2298040935329995E-2</v>
      </c>
      <c r="I61" s="22">
        <f>INDEX('Activity data'!I$24:I$39,MATCH(Emissions!$D61,'Activity data'!$D$24:$D$39,0))*INDEX(EF!$H$84:$H$99,MATCH(Emissions!$D61,EF!$D$84:$D$99,0))*INDEX(EF!$H$100:$H$115,MATCH(Emissions!$D61,EF!$D$100:$D$115,0))*INDEX(EF!$H$116:$H$131,MATCH(Emissions!$D61,EF!$D$116:$D$131,0))*kgtoGg</f>
        <v>1.2298040935329995E-2</v>
      </c>
      <c r="J61" s="22">
        <f>INDEX('Activity data'!J$24:J$39,MATCH(Emissions!$D61,'Activity data'!$D$24:$D$39,0))*INDEX(EF!$H$84:$H$99,MATCH(Emissions!$D61,EF!$D$84:$D$99,0))*INDEX(EF!$H$100:$H$115,MATCH(Emissions!$D61,EF!$D$100:$D$115,0))*INDEX(EF!$H$116:$H$131,MATCH(Emissions!$D61,EF!$D$116:$D$131,0))*kgtoGg</f>
        <v>1.2298040935329995E-2</v>
      </c>
      <c r="K61" s="22">
        <f>INDEX('Activity data'!K$24:K$39,MATCH(Emissions!$D61,'Activity data'!$D$24:$D$39,0))*INDEX(EF!$H$84:$H$99,MATCH(Emissions!$D61,EF!$D$84:$D$99,0))*INDEX(EF!$H$100:$H$115,MATCH(Emissions!$D61,EF!$D$100:$D$115,0))*INDEX(EF!$H$116:$H$131,MATCH(Emissions!$D61,EF!$D$116:$D$131,0))*kgtoGg</f>
        <v>1.2298040935329995E-2</v>
      </c>
      <c r="L61" s="22">
        <f>INDEX('Activity data'!L$24:L$39,MATCH(Emissions!$D61,'Activity data'!$D$24:$D$39,0))*INDEX(EF!$H$84:$H$99,MATCH(Emissions!$D61,EF!$D$84:$D$99,0))*INDEX(EF!$H$100:$H$115,MATCH(Emissions!$D61,EF!$D$100:$D$115,0))*INDEX(EF!$H$116:$H$131,MATCH(Emissions!$D61,EF!$D$116:$D$131,0))*kgtoGg</f>
        <v>1.2298040935329995E-2</v>
      </c>
      <c r="M61" s="22">
        <f>INDEX('Activity data'!M$24:M$39,MATCH(Emissions!$D61,'Activity data'!$D$24:$D$39,0))*INDEX(EF!$H$84:$H$99,MATCH(Emissions!$D61,EF!$D$84:$D$99,0))*INDEX(EF!$H$100:$H$115,MATCH(Emissions!$D61,EF!$D$100:$D$115,0))*INDEX(EF!$H$116:$H$131,MATCH(Emissions!$D61,EF!$D$116:$D$131,0))*kgtoGg</f>
        <v>1.2298040935329995E-2</v>
      </c>
      <c r="N61" s="22">
        <f>INDEX('Activity data'!N$24:N$39,MATCH(Emissions!$D61,'Activity data'!$D$24:$D$39,0))*INDEX(EF!$H$84:$H$99,MATCH(Emissions!$D61,EF!$D$84:$D$99,0))*INDEX(EF!$H$100:$H$115,MATCH(Emissions!$D61,EF!$D$100:$D$115,0))*INDEX(EF!$H$116:$H$131,MATCH(Emissions!$D61,EF!$D$116:$D$131,0))*kgtoGg</f>
        <v>1.2298040935329995E-2</v>
      </c>
      <c r="O61" s="22">
        <f>INDEX('Activity data'!O$24:O$39,MATCH(Emissions!$D61,'Activity data'!$D$24:$D$39,0))*INDEX(EF!$H$84:$H$99,MATCH(Emissions!$D61,EF!$D$84:$D$99,0))*INDEX(EF!$H$100:$H$115,MATCH(Emissions!$D61,EF!$D$100:$D$115,0))*INDEX(EF!$H$116:$H$131,MATCH(Emissions!$D61,EF!$D$116:$D$131,0))*kgtoGg</f>
        <v>1.2298040935329995E-2</v>
      </c>
      <c r="P61" s="22">
        <f>INDEX('Activity data'!P$24:P$39,MATCH(Emissions!$D61,'Activity data'!$D$24:$D$39,0))*INDEX(EF!$H$84:$H$99,MATCH(Emissions!$D61,EF!$D$84:$D$99,0))*INDEX(EF!$H$100:$H$115,MATCH(Emissions!$D61,EF!$D$100:$D$115,0))*INDEX(EF!$H$116:$H$131,MATCH(Emissions!$D61,EF!$D$116:$D$131,0))*kgtoGg</f>
        <v>1.2298040935329995E-2</v>
      </c>
      <c r="Q61" s="22">
        <f>INDEX('Activity data'!Q$24:Q$39,MATCH(Emissions!$D61,'Activity data'!$D$24:$D$39,0))*INDEX(EF!$H$84:$H$99,MATCH(Emissions!$D61,EF!$D$84:$D$99,0))*INDEX(EF!$H$100:$H$115,MATCH(Emissions!$D61,EF!$D$100:$D$115,0))*INDEX(EF!$H$116:$H$131,MATCH(Emissions!$D61,EF!$D$116:$D$131,0))*kgtoGg</f>
        <v>1.2298040935329995E-2</v>
      </c>
      <c r="R61" s="22">
        <f>INDEX('Activity data'!R$24:R$39,MATCH(Emissions!$D61,'Activity data'!$D$24:$D$39,0))*INDEX(EF!$H$84:$H$99,MATCH(Emissions!$D61,EF!$D$84:$D$99,0))*INDEX(EF!$H$100:$H$115,MATCH(Emissions!$D61,EF!$D$100:$D$115,0))*INDEX(EF!$H$116:$H$131,MATCH(Emissions!$D61,EF!$D$116:$D$131,0))*kgtoGg</f>
        <v>1.9188432665053896E-2</v>
      </c>
      <c r="S61" s="22">
        <f>INDEX('Activity data'!S$24:S$39,MATCH(Emissions!$D61,'Activity data'!$D$24:$D$39,0))*INDEX(EF!$H$84:$H$99,MATCH(Emissions!$D61,EF!$D$84:$D$99,0))*INDEX(EF!$H$100:$H$115,MATCH(Emissions!$D61,EF!$D$100:$D$115,0))*INDEX(EF!$H$116:$H$131,MATCH(Emissions!$D61,EF!$D$116:$D$131,0))*kgtoGg</f>
        <v>1.2646921529240067E-2</v>
      </c>
      <c r="T61" s="22">
        <f>INDEX('Activity data'!T$24:T$39,MATCH(Emissions!$D61,'Activity data'!$D$24:$D$39,0))*INDEX(EF!$H$84:$H$99,MATCH(Emissions!$D61,EF!$D$84:$D$99,0))*INDEX(EF!$H$100:$H$115,MATCH(Emissions!$D61,EF!$D$100:$D$115,0))*INDEX(EF!$H$116:$H$131,MATCH(Emissions!$D61,EF!$D$116:$D$131,0))*kgtoGg</f>
        <v>1.0030317074914535E-2</v>
      </c>
      <c r="U61" s="22">
        <f>INDEX('Activity data'!U$24:U$39,MATCH(Emissions!$D61,'Activity data'!$D$24:$D$39,0))*INDEX(EF!$H$84:$H$99,MATCH(Emissions!$D61,EF!$D$84:$D$99,0))*INDEX(EF!$H$100:$H$115,MATCH(Emissions!$D61,EF!$D$100:$D$115,0))*INDEX(EF!$H$116:$H$131,MATCH(Emissions!$D61,EF!$D$116:$D$131,0))*kgtoGg</f>
        <v>1.5699626725953191E-2</v>
      </c>
      <c r="V61" s="22">
        <f>INDEX('Activity data'!V$24:V$39,MATCH(Emissions!$D61,'Activity data'!$D$24:$D$39,0))*INDEX(EF!$H$84:$H$99,MATCH(Emissions!$D61,EF!$D$84:$D$99,0))*INDEX(EF!$H$100:$H$115,MATCH(Emissions!$D61,EF!$D$100:$D$115,0))*INDEX(EF!$H$116:$H$131,MATCH(Emissions!$D61,EF!$D$116:$D$131,0))*kgtoGg</f>
        <v>3.9249066814882978E-3</v>
      </c>
      <c r="W61" s="22">
        <f>INDEX('Activity data'!W$24:W$39,MATCH(Emissions!$D61,'Activity data'!$D$24:$D$39,0))*INDEX(EF!$H$84:$H$99,MATCH(Emissions!$D61,EF!$D$84:$D$99,0))*INDEX(EF!$H$100:$H$115,MATCH(Emissions!$D61,EF!$D$100:$D$115,0))*INDEX(EF!$H$116:$H$131,MATCH(Emissions!$D61,EF!$D$116:$D$131,0))*kgtoGg</f>
        <v>1.0902518559689715E-2</v>
      </c>
      <c r="X61" s="22">
        <f>INDEX('Activity data'!X$24:X$39,MATCH(Emissions!$D61,'Activity data'!$D$24:$D$39,0))*INDEX(EF!$H$84:$H$99,MATCH(Emissions!$D61,EF!$D$84:$D$99,0))*INDEX(EF!$H$100:$H$115,MATCH(Emissions!$D61,EF!$D$100:$D$115,0))*INDEX(EF!$H$116:$H$131,MATCH(Emissions!$D61,EF!$D$116:$D$131,0))*kgtoGg</f>
        <v>2.1805037119379429E-2</v>
      </c>
      <c r="Y61" s="22">
        <f>INDEX('Activity data'!Y$24:Y$39,MATCH(Emissions!$D61,'Activity data'!$D$24:$D$39,0))*INDEX(EF!$H$84:$H$99,MATCH(Emissions!$D61,EF!$D$84:$D$99,0))*INDEX(EF!$H$100:$H$115,MATCH(Emissions!$D61,EF!$D$100:$D$115,0))*INDEX(EF!$H$116:$H$131,MATCH(Emissions!$D61,EF!$D$116:$D$131,0))*kgtoGg</f>
        <v>1.0466417817302124E-2</v>
      </c>
      <c r="Z61" s="22">
        <f>INDEX('Activity data'!Z$24:Z$39,MATCH(Emissions!$D61,'Activity data'!$D$24:$D$39,0))*INDEX(EF!$H$84:$H$99,MATCH(Emissions!$D61,EF!$D$84:$D$99,0))*INDEX(EF!$H$100:$H$115,MATCH(Emissions!$D61,EF!$D$100:$D$115,0))*INDEX(EF!$H$116:$H$131,MATCH(Emissions!$D61,EF!$D$116:$D$131,0))*kgtoGg</f>
        <v>7.8498133629765956E-3</v>
      </c>
      <c r="AA61" s="22">
        <f>INDEX('Activity data'!AA$24:AA$39,MATCH(Emissions!$D61,'Activity data'!$D$24:$D$39,0))*INDEX(EF!$H$84:$H$99,MATCH(Emissions!$D61,EF!$D$84:$D$99,0))*INDEX(EF!$H$100:$H$115,MATCH(Emissions!$D61,EF!$D$100:$D$115,0))*INDEX(EF!$H$116:$H$131,MATCH(Emissions!$D61,EF!$D$116:$D$131,0))*kgtoGg</f>
        <v>1.1774720044464891E-2</v>
      </c>
      <c r="AB61" s="22">
        <f>INDEX('Activity data'!AB$24:AB$39,MATCH(Emissions!$D61,'Activity data'!$D$24:$D$39,0))*INDEX(EF!$H$84:$H$99,MATCH(Emissions!$D61,EF!$D$84:$D$99,0))*INDEX(EF!$H$100:$H$115,MATCH(Emissions!$D61,EF!$D$100:$D$115,0))*INDEX(EF!$H$116:$H$131,MATCH(Emissions!$D61,EF!$D$116:$D$131,0))*kgtoGg</f>
        <v>1.9544489999999998E-2</v>
      </c>
      <c r="AC61" s="22">
        <f>INDEX('Activity data'!AC$24:AC$39,MATCH(Emissions!$D61,'Activity data'!$D$24:$D$39,0))*INDEX(EF!$H$84:$H$99,MATCH(Emissions!$D61,EF!$D$84:$D$99,0))*INDEX(EF!$H$100:$H$115,MATCH(Emissions!$D61,EF!$D$100:$D$115,0))*INDEX(EF!$H$116:$H$131,MATCH(Emissions!$D61,EF!$D$116:$D$131,0))*kgtoGg</f>
        <v>5.1569217000000007E-2</v>
      </c>
      <c r="AD61" s="22">
        <f>INDEX('Activity data'!AD$24:AD$39,MATCH(Emissions!$D61,'Activity data'!$D$24:$D$39,0))*INDEX(EF!$H$84:$H$99,MATCH(Emissions!$D61,EF!$D$84:$D$99,0))*INDEX(EF!$H$100:$H$115,MATCH(Emissions!$D61,EF!$D$100:$D$115,0))*INDEX(EF!$H$116:$H$131,MATCH(Emissions!$D61,EF!$D$116:$D$131,0))*kgtoGg</f>
        <v>1.6859607769005278E-2</v>
      </c>
      <c r="AE61" s="22">
        <f>INDEX('Activity data'!AE$24:AE$39,MATCH(Emissions!$D61,'Activity data'!$D$24:$D$39,0))*INDEX(EF!$H$84:$H$99,MATCH(Emissions!$D61,EF!$D$84:$D$99,0))*INDEX(EF!$H$100:$H$115,MATCH(Emissions!$D61,EF!$D$100:$D$115,0))*INDEX(EF!$H$116:$H$131,MATCH(Emissions!$D61,EF!$D$116:$D$131,0))*kgtoGg</f>
        <v>1.6970620595071061E-2</v>
      </c>
      <c r="AF61" s="22">
        <f>INDEX('Activity data'!AF$24:AF$39,MATCH(Emissions!$D61,'Activity data'!$D$24:$D$39,0))*INDEX(EF!$H$84:$H$99,MATCH(Emissions!$D61,EF!$D$84:$D$99,0))*INDEX(EF!$H$100:$H$115,MATCH(Emissions!$D61,EF!$D$100:$D$115,0))*INDEX(EF!$H$116:$H$131,MATCH(Emissions!$D61,EF!$D$116:$D$131,0))*kgtoGg</f>
        <v>1.7081633421136833E-2</v>
      </c>
      <c r="AG61" s="22">
        <f>INDEX('Activity data'!AG$24:AG$39,MATCH(Emissions!$D61,'Activity data'!$D$24:$D$39,0))*INDEX(EF!$H$84:$H$99,MATCH(Emissions!$D61,EF!$D$84:$D$99,0))*INDEX(EF!$H$100:$H$115,MATCH(Emissions!$D61,EF!$D$100:$D$115,0))*INDEX(EF!$H$116:$H$131,MATCH(Emissions!$D61,EF!$D$116:$D$131,0))*kgtoGg</f>
        <v>1.7192646247202611E-2</v>
      </c>
      <c r="AH61" s="22">
        <f>INDEX('Activity data'!AH$24:AH$39,MATCH(Emissions!$D61,'Activity data'!$D$24:$D$39,0))*INDEX(EF!$H$84:$H$99,MATCH(Emissions!$D61,EF!$D$84:$D$99,0))*INDEX(EF!$H$100:$H$115,MATCH(Emissions!$D61,EF!$D$100:$D$115,0))*INDEX(EF!$H$116:$H$131,MATCH(Emissions!$D61,EF!$D$116:$D$131,0))*kgtoGg</f>
        <v>1.7303659073268383E-2</v>
      </c>
      <c r="AI61" s="22">
        <f>INDEX('Activity data'!AI$24:AI$39,MATCH(Emissions!$D61,'Activity data'!$D$24:$D$39,0))*INDEX(EF!$H$84:$H$99,MATCH(Emissions!$D61,EF!$D$84:$D$99,0))*INDEX(EF!$H$100:$H$115,MATCH(Emissions!$D61,EF!$D$100:$D$115,0))*INDEX(EF!$H$116:$H$131,MATCH(Emissions!$D61,EF!$D$116:$D$131,0))*kgtoGg</f>
        <v>1.7414671899334159E-2</v>
      </c>
      <c r="AJ61" s="22">
        <f>INDEX('Activity data'!AJ$24:AJ$39,MATCH(Emissions!$D61,'Activity data'!$D$24:$D$39,0))*INDEX(EF!$H$84:$H$99,MATCH(Emissions!$D61,EF!$D$84:$D$99,0))*INDEX(EF!$H$100:$H$115,MATCH(Emissions!$D61,EF!$D$100:$D$115,0))*INDEX(EF!$H$116:$H$131,MATCH(Emissions!$D61,EF!$D$116:$D$131,0))*kgtoGg</f>
        <v>1.7525684725399934E-2</v>
      </c>
      <c r="AK61" s="22">
        <f>INDEX('Activity data'!AK$24:AK$39,MATCH(Emissions!$D61,'Activity data'!$D$24:$D$39,0))*INDEX(EF!$H$84:$H$99,MATCH(Emissions!$D61,EF!$D$84:$D$99,0))*INDEX(EF!$H$100:$H$115,MATCH(Emissions!$D61,EF!$D$100:$D$115,0))*INDEX(EF!$H$116:$H$131,MATCH(Emissions!$D61,EF!$D$116:$D$131,0))*kgtoGg</f>
        <v>1.7636697551465713E-2</v>
      </c>
      <c r="AL61" s="22">
        <f>INDEX('Activity data'!AL$24:AL$39,MATCH(Emissions!$D61,'Activity data'!$D$24:$D$39,0))*INDEX(EF!$H$84:$H$99,MATCH(Emissions!$D61,EF!$D$84:$D$99,0))*INDEX(EF!$H$100:$H$115,MATCH(Emissions!$D61,EF!$D$100:$D$115,0))*INDEX(EF!$H$116:$H$131,MATCH(Emissions!$D61,EF!$D$116:$D$131,0))*kgtoGg</f>
        <v>1.7747710377531489E-2</v>
      </c>
      <c r="AM61" s="22">
        <f>INDEX('Activity data'!AM$24:AM$39,MATCH(Emissions!$D61,'Activity data'!$D$24:$D$39,0))*INDEX(EF!$H$84:$H$99,MATCH(Emissions!$D61,EF!$D$84:$D$99,0))*INDEX(EF!$H$100:$H$115,MATCH(Emissions!$D61,EF!$D$100:$D$115,0))*INDEX(EF!$H$116:$H$131,MATCH(Emissions!$D61,EF!$D$116:$D$131,0))*kgtoGg</f>
        <v>1.7858723203597264E-2</v>
      </c>
      <c r="AN61" s="22">
        <f>INDEX('Activity data'!AN$24:AN$39,MATCH(Emissions!$D61,'Activity data'!$D$24:$D$39,0))*INDEX(EF!$H$84:$H$99,MATCH(Emissions!$D61,EF!$D$84:$D$99,0))*INDEX(EF!$H$100:$H$115,MATCH(Emissions!$D61,EF!$D$100:$D$115,0))*INDEX(EF!$H$116:$H$131,MATCH(Emissions!$D61,EF!$D$116:$D$131,0))*kgtoGg</f>
        <v>1.7969736029663043E-2</v>
      </c>
      <c r="AO61" s="22">
        <f>INDEX('Activity data'!AO$24:AO$39,MATCH(Emissions!$D61,'Activity data'!$D$24:$D$39,0))*INDEX(EF!$H$84:$H$99,MATCH(Emissions!$D61,EF!$D$84:$D$99,0))*INDEX(EF!$H$100:$H$115,MATCH(Emissions!$D61,EF!$D$100:$D$115,0))*INDEX(EF!$H$116:$H$131,MATCH(Emissions!$D61,EF!$D$116:$D$131,0))*kgtoGg</f>
        <v>1.8080748855728818E-2</v>
      </c>
      <c r="AP61" s="22">
        <f>INDEX('Activity data'!AP$24:AP$39,MATCH(Emissions!$D61,'Activity data'!$D$24:$D$39,0))*INDEX(EF!$H$84:$H$99,MATCH(Emissions!$D61,EF!$D$84:$D$99,0))*INDEX(EF!$H$100:$H$115,MATCH(Emissions!$D61,EF!$D$100:$D$115,0))*INDEX(EF!$H$116:$H$131,MATCH(Emissions!$D61,EF!$D$116:$D$131,0))*kgtoGg</f>
        <v>1.8191761681794601E-2</v>
      </c>
      <c r="AQ61" s="22">
        <f>INDEX('Activity data'!AQ$24:AQ$39,MATCH(Emissions!$D61,'Activity data'!$D$24:$D$39,0))*INDEX(EF!$H$84:$H$99,MATCH(Emissions!$D61,EF!$D$84:$D$99,0))*INDEX(EF!$H$100:$H$115,MATCH(Emissions!$D61,EF!$D$100:$D$115,0))*INDEX(EF!$H$116:$H$131,MATCH(Emissions!$D61,EF!$D$116:$D$131,0))*kgtoGg</f>
        <v>1.8302774507860373E-2</v>
      </c>
      <c r="AR61" s="22">
        <f>INDEX('Activity data'!AR$24:AR$39,MATCH(Emissions!$D61,'Activity data'!$D$24:$D$39,0))*INDEX(EF!$H$84:$H$99,MATCH(Emissions!$D61,EF!$D$84:$D$99,0))*INDEX(EF!$H$100:$H$115,MATCH(Emissions!$D61,EF!$D$100:$D$115,0))*INDEX(EF!$H$116:$H$131,MATCH(Emissions!$D61,EF!$D$116:$D$131,0))*kgtoGg</f>
        <v>1.8413787333926148E-2</v>
      </c>
      <c r="AS61" s="22">
        <f>INDEX('Activity data'!AS$24:AS$39,MATCH(Emissions!$D61,'Activity data'!$D$24:$D$39,0))*INDEX(EF!$H$84:$H$99,MATCH(Emissions!$D61,EF!$D$84:$D$99,0))*INDEX(EF!$H$100:$H$115,MATCH(Emissions!$D61,EF!$D$100:$D$115,0))*INDEX(EF!$H$116:$H$131,MATCH(Emissions!$D61,EF!$D$116:$D$131,0))*kgtoGg</f>
        <v>1.852480015999192E-2</v>
      </c>
      <c r="AT61" s="22">
        <f>INDEX('Activity data'!AT$24:AT$39,MATCH(Emissions!$D61,'Activity data'!$D$24:$D$39,0))*INDEX(EF!$H$84:$H$99,MATCH(Emissions!$D61,EF!$D$84:$D$99,0))*INDEX(EF!$H$100:$H$115,MATCH(Emissions!$D61,EF!$D$100:$D$115,0))*INDEX(EF!$H$116:$H$131,MATCH(Emissions!$D61,EF!$D$116:$D$131,0))*kgtoGg</f>
        <v>1.8635812986057699E-2</v>
      </c>
      <c r="AU61" s="22">
        <f>INDEX('Activity data'!AU$24:AU$39,MATCH(Emissions!$D61,'Activity data'!$D$24:$D$39,0))*INDEX(EF!$H$84:$H$99,MATCH(Emissions!$D61,EF!$D$84:$D$99,0))*INDEX(EF!$H$100:$H$115,MATCH(Emissions!$D61,EF!$D$100:$D$115,0))*INDEX(EF!$H$116:$H$131,MATCH(Emissions!$D61,EF!$D$116:$D$131,0))*kgtoGg</f>
        <v>1.8746825812123474E-2</v>
      </c>
      <c r="AV61" s="22">
        <f>INDEX('Activity data'!AV$24:AV$39,MATCH(Emissions!$D61,'Activity data'!$D$24:$D$39,0))*INDEX(EF!$H$84:$H$99,MATCH(Emissions!$D61,EF!$D$84:$D$99,0))*INDEX(EF!$H$100:$H$115,MATCH(Emissions!$D61,EF!$D$100:$D$115,0))*INDEX(EF!$H$116:$H$131,MATCH(Emissions!$D61,EF!$D$116:$D$131,0))*kgtoGg</f>
        <v>1.8857838638189253E-2</v>
      </c>
      <c r="AW61" s="22">
        <f>INDEX('Activity data'!AW$24:AW$39,MATCH(Emissions!$D61,'Activity data'!$D$24:$D$39,0))*INDEX(EF!$H$84:$H$99,MATCH(Emissions!$D61,EF!$D$84:$D$99,0))*INDEX(EF!$H$100:$H$115,MATCH(Emissions!$D61,EF!$D$100:$D$115,0))*INDEX(EF!$H$116:$H$131,MATCH(Emissions!$D61,EF!$D$116:$D$131,0))*kgtoGg</f>
        <v>1.8968851464255032E-2</v>
      </c>
      <c r="AX61" s="22">
        <f>INDEX('Activity data'!AX$24:AX$39,MATCH(Emissions!$D61,'Activity data'!$D$24:$D$39,0))*INDEX(EF!$H$84:$H$99,MATCH(Emissions!$D61,EF!$D$84:$D$99,0))*INDEX(EF!$H$100:$H$115,MATCH(Emissions!$D61,EF!$D$100:$D$115,0))*INDEX(EF!$H$116:$H$131,MATCH(Emissions!$D61,EF!$D$116:$D$131,0))*kgtoGg</f>
        <v>1.9079864290320804E-2</v>
      </c>
      <c r="AY61" s="22">
        <f>INDEX('Activity data'!AY$24:AY$39,MATCH(Emissions!$D61,'Activity data'!$D$24:$D$39,0))*INDEX(EF!$H$84:$H$99,MATCH(Emissions!$D61,EF!$D$84:$D$99,0))*INDEX(EF!$H$100:$H$115,MATCH(Emissions!$D61,EF!$D$100:$D$115,0))*INDEX(EF!$H$116:$H$131,MATCH(Emissions!$D61,EF!$D$116:$D$131,0))*kgtoGg</f>
        <v>1.9190877116386583E-2</v>
      </c>
      <c r="AZ61" s="22">
        <f>INDEX('Activity data'!AZ$24:AZ$39,MATCH(Emissions!$D61,'Activity data'!$D$24:$D$39,0))*INDEX(EF!$H$84:$H$99,MATCH(Emissions!$D61,EF!$D$84:$D$99,0))*INDEX(EF!$H$100:$H$115,MATCH(Emissions!$D61,EF!$D$100:$D$115,0))*INDEX(EF!$H$116:$H$131,MATCH(Emissions!$D61,EF!$D$116:$D$131,0))*kgtoGg</f>
        <v>1.9301889942452358E-2</v>
      </c>
      <c r="BA61" s="22">
        <f>INDEX('Activity data'!BA$24:BA$39,MATCH(Emissions!$D61,'Activity data'!$D$24:$D$39,0))*INDEX(EF!$H$84:$H$99,MATCH(Emissions!$D61,EF!$D$84:$D$99,0))*INDEX(EF!$H$100:$H$115,MATCH(Emissions!$D61,EF!$D$100:$D$115,0))*INDEX(EF!$H$116:$H$131,MATCH(Emissions!$D61,EF!$D$116:$D$131,0))*kgtoGg</f>
        <v>1.9412902768518137E-2</v>
      </c>
      <c r="BB61" s="22">
        <f>INDEX('Activity data'!BB$24:BB$39,MATCH(Emissions!$D61,'Activity data'!$D$24:$D$39,0))*INDEX(EF!$H$84:$H$99,MATCH(Emissions!$D61,EF!$D$84:$D$99,0))*INDEX(EF!$H$100:$H$115,MATCH(Emissions!$D61,EF!$D$100:$D$115,0))*INDEX(EF!$H$116:$H$131,MATCH(Emissions!$D61,EF!$D$116:$D$131,0))*kgtoGg</f>
        <v>1.9523915594583916E-2</v>
      </c>
      <c r="BC61" s="22">
        <f>INDEX('Activity data'!BC$24:BC$39,MATCH(Emissions!$D61,'Activity data'!$D$24:$D$39,0))*INDEX(EF!$H$84:$H$99,MATCH(Emissions!$D61,EF!$D$84:$D$99,0))*INDEX(EF!$H$100:$H$115,MATCH(Emissions!$D61,EF!$D$100:$D$115,0))*INDEX(EF!$H$116:$H$131,MATCH(Emissions!$D61,EF!$D$116:$D$131,0))*kgtoGg</f>
        <v>1.9634928420649695E-2</v>
      </c>
      <c r="BD61" s="22">
        <f>INDEX('Activity data'!BD$24:BD$39,MATCH(Emissions!$D61,'Activity data'!$D$24:$D$39,0))*INDEX(EF!$H$84:$H$99,MATCH(Emissions!$D61,EF!$D$84:$D$99,0))*INDEX(EF!$H$100:$H$115,MATCH(Emissions!$D61,EF!$D$100:$D$115,0))*INDEX(EF!$H$116:$H$131,MATCH(Emissions!$D61,EF!$D$116:$D$131,0))*kgtoGg</f>
        <v>1.9745941246715467E-2</v>
      </c>
      <c r="BE61" s="22">
        <f>INDEX('Activity data'!BE$24:BE$39,MATCH(Emissions!$D61,'Activity data'!$D$24:$D$39,0))*INDEX(EF!$H$84:$H$99,MATCH(Emissions!$D61,EF!$D$84:$D$99,0))*INDEX(EF!$H$100:$H$115,MATCH(Emissions!$D61,EF!$D$100:$D$115,0))*INDEX(EF!$H$116:$H$131,MATCH(Emissions!$D61,EF!$D$116:$D$131,0))*kgtoGg</f>
        <v>1.9856954072781246E-2</v>
      </c>
      <c r="BF61" s="22">
        <f>INDEX('Activity data'!BF$24:BF$39,MATCH(Emissions!$D61,'Activity data'!$D$24:$D$39,0))*INDEX(EF!$H$84:$H$99,MATCH(Emissions!$D61,EF!$D$84:$D$99,0))*INDEX(EF!$H$100:$H$115,MATCH(Emissions!$D61,EF!$D$100:$D$115,0))*INDEX(EF!$H$116:$H$131,MATCH(Emissions!$D61,EF!$D$116:$D$131,0))*kgtoGg</f>
        <v>1.9967966898847021E-2</v>
      </c>
      <c r="BG61" s="22">
        <f>INDEX('Activity data'!BG$24:BG$39,MATCH(Emissions!$D61,'Activity data'!$D$24:$D$39,0))*INDEX(EF!$H$84:$H$99,MATCH(Emissions!$D61,EF!$D$84:$D$99,0))*INDEX(EF!$H$100:$H$115,MATCH(Emissions!$D61,EF!$D$100:$D$115,0))*INDEX(EF!$H$116:$H$131,MATCH(Emissions!$D61,EF!$D$116:$D$131,0))*kgtoGg</f>
        <v>2.0078979724912797E-2</v>
      </c>
      <c r="BH61" s="22">
        <f>INDEX('Activity data'!BH$24:BH$39,MATCH(Emissions!$D61,'Activity data'!$D$24:$D$39,0))*INDEX(EF!$H$84:$H$99,MATCH(Emissions!$D61,EF!$D$84:$D$99,0))*INDEX(EF!$H$100:$H$115,MATCH(Emissions!$D61,EF!$D$100:$D$115,0))*INDEX(EF!$H$116:$H$131,MATCH(Emissions!$D61,EF!$D$116:$D$131,0))*kgtoGg</f>
        <v>2.0189992550978576E-2</v>
      </c>
      <c r="BI61" s="22">
        <f>INDEX('Activity data'!BI$24:BI$39,MATCH(Emissions!$D61,'Activity data'!$D$24:$D$39,0))*INDEX(EF!$H$84:$H$99,MATCH(Emissions!$D61,EF!$D$84:$D$99,0))*INDEX(EF!$H$100:$H$115,MATCH(Emissions!$D61,EF!$D$100:$D$115,0))*INDEX(EF!$H$116:$H$131,MATCH(Emissions!$D61,EF!$D$116:$D$131,0))*kgtoGg</f>
        <v>2.0301005377044351E-2</v>
      </c>
      <c r="BJ61" s="22">
        <f>INDEX('Activity data'!BJ$24:BJ$39,MATCH(Emissions!$D61,'Activity data'!$D$24:$D$39,0))*INDEX(EF!$H$84:$H$99,MATCH(Emissions!$D61,EF!$D$84:$D$99,0))*INDEX(EF!$H$100:$H$115,MATCH(Emissions!$D61,EF!$D$100:$D$115,0))*INDEX(EF!$H$116:$H$131,MATCH(Emissions!$D61,EF!$D$116:$D$131,0))*kgtoGg</f>
        <v>2.0412018203110126E-2</v>
      </c>
      <c r="BK61" s="22">
        <f>INDEX('Activity data'!BK$24:BK$39,MATCH(Emissions!$D61,'Activity data'!$D$24:$D$39,0))*INDEX(EF!$H$84:$H$99,MATCH(Emissions!$D61,EF!$D$84:$D$99,0))*INDEX(EF!$H$100:$H$115,MATCH(Emissions!$D61,EF!$D$100:$D$115,0))*INDEX(EF!$H$116:$H$131,MATCH(Emissions!$D61,EF!$D$116:$D$131,0))*kgtoGg</f>
        <v>2.0523031029175905E-2</v>
      </c>
      <c r="BL61" s="22">
        <f>INDEX('Activity data'!BL$24:BL$39,MATCH(Emissions!$D61,'Activity data'!$D$24:$D$39,0))*INDEX(EF!$H$84:$H$99,MATCH(Emissions!$D61,EF!$D$84:$D$99,0))*INDEX(EF!$H$100:$H$115,MATCH(Emissions!$D61,EF!$D$100:$D$115,0))*INDEX(EF!$H$116:$H$131,MATCH(Emissions!$D61,EF!$D$116:$D$131,0))*kgtoGg</f>
        <v>2.0634043855241681E-2</v>
      </c>
      <c r="BM61" s="22">
        <f>INDEX('Activity data'!BM$24:BM$39,MATCH(Emissions!$D61,'Activity data'!$D$24:$D$39,0))*INDEX(EF!$H$84:$H$99,MATCH(Emissions!$D61,EF!$D$84:$D$99,0))*INDEX(EF!$H$100:$H$115,MATCH(Emissions!$D61,EF!$D$100:$D$115,0))*INDEX(EF!$H$116:$H$131,MATCH(Emissions!$D61,EF!$D$116:$D$131,0))*kgtoGg</f>
        <v>2.074505668130746E-2</v>
      </c>
      <c r="BN61" s="22">
        <f>INDEX('Activity data'!BN$24:BN$39,MATCH(Emissions!$D61,'Activity data'!$D$24:$D$39,0))*INDEX(EF!$H$84:$H$99,MATCH(Emissions!$D61,EF!$D$84:$D$99,0))*INDEX(EF!$H$100:$H$115,MATCH(Emissions!$D61,EF!$D$100:$D$115,0))*INDEX(EF!$H$116:$H$131,MATCH(Emissions!$D61,EF!$D$116:$D$131,0))*kgtoGg</f>
        <v>2.0856069507373235E-2</v>
      </c>
      <c r="BO61" s="22">
        <f>INDEX('Activity data'!BO$24:BO$39,MATCH(Emissions!$D61,'Activity data'!$D$24:$D$39,0))*INDEX(EF!$H$84:$H$99,MATCH(Emissions!$D61,EF!$D$84:$D$99,0))*INDEX(EF!$H$100:$H$115,MATCH(Emissions!$D61,EF!$D$100:$D$115,0))*INDEX(EF!$H$116:$H$131,MATCH(Emissions!$D61,EF!$D$116:$D$131,0))*kgtoGg</f>
        <v>2.0967082333439007E-2</v>
      </c>
      <c r="BP61" s="22">
        <f>INDEX('Activity data'!BP$24:BP$39,MATCH(Emissions!$D61,'Activity data'!$D$24:$D$39,0))*INDEX(EF!$H$84:$H$99,MATCH(Emissions!$D61,EF!$D$84:$D$99,0))*INDEX(EF!$H$100:$H$115,MATCH(Emissions!$D61,EF!$D$100:$D$115,0))*INDEX(EF!$H$116:$H$131,MATCH(Emissions!$D61,EF!$D$116:$D$131,0))*kgtoGg</f>
        <v>2.1078095159504782E-2</v>
      </c>
    </row>
    <row r="62" spans="1:68" x14ac:dyDescent="0.25">
      <c r="A62" t="str">
        <f t="shared" si="19"/>
        <v>3C Aggregated and non-CO2 emissions on land</v>
      </c>
      <c r="B62" t="str">
        <f t="shared" si="20"/>
        <v>3C1 Biomass burning (CH4)</v>
      </c>
      <c r="C62" t="str">
        <f t="shared" si="18"/>
        <v>3C1b Biomass burning in Croplands</v>
      </c>
      <c r="D62" t="str">
        <f>EF!D92</f>
        <v>Cropland subsistence</v>
      </c>
      <c r="E62" t="s">
        <v>649</v>
      </c>
      <c r="F62" t="str">
        <f t="shared" ref="F62:F65" si="21">F61</f>
        <v>CH4</v>
      </c>
      <c r="G62" t="str">
        <f t="shared" ref="G62:G65" si="22">G61</f>
        <v>Gg CH4</v>
      </c>
      <c r="H62" s="22">
        <f>INDEX('Activity data'!H$24:H$39,MATCH(Emissions!$D62,'Activity data'!$D$24:$D$39,0))*INDEX(EF!$H$84:$H$99,MATCH(Emissions!$D62,EF!$D$84:$D$99,0))*INDEX(EF!$H$100:$H$115,MATCH(Emissions!$D62,EF!$D$100:$D$115,0))*INDEX(EF!$H$116:$H$131,MATCH(Emissions!$D62,EF!$D$116:$D$131,0))*kgtoGg</f>
        <v>2.2958959683736984</v>
      </c>
      <c r="I62" s="22">
        <f>INDEX('Activity data'!I$24:I$39,MATCH(Emissions!$D62,'Activity data'!$D$24:$D$39,0))*INDEX(EF!$H$84:$H$99,MATCH(Emissions!$D62,EF!$D$84:$D$99,0))*INDEX(EF!$H$100:$H$115,MATCH(Emissions!$D62,EF!$D$100:$D$115,0))*INDEX(EF!$H$116:$H$131,MATCH(Emissions!$D62,EF!$D$116:$D$131,0))*kgtoGg</f>
        <v>2.2958959683736984</v>
      </c>
      <c r="J62" s="22">
        <f>INDEX('Activity data'!J$24:J$39,MATCH(Emissions!$D62,'Activity data'!$D$24:$D$39,0))*INDEX(EF!$H$84:$H$99,MATCH(Emissions!$D62,EF!$D$84:$D$99,0))*INDEX(EF!$H$100:$H$115,MATCH(Emissions!$D62,EF!$D$100:$D$115,0))*INDEX(EF!$H$116:$H$131,MATCH(Emissions!$D62,EF!$D$116:$D$131,0))*kgtoGg</f>
        <v>2.2958959683736984</v>
      </c>
      <c r="K62" s="22">
        <f>INDEX('Activity data'!K$24:K$39,MATCH(Emissions!$D62,'Activity data'!$D$24:$D$39,0))*INDEX(EF!$H$84:$H$99,MATCH(Emissions!$D62,EF!$D$84:$D$99,0))*INDEX(EF!$H$100:$H$115,MATCH(Emissions!$D62,EF!$D$100:$D$115,0))*INDEX(EF!$H$116:$H$131,MATCH(Emissions!$D62,EF!$D$116:$D$131,0))*kgtoGg</f>
        <v>2.2958959683736984</v>
      </c>
      <c r="L62" s="22">
        <f>INDEX('Activity data'!L$24:L$39,MATCH(Emissions!$D62,'Activity data'!$D$24:$D$39,0))*INDEX(EF!$H$84:$H$99,MATCH(Emissions!$D62,EF!$D$84:$D$99,0))*INDEX(EF!$H$100:$H$115,MATCH(Emissions!$D62,EF!$D$100:$D$115,0))*INDEX(EF!$H$116:$H$131,MATCH(Emissions!$D62,EF!$D$116:$D$131,0))*kgtoGg</f>
        <v>2.2958959683736984</v>
      </c>
      <c r="M62" s="22">
        <f>INDEX('Activity data'!M$24:M$39,MATCH(Emissions!$D62,'Activity data'!$D$24:$D$39,0))*INDEX(EF!$H$84:$H$99,MATCH(Emissions!$D62,EF!$D$84:$D$99,0))*INDEX(EF!$H$100:$H$115,MATCH(Emissions!$D62,EF!$D$100:$D$115,0))*INDEX(EF!$H$116:$H$131,MATCH(Emissions!$D62,EF!$D$116:$D$131,0))*kgtoGg</f>
        <v>2.2958959683736984</v>
      </c>
      <c r="N62" s="22">
        <f>INDEX('Activity data'!N$24:N$39,MATCH(Emissions!$D62,'Activity data'!$D$24:$D$39,0))*INDEX(EF!$H$84:$H$99,MATCH(Emissions!$D62,EF!$D$84:$D$99,0))*INDEX(EF!$H$100:$H$115,MATCH(Emissions!$D62,EF!$D$100:$D$115,0))*INDEX(EF!$H$116:$H$131,MATCH(Emissions!$D62,EF!$D$116:$D$131,0))*kgtoGg</f>
        <v>2.2958959683736984</v>
      </c>
      <c r="O62" s="22">
        <f>INDEX('Activity data'!O$24:O$39,MATCH(Emissions!$D62,'Activity data'!$D$24:$D$39,0))*INDEX(EF!$H$84:$H$99,MATCH(Emissions!$D62,EF!$D$84:$D$99,0))*INDEX(EF!$H$100:$H$115,MATCH(Emissions!$D62,EF!$D$100:$D$115,0))*INDEX(EF!$H$116:$H$131,MATCH(Emissions!$D62,EF!$D$116:$D$131,0))*kgtoGg</f>
        <v>2.2958959683736984</v>
      </c>
      <c r="P62" s="22">
        <f>INDEX('Activity data'!P$24:P$39,MATCH(Emissions!$D62,'Activity data'!$D$24:$D$39,0))*INDEX(EF!$H$84:$H$99,MATCH(Emissions!$D62,EF!$D$84:$D$99,0))*INDEX(EF!$H$100:$H$115,MATCH(Emissions!$D62,EF!$D$100:$D$115,0))*INDEX(EF!$H$116:$H$131,MATCH(Emissions!$D62,EF!$D$116:$D$131,0))*kgtoGg</f>
        <v>2.2958959683736984</v>
      </c>
      <c r="Q62" s="22">
        <f>INDEX('Activity data'!Q$24:Q$39,MATCH(Emissions!$D62,'Activity data'!$D$24:$D$39,0))*INDEX(EF!$H$84:$H$99,MATCH(Emissions!$D62,EF!$D$84:$D$99,0))*INDEX(EF!$H$100:$H$115,MATCH(Emissions!$D62,EF!$D$100:$D$115,0))*INDEX(EF!$H$116:$H$131,MATCH(Emissions!$D62,EF!$D$116:$D$131,0))*kgtoGg</f>
        <v>2.2958959683736984</v>
      </c>
      <c r="R62" s="22">
        <f>INDEX('Activity data'!R$24:R$39,MATCH(Emissions!$D62,'Activity data'!$D$24:$D$39,0))*INDEX(EF!$H$84:$H$99,MATCH(Emissions!$D62,EF!$D$84:$D$99,0))*INDEX(EF!$H$100:$H$115,MATCH(Emissions!$D62,EF!$D$100:$D$115,0))*INDEX(EF!$H$116:$H$131,MATCH(Emissions!$D62,EF!$D$116:$D$131,0))*kgtoGg</f>
        <v>2.0976445708843015</v>
      </c>
      <c r="S62" s="22">
        <f>INDEX('Activity data'!S$24:S$39,MATCH(Emissions!$D62,'Activity data'!$D$24:$D$39,0))*INDEX(EF!$H$84:$H$99,MATCH(Emissions!$D62,EF!$D$84:$D$99,0))*INDEX(EF!$H$100:$H$115,MATCH(Emissions!$D62,EF!$D$100:$D$115,0))*INDEX(EF!$H$116:$H$131,MATCH(Emissions!$D62,EF!$D$116:$D$131,0))*kgtoGg</f>
        <v>3.1399253451906373</v>
      </c>
      <c r="T62" s="22">
        <f>INDEX('Activity data'!T$24:T$39,MATCH(Emissions!$D62,'Activity data'!$D$24:$D$39,0))*INDEX(EF!$H$84:$H$99,MATCH(Emissions!$D62,EF!$D$84:$D$99,0))*INDEX(EF!$H$100:$H$115,MATCH(Emissions!$D62,EF!$D$100:$D$115,0))*INDEX(EF!$H$116:$H$131,MATCH(Emissions!$D62,EF!$D$116:$D$131,0))*kgtoGg</f>
        <v>2.47225510859524</v>
      </c>
      <c r="U62" s="22">
        <f>INDEX('Activity data'!U$24:U$39,MATCH(Emissions!$D62,'Activity data'!$D$24:$D$39,0))*INDEX(EF!$H$84:$H$99,MATCH(Emissions!$D62,EF!$D$84:$D$99,0))*INDEX(EF!$H$100:$H$115,MATCH(Emissions!$D62,EF!$D$100:$D$115,0))*INDEX(EF!$H$116:$H$131,MATCH(Emissions!$D62,EF!$D$116:$D$131,0))*kgtoGg</f>
        <v>2.0972084701419136</v>
      </c>
      <c r="V62" s="22">
        <f>INDEX('Activity data'!V$24:V$39,MATCH(Emissions!$D62,'Activity data'!$D$24:$D$39,0))*INDEX(EF!$H$84:$H$99,MATCH(Emissions!$D62,EF!$D$84:$D$99,0))*INDEX(EF!$H$100:$H$115,MATCH(Emissions!$D62,EF!$D$100:$D$115,0))*INDEX(EF!$H$116:$H$131,MATCH(Emissions!$D62,EF!$D$116:$D$131,0))*kgtoGg</f>
        <v>1.6724463470564022</v>
      </c>
      <c r="W62" s="22">
        <f>INDEX('Activity data'!W$24:W$39,MATCH(Emissions!$D62,'Activity data'!$D$24:$D$39,0))*INDEX(EF!$H$84:$H$99,MATCH(Emissions!$D62,EF!$D$84:$D$99,0))*INDEX(EF!$H$100:$H$115,MATCH(Emissions!$D62,EF!$D$100:$D$115,0))*INDEX(EF!$H$116:$H$131,MATCH(Emissions!$D62,EF!$D$116:$D$131,0))*kgtoGg</f>
        <v>3.6253054714680237</v>
      </c>
      <c r="X62" s="22">
        <f>INDEX('Activity data'!X$24:X$39,MATCH(Emissions!$D62,'Activity data'!$D$24:$D$39,0))*INDEX(EF!$H$84:$H$99,MATCH(Emissions!$D62,EF!$D$84:$D$99,0))*INDEX(EF!$H$100:$H$115,MATCH(Emissions!$D62,EF!$D$100:$D$115,0))*INDEX(EF!$H$116:$H$131,MATCH(Emissions!$D62,EF!$D$116:$D$131,0))*kgtoGg</f>
        <v>2.840760235912752</v>
      </c>
      <c r="Y62" s="22">
        <f>INDEX('Activity data'!Y$24:Y$39,MATCH(Emissions!$D62,'Activity data'!$D$24:$D$39,0))*INDEX(EF!$H$84:$H$99,MATCH(Emissions!$D62,EF!$D$84:$D$99,0))*INDEX(EF!$H$100:$H$115,MATCH(Emissions!$D62,EF!$D$100:$D$115,0))*INDEX(EF!$H$116:$H$131,MATCH(Emissions!$D62,EF!$D$116:$D$131,0))*kgtoGg</f>
        <v>4.3989481884636055</v>
      </c>
      <c r="Z62" s="22">
        <f>INDEX('Activity data'!Z$24:Z$39,MATCH(Emissions!$D62,'Activity data'!$D$24:$D$39,0))*INDEX(EF!$H$84:$H$99,MATCH(Emissions!$D62,EF!$D$84:$D$99,0))*INDEX(EF!$H$100:$H$115,MATCH(Emissions!$D62,EF!$D$100:$D$115,0))*INDEX(EF!$H$116:$H$131,MATCH(Emissions!$D62,EF!$D$116:$D$131,0))*kgtoGg</f>
        <v>2.6466954055502754</v>
      </c>
      <c r="AA62" s="22">
        <f>INDEX('Activity data'!AA$24:AA$39,MATCH(Emissions!$D62,'Activity data'!$D$24:$D$39,0))*INDEX(EF!$H$84:$H$99,MATCH(Emissions!$D62,EF!$D$84:$D$99,0))*INDEX(EF!$H$100:$H$115,MATCH(Emissions!$D62,EF!$D$100:$D$115,0))*INDEX(EF!$H$116:$H$131,MATCH(Emissions!$D62,EF!$D$116:$D$131,0))*kgtoGg</f>
        <v>3.1307672296004982</v>
      </c>
      <c r="AB62" s="22">
        <f>INDEX('Activity data'!AB$24:AB$39,MATCH(Emissions!$D62,'Activity data'!$D$24:$D$39,0))*INDEX(EF!$H$84:$H$99,MATCH(Emissions!$D62,EF!$D$84:$D$99,0))*INDEX(EF!$H$100:$H$115,MATCH(Emissions!$D62,EF!$D$100:$D$115,0))*INDEX(EF!$H$116:$H$131,MATCH(Emissions!$D62,EF!$D$116:$D$131,0))*kgtoGg</f>
        <v>2.1033375300000001</v>
      </c>
      <c r="AC62" s="22">
        <f>INDEX('Activity data'!AC$24:AC$39,MATCH(Emissions!$D62,'Activity data'!$D$24:$D$39,0))*INDEX(EF!$H$84:$H$99,MATCH(Emissions!$D62,EF!$D$84:$D$99,0))*INDEX(EF!$H$100:$H$115,MATCH(Emissions!$D62,EF!$D$100:$D$115,0))*INDEX(EF!$H$116:$H$131,MATCH(Emissions!$D62,EF!$D$116:$D$131,0))*kgtoGg</f>
        <v>1.4277904830000001</v>
      </c>
      <c r="AD62" s="22">
        <f>INDEX('Activity data'!AD$24:AD$39,MATCH(Emissions!$D62,'Activity data'!$D$24:$D$39,0))*INDEX(EF!$H$84:$H$99,MATCH(Emissions!$D62,EF!$D$84:$D$99,0))*INDEX(EF!$H$100:$H$115,MATCH(Emissions!$D62,EF!$D$100:$D$115,0))*INDEX(EF!$H$116:$H$131,MATCH(Emissions!$D62,EF!$D$116:$D$131,0))*kgtoGg</f>
        <v>2.1063465196390041</v>
      </c>
      <c r="AE62" s="22">
        <f>INDEX('Activity data'!AE$24:AE$39,MATCH(Emissions!$D62,'Activity data'!$D$24:$D$39,0))*INDEX(EF!$H$84:$H$99,MATCH(Emissions!$D62,EF!$D$84:$D$99,0))*INDEX(EF!$H$100:$H$115,MATCH(Emissions!$D62,EF!$D$100:$D$115,0))*INDEX(EF!$H$116:$H$131,MATCH(Emissions!$D62,EF!$D$116:$D$131,0))*kgtoGg</f>
        <v>2.1066609711212716</v>
      </c>
      <c r="AF62" s="22">
        <f>INDEX('Activity data'!AF$24:AF$39,MATCH(Emissions!$D62,'Activity data'!$D$24:$D$39,0))*INDEX(EF!$H$84:$H$99,MATCH(Emissions!$D62,EF!$D$84:$D$99,0))*INDEX(EF!$H$100:$H$115,MATCH(Emissions!$D62,EF!$D$100:$D$115,0))*INDEX(EF!$H$116:$H$131,MATCH(Emissions!$D62,EF!$D$116:$D$131,0))*kgtoGg</f>
        <v>2.1069754226035395</v>
      </c>
      <c r="AG62" s="22">
        <f>INDEX('Activity data'!AG$24:AG$39,MATCH(Emissions!$D62,'Activity data'!$D$24:$D$39,0))*INDEX(EF!$H$84:$H$99,MATCH(Emissions!$D62,EF!$D$84:$D$99,0))*INDEX(EF!$H$100:$H$115,MATCH(Emissions!$D62,EF!$D$100:$D$115,0))*INDEX(EF!$H$116:$H$131,MATCH(Emissions!$D62,EF!$D$116:$D$131,0))*kgtoGg</f>
        <v>2.1072898740858075</v>
      </c>
      <c r="AH62" s="22">
        <f>INDEX('Activity data'!AH$24:AH$39,MATCH(Emissions!$D62,'Activity data'!$D$24:$D$39,0))*INDEX(EF!$H$84:$H$99,MATCH(Emissions!$D62,EF!$D$84:$D$99,0))*INDEX(EF!$H$100:$H$115,MATCH(Emissions!$D62,EF!$D$100:$D$115,0))*INDEX(EF!$H$116:$H$131,MATCH(Emissions!$D62,EF!$D$116:$D$131,0))*kgtoGg</f>
        <v>2.1076043255680759</v>
      </c>
      <c r="AI62" s="22">
        <f>INDEX('Activity data'!AI$24:AI$39,MATCH(Emissions!$D62,'Activity data'!$D$24:$D$39,0))*INDEX(EF!$H$84:$H$99,MATCH(Emissions!$D62,EF!$D$84:$D$99,0))*INDEX(EF!$H$100:$H$115,MATCH(Emissions!$D62,EF!$D$100:$D$115,0))*INDEX(EF!$H$116:$H$131,MATCH(Emissions!$D62,EF!$D$116:$D$131,0))*kgtoGg</f>
        <v>2.1079187770503438</v>
      </c>
      <c r="AJ62" s="22">
        <f>INDEX('Activity data'!AJ$24:AJ$39,MATCH(Emissions!$D62,'Activity data'!$D$24:$D$39,0))*INDEX(EF!$H$84:$H$99,MATCH(Emissions!$D62,EF!$D$84:$D$99,0))*INDEX(EF!$H$100:$H$115,MATCH(Emissions!$D62,EF!$D$100:$D$115,0))*INDEX(EF!$H$116:$H$131,MATCH(Emissions!$D62,EF!$D$116:$D$131,0))*kgtoGg</f>
        <v>2.1082332285326113</v>
      </c>
      <c r="AK62" s="22">
        <f>INDEX('Activity data'!AK$24:AK$39,MATCH(Emissions!$D62,'Activity data'!$D$24:$D$39,0))*INDEX(EF!$H$84:$H$99,MATCH(Emissions!$D62,EF!$D$84:$D$99,0))*INDEX(EF!$H$100:$H$115,MATCH(Emissions!$D62,EF!$D$100:$D$115,0))*INDEX(EF!$H$116:$H$131,MATCH(Emissions!$D62,EF!$D$116:$D$131,0))*kgtoGg</f>
        <v>2.1085476800148797</v>
      </c>
      <c r="AL62" s="22">
        <f>INDEX('Activity data'!AL$24:AL$39,MATCH(Emissions!$D62,'Activity data'!$D$24:$D$39,0))*INDEX(EF!$H$84:$H$99,MATCH(Emissions!$D62,EF!$D$84:$D$99,0))*INDEX(EF!$H$100:$H$115,MATCH(Emissions!$D62,EF!$D$100:$D$115,0))*INDEX(EF!$H$116:$H$131,MATCH(Emissions!$D62,EF!$D$116:$D$131,0))*kgtoGg</f>
        <v>2.1088621314971481</v>
      </c>
      <c r="AM62" s="22">
        <f>INDEX('Activity data'!AM$24:AM$39,MATCH(Emissions!$D62,'Activity data'!$D$24:$D$39,0))*INDEX(EF!$H$84:$H$99,MATCH(Emissions!$D62,EF!$D$84:$D$99,0))*INDEX(EF!$H$100:$H$115,MATCH(Emissions!$D62,EF!$D$100:$D$115,0))*INDEX(EF!$H$116:$H$131,MATCH(Emissions!$D62,EF!$D$116:$D$131,0))*kgtoGg</f>
        <v>2.109176582979416</v>
      </c>
      <c r="AN62" s="22">
        <f>INDEX('Activity data'!AN$24:AN$39,MATCH(Emissions!$D62,'Activity data'!$D$24:$D$39,0))*INDEX(EF!$H$84:$H$99,MATCH(Emissions!$D62,EF!$D$84:$D$99,0))*INDEX(EF!$H$100:$H$115,MATCH(Emissions!$D62,EF!$D$100:$D$115,0))*INDEX(EF!$H$116:$H$131,MATCH(Emissions!$D62,EF!$D$116:$D$131,0))*kgtoGg</f>
        <v>2.1094910344616835</v>
      </c>
      <c r="AO62" s="22">
        <f>INDEX('Activity data'!AO$24:AO$39,MATCH(Emissions!$D62,'Activity data'!$D$24:$D$39,0))*INDEX(EF!$H$84:$H$99,MATCH(Emissions!$D62,EF!$D$84:$D$99,0))*INDEX(EF!$H$100:$H$115,MATCH(Emissions!$D62,EF!$D$100:$D$115,0))*INDEX(EF!$H$116:$H$131,MATCH(Emissions!$D62,EF!$D$116:$D$131,0))*kgtoGg</f>
        <v>2.1098054859439519</v>
      </c>
      <c r="AP62" s="22">
        <f>INDEX('Activity data'!AP$24:AP$39,MATCH(Emissions!$D62,'Activity data'!$D$24:$D$39,0))*INDEX(EF!$H$84:$H$99,MATCH(Emissions!$D62,EF!$D$84:$D$99,0))*INDEX(EF!$H$100:$H$115,MATCH(Emissions!$D62,EF!$D$100:$D$115,0))*INDEX(EF!$H$116:$H$131,MATCH(Emissions!$D62,EF!$D$116:$D$131,0))*kgtoGg</f>
        <v>2.1101199374262194</v>
      </c>
      <c r="AQ62" s="22">
        <f>INDEX('Activity data'!AQ$24:AQ$39,MATCH(Emissions!$D62,'Activity data'!$D$24:$D$39,0))*INDEX(EF!$H$84:$H$99,MATCH(Emissions!$D62,EF!$D$84:$D$99,0))*INDEX(EF!$H$100:$H$115,MATCH(Emissions!$D62,EF!$D$100:$D$115,0))*INDEX(EF!$H$116:$H$131,MATCH(Emissions!$D62,EF!$D$116:$D$131,0))*kgtoGg</f>
        <v>2.1104343889084878</v>
      </c>
      <c r="AR62" s="22">
        <f>INDEX('Activity data'!AR$24:AR$39,MATCH(Emissions!$D62,'Activity data'!$D$24:$D$39,0))*INDEX(EF!$H$84:$H$99,MATCH(Emissions!$D62,EF!$D$84:$D$99,0))*INDEX(EF!$H$100:$H$115,MATCH(Emissions!$D62,EF!$D$100:$D$115,0))*INDEX(EF!$H$116:$H$131,MATCH(Emissions!$D62,EF!$D$116:$D$131,0))*kgtoGg</f>
        <v>2.1107488403907562</v>
      </c>
      <c r="AS62" s="22">
        <f>INDEX('Activity data'!AS$24:AS$39,MATCH(Emissions!$D62,'Activity data'!$D$24:$D$39,0))*INDEX(EF!$H$84:$H$99,MATCH(Emissions!$D62,EF!$D$84:$D$99,0))*INDEX(EF!$H$100:$H$115,MATCH(Emissions!$D62,EF!$D$100:$D$115,0))*INDEX(EF!$H$116:$H$131,MATCH(Emissions!$D62,EF!$D$116:$D$131,0))*kgtoGg</f>
        <v>2.1110632918730237</v>
      </c>
      <c r="AT62" s="22">
        <f>INDEX('Activity data'!AT$24:AT$39,MATCH(Emissions!$D62,'Activity data'!$D$24:$D$39,0))*INDEX(EF!$H$84:$H$99,MATCH(Emissions!$D62,EF!$D$84:$D$99,0))*INDEX(EF!$H$100:$H$115,MATCH(Emissions!$D62,EF!$D$100:$D$115,0))*INDEX(EF!$H$116:$H$131,MATCH(Emissions!$D62,EF!$D$116:$D$131,0))*kgtoGg</f>
        <v>2.111377743355292</v>
      </c>
      <c r="AU62" s="22">
        <f>INDEX('Activity data'!AU$24:AU$39,MATCH(Emissions!$D62,'Activity data'!$D$24:$D$39,0))*INDEX(EF!$H$84:$H$99,MATCH(Emissions!$D62,EF!$D$84:$D$99,0))*INDEX(EF!$H$100:$H$115,MATCH(Emissions!$D62,EF!$D$100:$D$115,0))*INDEX(EF!$H$116:$H$131,MATCH(Emissions!$D62,EF!$D$116:$D$131,0))*kgtoGg</f>
        <v>2.1116921948375604</v>
      </c>
      <c r="AV62" s="22">
        <f>INDEX('Activity data'!AV$24:AV$39,MATCH(Emissions!$D62,'Activity data'!$D$24:$D$39,0))*INDEX(EF!$H$84:$H$99,MATCH(Emissions!$D62,EF!$D$84:$D$99,0))*INDEX(EF!$H$100:$H$115,MATCH(Emissions!$D62,EF!$D$100:$D$115,0))*INDEX(EF!$H$116:$H$131,MATCH(Emissions!$D62,EF!$D$116:$D$131,0))*kgtoGg</f>
        <v>2.1120066463198279</v>
      </c>
      <c r="AW62" s="22">
        <f>INDEX('Activity data'!AW$24:AW$39,MATCH(Emissions!$D62,'Activity data'!$D$24:$D$39,0))*INDEX(EF!$H$84:$H$99,MATCH(Emissions!$D62,EF!$D$84:$D$99,0))*INDEX(EF!$H$100:$H$115,MATCH(Emissions!$D62,EF!$D$100:$D$115,0))*INDEX(EF!$H$116:$H$131,MATCH(Emissions!$D62,EF!$D$116:$D$131,0))*kgtoGg</f>
        <v>2.1123210978020959</v>
      </c>
      <c r="AX62" s="22">
        <f>INDEX('Activity data'!AX$24:AX$39,MATCH(Emissions!$D62,'Activity data'!$D$24:$D$39,0))*INDEX(EF!$H$84:$H$99,MATCH(Emissions!$D62,EF!$D$84:$D$99,0))*INDEX(EF!$H$100:$H$115,MATCH(Emissions!$D62,EF!$D$100:$D$115,0))*INDEX(EF!$H$116:$H$131,MATCH(Emissions!$D62,EF!$D$116:$D$131,0))*kgtoGg</f>
        <v>2.1126355492843643</v>
      </c>
      <c r="AY62" s="22">
        <f>INDEX('Activity data'!AY$24:AY$39,MATCH(Emissions!$D62,'Activity data'!$D$24:$D$39,0))*INDEX(EF!$H$84:$H$99,MATCH(Emissions!$D62,EF!$D$84:$D$99,0))*INDEX(EF!$H$100:$H$115,MATCH(Emissions!$D62,EF!$D$100:$D$115,0))*INDEX(EF!$H$116:$H$131,MATCH(Emissions!$D62,EF!$D$116:$D$131,0))*kgtoGg</f>
        <v>2.1129500007666326</v>
      </c>
      <c r="AZ62" s="22">
        <f>INDEX('Activity data'!AZ$24:AZ$39,MATCH(Emissions!$D62,'Activity data'!$D$24:$D$39,0))*INDEX(EF!$H$84:$H$99,MATCH(Emissions!$D62,EF!$D$84:$D$99,0))*INDEX(EF!$H$100:$H$115,MATCH(Emissions!$D62,EF!$D$100:$D$115,0))*INDEX(EF!$H$116:$H$131,MATCH(Emissions!$D62,EF!$D$116:$D$131,0))*kgtoGg</f>
        <v>2.1132644522489006</v>
      </c>
      <c r="BA62" s="22">
        <f>INDEX('Activity data'!BA$24:BA$39,MATCH(Emissions!$D62,'Activity data'!$D$24:$D$39,0))*INDEX(EF!$H$84:$H$99,MATCH(Emissions!$D62,EF!$D$84:$D$99,0))*INDEX(EF!$H$100:$H$115,MATCH(Emissions!$D62,EF!$D$100:$D$115,0))*INDEX(EF!$H$116:$H$131,MATCH(Emissions!$D62,EF!$D$116:$D$131,0))*kgtoGg</f>
        <v>2.1135789037311681</v>
      </c>
      <c r="BB62" s="22">
        <f>INDEX('Activity data'!BB$24:BB$39,MATCH(Emissions!$D62,'Activity data'!$D$24:$D$39,0))*INDEX(EF!$H$84:$H$99,MATCH(Emissions!$D62,EF!$D$84:$D$99,0))*INDEX(EF!$H$100:$H$115,MATCH(Emissions!$D62,EF!$D$100:$D$115,0))*INDEX(EF!$H$116:$H$131,MATCH(Emissions!$D62,EF!$D$116:$D$131,0))*kgtoGg</f>
        <v>2.113893355213436</v>
      </c>
      <c r="BC62" s="22">
        <f>INDEX('Activity data'!BC$24:BC$39,MATCH(Emissions!$D62,'Activity data'!$D$24:$D$39,0))*INDEX(EF!$H$84:$H$99,MATCH(Emissions!$D62,EF!$D$84:$D$99,0))*INDEX(EF!$H$100:$H$115,MATCH(Emissions!$D62,EF!$D$100:$D$115,0))*INDEX(EF!$H$116:$H$131,MATCH(Emissions!$D62,EF!$D$116:$D$131,0))*kgtoGg</f>
        <v>2.1142078066957044</v>
      </c>
      <c r="BD62" s="22">
        <f>INDEX('Activity data'!BD$24:BD$39,MATCH(Emissions!$D62,'Activity data'!$D$24:$D$39,0))*INDEX(EF!$H$84:$H$99,MATCH(Emissions!$D62,EF!$D$84:$D$99,0))*INDEX(EF!$H$100:$H$115,MATCH(Emissions!$D62,EF!$D$100:$D$115,0))*INDEX(EF!$H$116:$H$131,MATCH(Emissions!$D62,EF!$D$116:$D$131,0))*kgtoGg</f>
        <v>2.1145222581779723</v>
      </c>
      <c r="BE62" s="22">
        <f>INDEX('Activity data'!BE$24:BE$39,MATCH(Emissions!$D62,'Activity data'!$D$24:$D$39,0))*INDEX(EF!$H$84:$H$99,MATCH(Emissions!$D62,EF!$D$84:$D$99,0))*INDEX(EF!$H$100:$H$115,MATCH(Emissions!$D62,EF!$D$100:$D$115,0))*INDEX(EF!$H$116:$H$131,MATCH(Emissions!$D62,EF!$D$116:$D$131,0))*kgtoGg</f>
        <v>2.1148367096602407</v>
      </c>
      <c r="BF62" s="22">
        <f>INDEX('Activity data'!BF$24:BF$39,MATCH(Emissions!$D62,'Activity data'!$D$24:$D$39,0))*INDEX(EF!$H$84:$H$99,MATCH(Emissions!$D62,EF!$D$84:$D$99,0))*INDEX(EF!$H$100:$H$115,MATCH(Emissions!$D62,EF!$D$100:$D$115,0))*INDEX(EF!$H$116:$H$131,MATCH(Emissions!$D62,EF!$D$116:$D$131,0))*kgtoGg</f>
        <v>2.1151511611425082</v>
      </c>
      <c r="BG62" s="22">
        <f>INDEX('Activity data'!BG$24:BG$39,MATCH(Emissions!$D62,'Activity data'!$D$24:$D$39,0))*INDEX(EF!$H$84:$H$99,MATCH(Emissions!$D62,EF!$D$84:$D$99,0))*INDEX(EF!$H$100:$H$115,MATCH(Emissions!$D62,EF!$D$100:$D$115,0))*INDEX(EF!$H$116:$H$131,MATCH(Emissions!$D62,EF!$D$116:$D$131,0))*kgtoGg</f>
        <v>2.1154656126247766</v>
      </c>
      <c r="BH62" s="22">
        <f>INDEX('Activity data'!BH$24:BH$39,MATCH(Emissions!$D62,'Activity data'!$D$24:$D$39,0))*INDEX(EF!$H$84:$H$99,MATCH(Emissions!$D62,EF!$D$84:$D$99,0))*INDEX(EF!$H$100:$H$115,MATCH(Emissions!$D62,EF!$D$100:$D$115,0))*INDEX(EF!$H$116:$H$131,MATCH(Emissions!$D62,EF!$D$116:$D$131,0))*kgtoGg</f>
        <v>2.1157800641070446</v>
      </c>
      <c r="BI62" s="22">
        <f>INDEX('Activity data'!BI$24:BI$39,MATCH(Emissions!$D62,'Activity data'!$D$24:$D$39,0))*INDEX(EF!$H$84:$H$99,MATCH(Emissions!$D62,EF!$D$84:$D$99,0))*INDEX(EF!$H$100:$H$115,MATCH(Emissions!$D62,EF!$D$100:$D$115,0))*INDEX(EF!$H$116:$H$131,MATCH(Emissions!$D62,EF!$D$116:$D$131,0))*kgtoGg</f>
        <v>2.1160945155893125</v>
      </c>
      <c r="BJ62" s="22">
        <f>INDEX('Activity data'!BJ$24:BJ$39,MATCH(Emissions!$D62,'Activity data'!$D$24:$D$39,0))*INDEX(EF!$H$84:$H$99,MATCH(Emissions!$D62,EF!$D$84:$D$99,0))*INDEX(EF!$H$100:$H$115,MATCH(Emissions!$D62,EF!$D$100:$D$115,0))*INDEX(EF!$H$116:$H$131,MATCH(Emissions!$D62,EF!$D$116:$D$131,0))*kgtoGg</f>
        <v>2.11640896707158</v>
      </c>
      <c r="BK62" s="22">
        <f>INDEX('Activity data'!BK$24:BK$39,MATCH(Emissions!$D62,'Activity data'!$D$24:$D$39,0))*INDEX(EF!$H$84:$H$99,MATCH(Emissions!$D62,EF!$D$84:$D$99,0))*INDEX(EF!$H$100:$H$115,MATCH(Emissions!$D62,EF!$D$100:$D$115,0))*INDEX(EF!$H$116:$H$131,MATCH(Emissions!$D62,EF!$D$116:$D$131,0))*kgtoGg</f>
        <v>2.1167234185538484</v>
      </c>
      <c r="BL62" s="22">
        <f>INDEX('Activity data'!BL$24:BL$39,MATCH(Emissions!$D62,'Activity data'!$D$24:$D$39,0))*INDEX(EF!$H$84:$H$99,MATCH(Emissions!$D62,EF!$D$84:$D$99,0))*INDEX(EF!$H$100:$H$115,MATCH(Emissions!$D62,EF!$D$100:$D$115,0))*INDEX(EF!$H$116:$H$131,MATCH(Emissions!$D62,EF!$D$116:$D$131,0))*kgtoGg</f>
        <v>2.1170378700361168</v>
      </c>
      <c r="BM62" s="22">
        <f>INDEX('Activity data'!BM$24:BM$39,MATCH(Emissions!$D62,'Activity data'!$D$24:$D$39,0))*INDEX(EF!$H$84:$H$99,MATCH(Emissions!$D62,EF!$D$84:$D$99,0))*INDEX(EF!$H$100:$H$115,MATCH(Emissions!$D62,EF!$D$100:$D$115,0))*INDEX(EF!$H$116:$H$131,MATCH(Emissions!$D62,EF!$D$116:$D$131,0))*kgtoGg</f>
        <v>2.1173523215183847</v>
      </c>
      <c r="BN62" s="22">
        <f>INDEX('Activity data'!BN$24:BN$39,MATCH(Emissions!$D62,'Activity data'!$D$24:$D$39,0))*INDEX(EF!$H$84:$H$99,MATCH(Emissions!$D62,EF!$D$84:$D$99,0))*INDEX(EF!$H$100:$H$115,MATCH(Emissions!$D62,EF!$D$100:$D$115,0))*INDEX(EF!$H$116:$H$131,MATCH(Emissions!$D62,EF!$D$116:$D$131,0))*kgtoGg</f>
        <v>2.1176667730006526</v>
      </c>
      <c r="BO62" s="22">
        <f>INDEX('Activity data'!BO$24:BO$39,MATCH(Emissions!$D62,'Activity data'!$D$24:$D$39,0))*INDEX(EF!$H$84:$H$99,MATCH(Emissions!$D62,EF!$D$84:$D$99,0))*INDEX(EF!$H$100:$H$115,MATCH(Emissions!$D62,EF!$D$100:$D$115,0))*INDEX(EF!$H$116:$H$131,MATCH(Emissions!$D62,EF!$D$116:$D$131,0))*kgtoGg</f>
        <v>2.117981224482921</v>
      </c>
      <c r="BP62" s="22">
        <f>INDEX('Activity data'!BP$24:BP$39,MATCH(Emissions!$D62,'Activity data'!$D$24:$D$39,0))*INDEX(EF!$H$84:$H$99,MATCH(Emissions!$D62,EF!$D$84:$D$99,0))*INDEX(EF!$H$100:$H$115,MATCH(Emissions!$D62,EF!$D$100:$D$115,0))*INDEX(EF!$H$116:$H$131,MATCH(Emissions!$D62,EF!$D$116:$D$131,0))*kgtoGg</f>
        <v>2.1182956759651885</v>
      </c>
    </row>
    <row r="63" spans="1:68" x14ac:dyDescent="0.25">
      <c r="A63" t="str">
        <f t="shared" si="19"/>
        <v>3C Aggregated and non-CO2 emissions on land</v>
      </c>
      <c r="B63" t="str">
        <f t="shared" si="20"/>
        <v>3C1 Biomass burning (CH4)</v>
      </c>
      <c r="C63" t="str">
        <f>'IPCC Categories'!C61</f>
        <v>3C1c Biomass burning in Grasslands</v>
      </c>
      <c r="D63" t="str">
        <f>EF!D93</f>
        <v>Grasslands</v>
      </c>
      <c r="E63" t="s">
        <v>650</v>
      </c>
      <c r="F63" t="str">
        <f t="shared" si="21"/>
        <v>CH4</v>
      </c>
      <c r="G63" t="str">
        <f t="shared" si="22"/>
        <v>Gg CH4</v>
      </c>
      <c r="H63" s="22">
        <f>INDEX('Activity data'!H$24:H$39,MATCH(Emissions!$D63,'Activity data'!$D$24:$D$39,0))*INDEX(EF!$H$84:$H$99,MATCH(Emissions!$D63,EF!$D$84:$D$99,0))*INDEX(EF!$H$100:$H$115,MATCH(Emissions!$D63,EF!$D$100:$D$115,0))*INDEX(EF!$H$116:$H$131,MATCH(Emissions!$D63,EF!$D$116:$D$131,0))*kgtoGg</f>
        <v>22.517316723914707</v>
      </c>
      <c r="I63" s="22">
        <f>INDEX('Activity data'!I$24:I$39,MATCH(Emissions!$D63,'Activity data'!$D$24:$D$39,0))*INDEX(EF!$H$84:$H$99,MATCH(Emissions!$D63,EF!$D$84:$D$99,0))*INDEX(EF!$H$100:$H$115,MATCH(Emissions!$D63,EF!$D$100:$D$115,0))*INDEX(EF!$H$116:$H$131,MATCH(Emissions!$D63,EF!$D$116:$D$131,0))*kgtoGg</f>
        <v>22.517316723914707</v>
      </c>
      <c r="J63" s="22">
        <f>INDEX('Activity data'!J$24:J$39,MATCH(Emissions!$D63,'Activity data'!$D$24:$D$39,0))*INDEX(EF!$H$84:$H$99,MATCH(Emissions!$D63,EF!$D$84:$D$99,0))*INDEX(EF!$H$100:$H$115,MATCH(Emissions!$D63,EF!$D$100:$D$115,0))*INDEX(EF!$H$116:$H$131,MATCH(Emissions!$D63,EF!$D$116:$D$131,0))*kgtoGg</f>
        <v>22.517316723914707</v>
      </c>
      <c r="K63" s="22">
        <f>INDEX('Activity data'!K$24:K$39,MATCH(Emissions!$D63,'Activity data'!$D$24:$D$39,0))*INDEX(EF!$H$84:$H$99,MATCH(Emissions!$D63,EF!$D$84:$D$99,0))*INDEX(EF!$H$100:$H$115,MATCH(Emissions!$D63,EF!$D$100:$D$115,0))*INDEX(EF!$H$116:$H$131,MATCH(Emissions!$D63,EF!$D$116:$D$131,0))*kgtoGg</f>
        <v>22.517316723914707</v>
      </c>
      <c r="L63" s="22">
        <f>INDEX('Activity data'!L$24:L$39,MATCH(Emissions!$D63,'Activity data'!$D$24:$D$39,0))*INDEX(EF!$H$84:$H$99,MATCH(Emissions!$D63,EF!$D$84:$D$99,0))*INDEX(EF!$H$100:$H$115,MATCH(Emissions!$D63,EF!$D$100:$D$115,0))*INDEX(EF!$H$116:$H$131,MATCH(Emissions!$D63,EF!$D$116:$D$131,0))*kgtoGg</f>
        <v>22.517316723914707</v>
      </c>
      <c r="M63" s="22">
        <f>INDEX('Activity data'!M$24:M$39,MATCH(Emissions!$D63,'Activity data'!$D$24:$D$39,0))*INDEX(EF!$H$84:$H$99,MATCH(Emissions!$D63,EF!$D$84:$D$99,0))*INDEX(EF!$H$100:$H$115,MATCH(Emissions!$D63,EF!$D$100:$D$115,0))*INDEX(EF!$H$116:$H$131,MATCH(Emissions!$D63,EF!$D$116:$D$131,0))*kgtoGg</f>
        <v>22.517316723914707</v>
      </c>
      <c r="N63" s="22">
        <f>INDEX('Activity data'!N$24:N$39,MATCH(Emissions!$D63,'Activity data'!$D$24:$D$39,0))*INDEX(EF!$H$84:$H$99,MATCH(Emissions!$D63,EF!$D$84:$D$99,0))*INDEX(EF!$H$100:$H$115,MATCH(Emissions!$D63,EF!$D$100:$D$115,0))*INDEX(EF!$H$116:$H$131,MATCH(Emissions!$D63,EF!$D$116:$D$131,0))*kgtoGg</f>
        <v>22.517316723914707</v>
      </c>
      <c r="O63" s="22">
        <f>INDEX('Activity data'!O$24:O$39,MATCH(Emissions!$D63,'Activity data'!$D$24:$D$39,0))*INDEX(EF!$H$84:$H$99,MATCH(Emissions!$D63,EF!$D$84:$D$99,0))*INDEX(EF!$H$100:$H$115,MATCH(Emissions!$D63,EF!$D$100:$D$115,0))*INDEX(EF!$H$116:$H$131,MATCH(Emissions!$D63,EF!$D$116:$D$131,0))*kgtoGg</f>
        <v>22.517316723914707</v>
      </c>
      <c r="P63" s="22">
        <f>INDEX('Activity data'!P$24:P$39,MATCH(Emissions!$D63,'Activity data'!$D$24:$D$39,0))*INDEX(EF!$H$84:$H$99,MATCH(Emissions!$D63,EF!$D$84:$D$99,0))*INDEX(EF!$H$100:$H$115,MATCH(Emissions!$D63,EF!$D$100:$D$115,0))*INDEX(EF!$H$116:$H$131,MATCH(Emissions!$D63,EF!$D$116:$D$131,0))*kgtoGg</f>
        <v>22.517316723914707</v>
      </c>
      <c r="Q63" s="22">
        <f>INDEX('Activity data'!Q$24:Q$39,MATCH(Emissions!$D63,'Activity data'!$D$24:$D$39,0))*INDEX(EF!$H$84:$H$99,MATCH(Emissions!$D63,EF!$D$84:$D$99,0))*INDEX(EF!$H$100:$H$115,MATCH(Emissions!$D63,EF!$D$100:$D$115,0))*INDEX(EF!$H$116:$H$131,MATCH(Emissions!$D63,EF!$D$116:$D$131,0))*kgtoGg</f>
        <v>22.517316723914707</v>
      </c>
      <c r="R63" s="22">
        <f>INDEX('Activity data'!R$24:R$39,MATCH(Emissions!$D63,'Activity data'!$D$24:$D$39,0))*INDEX(EF!$H$84:$H$99,MATCH(Emissions!$D63,EF!$D$84:$D$99,0))*INDEX(EF!$H$100:$H$115,MATCH(Emissions!$D63,EF!$D$100:$D$115,0))*INDEX(EF!$H$116:$H$131,MATCH(Emissions!$D63,EF!$D$116:$D$131,0))*kgtoGg</f>
        <v>22.367920192777621</v>
      </c>
      <c r="S63" s="22">
        <f>INDEX('Activity data'!S$24:S$39,MATCH(Emissions!$D63,'Activity data'!$D$24:$D$39,0))*INDEX(EF!$H$84:$H$99,MATCH(Emissions!$D63,EF!$D$84:$D$99,0))*INDEX(EF!$H$100:$H$115,MATCH(Emissions!$D63,EF!$D$100:$D$115,0))*INDEX(EF!$H$116:$H$131,MATCH(Emissions!$D63,EF!$D$116:$D$131,0))*kgtoGg</f>
        <v>25.580620137780603</v>
      </c>
      <c r="T63" s="22">
        <f>INDEX('Activity data'!T$24:T$39,MATCH(Emissions!$D63,'Activity data'!$D$24:$D$39,0))*INDEX(EF!$H$84:$H$99,MATCH(Emissions!$D63,EF!$D$84:$D$99,0))*INDEX(EF!$H$100:$H$115,MATCH(Emissions!$D63,EF!$D$100:$D$115,0))*INDEX(EF!$H$116:$H$131,MATCH(Emissions!$D63,EF!$D$116:$D$131,0))*kgtoGg</f>
        <v>26.023631115635403</v>
      </c>
      <c r="U63" s="22">
        <f>INDEX('Activity data'!U$24:U$39,MATCH(Emissions!$D63,'Activity data'!$D$24:$D$39,0))*INDEX(EF!$H$84:$H$99,MATCH(Emissions!$D63,EF!$D$84:$D$99,0))*INDEX(EF!$H$100:$H$115,MATCH(Emissions!$D63,EF!$D$100:$D$115,0))*INDEX(EF!$H$116:$H$131,MATCH(Emissions!$D63,EF!$D$116:$D$131,0))*kgtoGg</f>
        <v>20.888315748075943</v>
      </c>
      <c r="V63" s="22">
        <f>INDEX('Activity data'!V$24:V$39,MATCH(Emissions!$D63,'Activity data'!$D$24:$D$39,0))*INDEX(EF!$H$84:$H$99,MATCH(Emissions!$D63,EF!$D$84:$D$99,0))*INDEX(EF!$H$100:$H$115,MATCH(Emissions!$D63,EF!$D$100:$D$115,0))*INDEX(EF!$H$116:$H$131,MATCH(Emissions!$D63,EF!$D$116:$D$131,0))*kgtoGg</f>
        <v>17.726096425303961</v>
      </c>
      <c r="W63" s="22">
        <f>INDEX('Activity data'!W$24:W$39,MATCH(Emissions!$D63,'Activity data'!$D$24:$D$39,0))*INDEX(EF!$H$84:$H$99,MATCH(Emissions!$D63,EF!$D$84:$D$99,0))*INDEX(EF!$H$100:$H$115,MATCH(Emissions!$D63,EF!$D$100:$D$115,0))*INDEX(EF!$H$116:$H$131,MATCH(Emissions!$D63,EF!$D$116:$D$131,0))*kgtoGg</f>
        <v>27.538484960343208</v>
      </c>
      <c r="X63" s="22">
        <f>INDEX('Activity data'!X$24:X$39,MATCH(Emissions!$D63,'Activity data'!$D$24:$D$39,0))*INDEX(EF!$H$84:$H$99,MATCH(Emissions!$D63,EF!$D$84:$D$99,0))*INDEX(EF!$H$100:$H$115,MATCH(Emissions!$D63,EF!$D$100:$D$115,0))*INDEX(EF!$H$116:$H$131,MATCH(Emissions!$D63,EF!$D$116:$D$131,0))*kgtoGg</f>
        <v>24.258332459772951</v>
      </c>
      <c r="Y63" s="22">
        <f>INDEX('Activity data'!Y$24:Y$39,MATCH(Emissions!$D63,'Activity data'!$D$24:$D$39,0))*INDEX(EF!$H$84:$H$99,MATCH(Emissions!$D63,EF!$D$84:$D$99,0))*INDEX(EF!$H$100:$H$115,MATCH(Emissions!$D63,EF!$D$100:$D$115,0))*INDEX(EF!$H$116:$H$131,MATCH(Emissions!$D63,EF!$D$116:$D$131,0))*kgtoGg</f>
        <v>22.854448948417762</v>
      </c>
      <c r="Z63" s="22">
        <f>INDEX('Activity data'!Z$24:Z$39,MATCH(Emissions!$D63,'Activity data'!$D$24:$D$39,0))*INDEX(EF!$H$84:$H$99,MATCH(Emissions!$D63,EF!$D$84:$D$99,0))*INDEX(EF!$H$100:$H$115,MATCH(Emissions!$D63,EF!$D$100:$D$115,0))*INDEX(EF!$H$116:$H$131,MATCH(Emissions!$D63,EF!$D$116:$D$131,0))*kgtoGg</f>
        <v>21.238198681470106</v>
      </c>
      <c r="AA63" s="22">
        <f>INDEX('Activity data'!AA$24:AA$39,MATCH(Emissions!$D63,'Activity data'!$D$24:$D$39,0))*INDEX(EF!$H$84:$H$99,MATCH(Emissions!$D63,EF!$D$84:$D$99,0))*INDEX(EF!$H$100:$H$115,MATCH(Emissions!$D63,EF!$D$100:$D$115,0))*INDEX(EF!$H$116:$H$131,MATCH(Emissions!$D63,EF!$D$116:$D$131,0))*kgtoGg</f>
        <v>21.969079759374946</v>
      </c>
      <c r="AB63" s="22">
        <f>INDEX('Activity data'!AB$24:AB$39,MATCH(Emissions!$D63,'Activity data'!$D$24:$D$39,0))*INDEX(EF!$H$84:$H$99,MATCH(Emissions!$D63,EF!$D$84:$D$99,0))*INDEX(EF!$H$100:$H$115,MATCH(Emissions!$D63,EF!$D$100:$D$115,0))*INDEX(EF!$H$116:$H$131,MATCH(Emissions!$D63,EF!$D$116:$D$131,0))*kgtoGg</f>
        <v>18.942062311799994</v>
      </c>
      <c r="AC63" s="22">
        <f>INDEX('Activity data'!AC$24:AC$39,MATCH(Emissions!$D63,'Activity data'!$D$24:$D$39,0))*INDEX(EF!$H$84:$H$99,MATCH(Emissions!$D63,EF!$D$84:$D$99,0))*INDEX(EF!$H$100:$H$115,MATCH(Emissions!$D63,EF!$D$100:$D$115,0))*INDEX(EF!$H$116:$H$131,MATCH(Emissions!$D63,EF!$D$116:$D$131,0))*kgtoGg</f>
        <v>19.242646390799994</v>
      </c>
      <c r="AD63" s="22">
        <f>INDEX('Activity data'!AD$24:AD$39,MATCH(Emissions!$D63,'Activity data'!$D$24:$D$39,0))*INDEX(EF!$H$84:$H$99,MATCH(Emissions!$D63,EF!$D$84:$D$99,0))*INDEX(EF!$H$100:$H$115,MATCH(Emissions!$D63,EF!$D$100:$D$115,0))*INDEX(EF!$H$116:$H$131,MATCH(Emissions!$D63,EF!$D$116:$D$131,0))*kgtoGg</f>
        <v>19.140814819727147</v>
      </c>
      <c r="AE63" s="22">
        <f>INDEX('Activity data'!AE$24:AE$39,MATCH(Emissions!$D63,'Activity data'!$D$24:$D$39,0))*INDEX(EF!$H$84:$H$99,MATCH(Emissions!$D63,EF!$D$84:$D$99,0))*INDEX(EF!$H$100:$H$115,MATCH(Emissions!$D63,EF!$D$100:$D$115,0))*INDEX(EF!$H$116:$H$131,MATCH(Emissions!$D63,EF!$D$116:$D$131,0))*kgtoGg</f>
        <v>19.263613253106172</v>
      </c>
      <c r="AF63" s="22">
        <f>INDEX('Activity data'!AF$24:AF$39,MATCH(Emissions!$D63,'Activity data'!$D$24:$D$39,0))*INDEX(EF!$H$84:$H$99,MATCH(Emissions!$D63,EF!$D$84:$D$99,0))*INDEX(EF!$H$100:$H$115,MATCH(Emissions!$D63,EF!$D$100:$D$115,0))*INDEX(EF!$H$116:$H$131,MATCH(Emissions!$D63,EF!$D$116:$D$131,0))*kgtoGg</f>
        <v>19.386411686485193</v>
      </c>
      <c r="AG63" s="22">
        <f>INDEX('Activity data'!AG$24:AG$39,MATCH(Emissions!$D63,'Activity data'!$D$24:$D$39,0))*INDEX(EF!$H$84:$H$99,MATCH(Emissions!$D63,EF!$D$84:$D$99,0))*INDEX(EF!$H$100:$H$115,MATCH(Emissions!$D63,EF!$D$100:$D$115,0))*INDEX(EF!$H$116:$H$131,MATCH(Emissions!$D63,EF!$D$116:$D$131,0))*kgtoGg</f>
        <v>19.509210119864214</v>
      </c>
      <c r="AH63" s="22">
        <f>INDEX('Activity data'!AH$24:AH$39,MATCH(Emissions!$D63,'Activity data'!$D$24:$D$39,0))*INDEX(EF!$H$84:$H$99,MATCH(Emissions!$D63,EF!$D$84:$D$99,0))*INDEX(EF!$H$100:$H$115,MATCH(Emissions!$D63,EF!$D$100:$D$115,0))*INDEX(EF!$H$116:$H$131,MATCH(Emissions!$D63,EF!$D$116:$D$131,0))*kgtoGg</f>
        <v>19.632008553243242</v>
      </c>
      <c r="AI63" s="22">
        <f>INDEX('Activity data'!AI$24:AI$39,MATCH(Emissions!$D63,'Activity data'!$D$24:$D$39,0))*INDEX(EF!$H$84:$H$99,MATCH(Emissions!$D63,EF!$D$84:$D$99,0))*INDEX(EF!$H$100:$H$115,MATCH(Emissions!$D63,EF!$D$100:$D$115,0))*INDEX(EF!$H$116:$H$131,MATCH(Emissions!$D63,EF!$D$116:$D$131,0))*kgtoGg</f>
        <v>19.754806986622263</v>
      </c>
      <c r="AJ63" s="22">
        <f>INDEX('Activity data'!AJ$24:AJ$39,MATCH(Emissions!$D63,'Activity data'!$D$24:$D$39,0))*INDEX(EF!$H$84:$H$99,MATCH(Emissions!$D63,EF!$D$84:$D$99,0))*INDEX(EF!$H$100:$H$115,MATCH(Emissions!$D63,EF!$D$100:$D$115,0))*INDEX(EF!$H$116:$H$131,MATCH(Emissions!$D63,EF!$D$116:$D$131,0))*kgtoGg</f>
        <v>19.877605420001284</v>
      </c>
      <c r="AK63" s="22">
        <f>INDEX('Activity data'!AK$24:AK$39,MATCH(Emissions!$D63,'Activity data'!$D$24:$D$39,0))*INDEX(EF!$H$84:$H$99,MATCH(Emissions!$D63,EF!$D$84:$D$99,0))*INDEX(EF!$H$100:$H$115,MATCH(Emissions!$D63,EF!$D$100:$D$115,0))*INDEX(EF!$H$116:$H$131,MATCH(Emissions!$D63,EF!$D$116:$D$131,0))*kgtoGg</f>
        <v>20.083827984907678</v>
      </c>
      <c r="AL63" s="22">
        <f>INDEX('Activity data'!AL$24:AL$39,MATCH(Emissions!$D63,'Activity data'!$D$24:$D$39,0))*INDEX(EF!$H$84:$H$99,MATCH(Emissions!$D63,EF!$D$84:$D$99,0))*INDEX(EF!$H$100:$H$115,MATCH(Emissions!$D63,EF!$D$100:$D$115,0))*INDEX(EF!$H$116:$H$131,MATCH(Emissions!$D63,EF!$D$116:$D$131,0))*kgtoGg</f>
        <v>20.290050549814062</v>
      </c>
      <c r="AM63" s="22">
        <f>INDEX('Activity data'!AM$24:AM$39,MATCH(Emissions!$D63,'Activity data'!$D$24:$D$39,0))*INDEX(EF!$H$84:$H$99,MATCH(Emissions!$D63,EF!$D$84:$D$99,0))*INDEX(EF!$H$100:$H$115,MATCH(Emissions!$D63,EF!$D$100:$D$115,0))*INDEX(EF!$H$116:$H$131,MATCH(Emissions!$D63,EF!$D$116:$D$131,0))*kgtoGg</f>
        <v>20.496273114720456</v>
      </c>
      <c r="AN63" s="22">
        <f>INDEX('Activity data'!AN$24:AN$39,MATCH(Emissions!$D63,'Activity data'!$D$24:$D$39,0))*INDEX(EF!$H$84:$H$99,MATCH(Emissions!$D63,EF!$D$84:$D$99,0))*INDEX(EF!$H$100:$H$115,MATCH(Emissions!$D63,EF!$D$100:$D$115,0))*INDEX(EF!$H$116:$H$131,MATCH(Emissions!$D63,EF!$D$116:$D$131,0))*kgtoGg</f>
        <v>20.702495679626839</v>
      </c>
      <c r="AO63" s="22">
        <f>INDEX('Activity data'!AO$24:AO$39,MATCH(Emissions!$D63,'Activity data'!$D$24:$D$39,0))*INDEX(EF!$H$84:$H$99,MATCH(Emissions!$D63,EF!$D$84:$D$99,0))*INDEX(EF!$H$100:$H$115,MATCH(Emissions!$D63,EF!$D$100:$D$115,0))*INDEX(EF!$H$116:$H$131,MATCH(Emissions!$D63,EF!$D$116:$D$131,0))*kgtoGg</f>
        <v>20.908718244533233</v>
      </c>
      <c r="AP63" s="22">
        <f>INDEX('Activity data'!AP$24:AP$39,MATCH(Emissions!$D63,'Activity data'!$D$24:$D$39,0))*INDEX(EF!$H$84:$H$99,MATCH(Emissions!$D63,EF!$D$84:$D$99,0))*INDEX(EF!$H$100:$H$115,MATCH(Emissions!$D63,EF!$D$100:$D$115,0))*INDEX(EF!$H$116:$H$131,MATCH(Emissions!$D63,EF!$D$116:$D$131,0))*kgtoGg</f>
        <v>21.114940809439616</v>
      </c>
      <c r="AQ63" s="22">
        <f>INDEX('Activity data'!AQ$24:AQ$39,MATCH(Emissions!$D63,'Activity data'!$D$24:$D$39,0))*INDEX(EF!$H$84:$H$99,MATCH(Emissions!$D63,EF!$D$84:$D$99,0))*INDEX(EF!$H$100:$H$115,MATCH(Emissions!$D63,EF!$D$100:$D$115,0))*INDEX(EF!$H$116:$H$131,MATCH(Emissions!$D63,EF!$D$116:$D$131,0))*kgtoGg</f>
        <v>21.32116337434601</v>
      </c>
      <c r="AR63" s="22">
        <f>INDEX('Activity data'!AR$24:AR$39,MATCH(Emissions!$D63,'Activity data'!$D$24:$D$39,0))*INDEX(EF!$H$84:$H$99,MATCH(Emissions!$D63,EF!$D$84:$D$99,0))*INDEX(EF!$H$100:$H$115,MATCH(Emissions!$D63,EF!$D$100:$D$115,0))*INDEX(EF!$H$116:$H$131,MATCH(Emissions!$D63,EF!$D$116:$D$131,0))*kgtoGg</f>
        <v>21.527385939252397</v>
      </c>
      <c r="AS63" s="22">
        <f>INDEX('Activity data'!AS$24:AS$39,MATCH(Emissions!$D63,'Activity data'!$D$24:$D$39,0))*INDEX(EF!$H$84:$H$99,MATCH(Emissions!$D63,EF!$D$84:$D$99,0))*INDEX(EF!$H$100:$H$115,MATCH(Emissions!$D63,EF!$D$100:$D$115,0))*INDEX(EF!$H$116:$H$131,MATCH(Emissions!$D63,EF!$D$116:$D$131,0))*kgtoGg</f>
        <v>21.733608504158784</v>
      </c>
      <c r="AT63" s="22">
        <f>INDEX('Activity data'!AT$24:AT$39,MATCH(Emissions!$D63,'Activity data'!$D$24:$D$39,0))*INDEX(EF!$H$84:$H$99,MATCH(Emissions!$D63,EF!$D$84:$D$99,0))*INDEX(EF!$H$100:$H$115,MATCH(Emissions!$D63,EF!$D$100:$D$115,0))*INDEX(EF!$H$116:$H$131,MATCH(Emissions!$D63,EF!$D$116:$D$131,0))*kgtoGg</f>
        <v>21.939831069065175</v>
      </c>
      <c r="AU63" s="22">
        <f>INDEX('Activity data'!AU$24:AU$39,MATCH(Emissions!$D63,'Activity data'!$D$24:$D$39,0))*INDEX(EF!$H$84:$H$99,MATCH(Emissions!$D63,EF!$D$84:$D$99,0))*INDEX(EF!$H$100:$H$115,MATCH(Emissions!$D63,EF!$D$100:$D$115,0))*INDEX(EF!$H$116:$H$131,MATCH(Emissions!$D63,EF!$D$116:$D$131,0))*kgtoGg</f>
        <v>22.146053633971565</v>
      </c>
      <c r="AV63" s="22">
        <f>INDEX('Activity data'!AV$24:AV$39,MATCH(Emissions!$D63,'Activity data'!$D$24:$D$39,0))*INDEX(EF!$H$84:$H$99,MATCH(Emissions!$D63,EF!$D$84:$D$99,0))*INDEX(EF!$H$100:$H$115,MATCH(Emissions!$D63,EF!$D$100:$D$115,0))*INDEX(EF!$H$116:$H$131,MATCH(Emissions!$D63,EF!$D$116:$D$131,0))*kgtoGg</f>
        <v>22.352276198877952</v>
      </c>
      <c r="AW63" s="22">
        <f>INDEX('Activity data'!AW$24:AW$39,MATCH(Emissions!$D63,'Activity data'!$D$24:$D$39,0))*INDEX(EF!$H$84:$H$99,MATCH(Emissions!$D63,EF!$D$84:$D$99,0))*INDEX(EF!$H$100:$H$115,MATCH(Emissions!$D63,EF!$D$100:$D$115,0))*INDEX(EF!$H$116:$H$131,MATCH(Emissions!$D63,EF!$D$116:$D$131,0))*kgtoGg</f>
        <v>22.56201626272437</v>
      </c>
      <c r="AX63" s="22">
        <f>INDEX('Activity data'!AX$24:AX$39,MATCH(Emissions!$D63,'Activity data'!$D$24:$D$39,0))*INDEX(EF!$H$84:$H$99,MATCH(Emissions!$D63,EF!$D$84:$D$99,0))*INDEX(EF!$H$100:$H$115,MATCH(Emissions!$D63,EF!$D$100:$D$115,0))*INDEX(EF!$H$116:$H$131,MATCH(Emissions!$D63,EF!$D$116:$D$131,0))*kgtoGg</f>
        <v>22.771756326570781</v>
      </c>
      <c r="AY63" s="22">
        <f>INDEX('Activity data'!AY$24:AY$39,MATCH(Emissions!$D63,'Activity data'!$D$24:$D$39,0))*INDEX(EF!$H$84:$H$99,MATCH(Emissions!$D63,EF!$D$84:$D$99,0))*INDEX(EF!$H$100:$H$115,MATCH(Emissions!$D63,EF!$D$100:$D$115,0))*INDEX(EF!$H$116:$H$131,MATCH(Emissions!$D63,EF!$D$116:$D$131,0))*kgtoGg</f>
        <v>22.981496390417199</v>
      </c>
      <c r="AZ63" s="22">
        <f>INDEX('Activity data'!AZ$24:AZ$39,MATCH(Emissions!$D63,'Activity data'!$D$24:$D$39,0))*INDEX(EF!$H$84:$H$99,MATCH(Emissions!$D63,EF!$D$84:$D$99,0))*INDEX(EF!$H$100:$H$115,MATCH(Emissions!$D63,EF!$D$100:$D$115,0))*INDEX(EF!$H$116:$H$131,MATCH(Emissions!$D63,EF!$D$116:$D$131,0))*kgtoGg</f>
        <v>23.191236454263613</v>
      </c>
      <c r="BA63" s="22">
        <f>INDEX('Activity data'!BA$24:BA$39,MATCH(Emissions!$D63,'Activity data'!$D$24:$D$39,0))*INDEX(EF!$H$84:$H$99,MATCH(Emissions!$D63,EF!$D$84:$D$99,0))*INDEX(EF!$H$100:$H$115,MATCH(Emissions!$D63,EF!$D$100:$D$115,0))*INDEX(EF!$H$116:$H$131,MATCH(Emissions!$D63,EF!$D$116:$D$131,0))*kgtoGg</f>
        <v>23.400976518110024</v>
      </c>
      <c r="BB63" s="22">
        <f>INDEX('Activity data'!BB$24:BB$39,MATCH(Emissions!$D63,'Activity data'!$D$24:$D$39,0))*INDEX(EF!$H$84:$H$99,MATCH(Emissions!$D63,EF!$D$84:$D$99,0))*INDEX(EF!$H$100:$H$115,MATCH(Emissions!$D63,EF!$D$100:$D$115,0))*INDEX(EF!$H$116:$H$131,MATCH(Emissions!$D63,EF!$D$116:$D$131,0))*kgtoGg</f>
        <v>23.610716581956442</v>
      </c>
      <c r="BC63" s="22">
        <f>INDEX('Activity data'!BC$24:BC$39,MATCH(Emissions!$D63,'Activity data'!$D$24:$D$39,0))*INDEX(EF!$H$84:$H$99,MATCH(Emissions!$D63,EF!$D$84:$D$99,0))*INDEX(EF!$H$100:$H$115,MATCH(Emissions!$D63,EF!$D$100:$D$115,0))*INDEX(EF!$H$116:$H$131,MATCH(Emissions!$D63,EF!$D$116:$D$131,0))*kgtoGg</f>
        <v>23.820456645802853</v>
      </c>
      <c r="BD63" s="22">
        <f>INDEX('Activity data'!BD$24:BD$39,MATCH(Emissions!$D63,'Activity data'!$D$24:$D$39,0))*INDEX(EF!$H$84:$H$99,MATCH(Emissions!$D63,EF!$D$84:$D$99,0))*INDEX(EF!$H$100:$H$115,MATCH(Emissions!$D63,EF!$D$100:$D$115,0))*INDEX(EF!$H$116:$H$131,MATCH(Emissions!$D63,EF!$D$116:$D$131,0))*kgtoGg</f>
        <v>24.030196709649267</v>
      </c>
      <c r="BE63" s="22">
        <f>INDEX('Activity data'!BE$24:BE$39,MATCH(Emissions!$D63,'Activity data'!$D$24:$D$39,0))*INDEX(EF!$H$84:$H$99,MATCH(Emissions!$D63,EF!$D$84:$D$99,0))*INDEX(EF!$H$100:$H$115,MATCH(Emissions!$D63,EF!$D$100:$D$115,0))*INDEX(EF!$H$116:$H$131,MATCH(Emissions!$D63,EF!$D$116:$D$131,0))*kgtoGg</f>
        <v>24.239936773495682</v>
      </c>
      <c r="BF63" s="22">
        <f>INDEX('Activity data'!BF$24:BF$39,MATCH(Emissions!$D63,'Activity data'!$D$24:$D$39,0))*INDEX(EF!$H$84:$H$99,MATCH(Emissions!$D63,EF!$D$84:$D$99,0))*INDEX(EF!$H$100:$H$115,MATCH(Emissions!$D63,EF!$D$100:$D$115,0))*INDEX(EF!$H$116:$H$131,MATCH(Emissions!$D63,EF!$D$116:$D$131,0))*kgtoGg</f>
        <v>24.449676837342093</v>
      </c>
      <c r="BG63" s="22">
        <f>INDEX('Activity data'!BG$24:BG$39,MATCH(Emissions!$D63,'Activity data'!$D$24:$D$39,0))*INDEX(EF!$H$84:$H$99,MATCH(Emissions!$D63,EF!$D$84:$D$99,0))*INDEX(EF!$H$100:$H$115,MATCH(Emissions!$D63,EF!$D$100:$D$115,0))*INDEX(EF!$H$116:$H$131,MATCH(Emissions!$D63,EF!$D$116:$D$131,0))*kgtoGg</f>
        <v>24.659416901188511</v>
      </c>
      <c r="BH63" s="22">
        <f>INDEX('Activity data'!BH$24:BH$39,MATCH(Emissions!$D63,'Activity data'!$D$24:$D$39,0))*INDEX(EF!$H$84:$H$99,MATCH(Emissions!$D63,EF!$D$84:$D$99,0))*INDEX(EF!$H$100:$H$115,MATCH(Emissions!$D63,EF!$D$100:$D$115,0))*INDEX(EF!$H$116:$H$131,MATCH(Emissions!$D63,EF!$D$116:$D$131,0))*kgtoGg</f>
        <v>24.869156965034922</v>
      </c>
      <c r="BI63" s="22">
        <f>INDEX('Activity data'!BI$24:BI$39,MATCH(Emissions!$D63,'Activity data'!$D$24:$D$39,0))*INDEX(EF!$H$84:$H$99,MATCH(Emissions!$D63,EF!$D$84:$D$99,0))*INDEX(EF!$H$100:$H$115,MATCH(Emissions!$D63,EF!$D$100:$D$115,0))*INDEX(EF!$H$116:$H$131,MATCH(Emissions!$D63,EF!$D$116:$D$131,0))*kgtoGg</f>
        <v>25.078897028881336</v>
      </c>
      <c r="BJ63" s="22">
        <f>INDEX('Activity data'!BJ$24:BJ$39,MATCH(Emissions!$D63,'Activity data'!$D$24:$D$39,0))*INDEX(EF!$H$84:$H$99,MATCH(Emissions!$D63,EF!$D$84:$D$99,0))*INDEX(EF!$H$100:$H$115,MATCH(Emissions!$D63,EF!$D$100:$D$115,0))*INDEX(EF!$H$116:$H$131,MATCH(Emissions!$D63,EF!$D$116:$D$131,0))*kgtoGg</f>
        <v>25.28863709272775</v>
      </c>
      <c r="BK63" s="22">
        <f>INDEX('Activity data'!BK$24:BK$39,MATCH(Emissions!$D63,'Activity data'!$D$24:$D$39,0))*INDEX(EF!$H$84:$H$99,MATCH(Emissions!$D63,EF!$D$84:$D$99,0))*INDEX(EF!$H$100:$H$115,MATCH(Emissions!$D63,EF!$D$100:$D$115,0))*INDEX(EF!$H$116:$H$131,MATCH(Emissions!$D63,EF!$D$116:$D$131,0))*kgtoGg</f>
        <v>25.498377156574168</v>
      </c>
      <c r="BL63" s="22">
        <f>INDEX('Activity data'!BL$24:BL$39,MATCH(Emissions!$D63,'Activity data'!$D$24:$D$39,0))*INDEX(EF!$H$84:$H$99,MATCH(Emissions!$D63,EF!$D$84:$D$99,0))*INDEX(EF!$H$100:$H$115,MATCH(Emissions!$D63,EF!$D$100:$D$115,0))*INDEX(EF!$H$116:$H$131,MATCH(Emissions!$D63,EF!$D$116:$D$131,0))*kgtoGg</f>
        <v>25.708117220420583</v>
      </c>
      <c r="BM63" s="22">
        <f>INDEX('Activity data'!BM$24:BM$39,MATCH(Emissions!$D63,'Activity data'!$D$24:$D$39,0))*INDEX(EF!$H$84:$H$99,MATCH(Emissions!$D63,EF!$D$84:$D$99,0))*INDEX(EF!$H$100:$H$115,MATCH(Emissions!$D63,EF!$D$100:$D$115,0))*INDEX(EF!$H$116:$H$131,MATCH(Emissions!$D63,EF!$D$116:$D$131,0))*kgtoGg</f>
        <v>25.917857284266997</v>
      </c>
      <c r="BN63" s="22">
        <f>INDEX('Activity data'!BN$24:BN$39,MATCH(Emissions!$D63,'Activity data'!$D$24:$D$39,0))*INDEX(EF!$H$84:$H$99,MATCH(Emissions!$D63,EF!$D$84:$D$99,0))*INDEX(EF!$H$100:$H$115,MATCH(Emissions!$D63,EF!$D$100:$D$115,0))*INDEX(EF!$H$116:$H$131,MATCH(Emissions!$D63,EF!$D$116:$D$131,0))*kgtoGg</f>
        <v>26.127597348113408</v>
      </c>
      <c r="BO63" s="22">
        <f>INDEX('Activity data'!BO$24:BO$39,MATCH(Emissions!$D63,'Activity data'!$D$24:$D$39,0))*INDEX(EF!$H$84:$H$99,MATCH(Emissions!$D63,EF!$D$84:$D$99,0))*INDEX(EF!$H$100:$H$115,MATCH(Emissions!$D63,EF!$D$100:$D$115,0))*INDEX(EF!$H$116:$H$131,MATCH(Emissions!$D63,EF!$D$116:$D$131,0))*kgtoGg</f>
        <v>26.337337411959826</v>
      </c>
      <c r="BP63" s="22">
        <f>INDEX('Activity data'!BP$24:BP$39,MATCH(Emissions!$D63,'Activity data'!$D$24:$D$39,0))*INDEX(EF!$H$84:$H$99,MATCH(Emissions!$D63,EF!$D$84:$D$99,0))*INDEX(EF!$H$100:$H$115,MATCH(Emissions!$D63,EF!$D$100:$D$115,0))*INDEX(EF!$H$116:$H$131,MATCH(Emissions!$D63,EF!$D$116:$D$131,0))*kgtoGg</f>
        <v>26.54707747580624</v>
      </c>
    </row>
    <row r="64" spans="1:68" x14ac:dyDescent="0.25">
      <c r="A64" t="str">
        <f t="shared" si="19"/>
        <v>3C Aggregated and non-CO2 emissions on land</v>
      </c>
      <c r="B64" t="str">
        <f t="shared" si="20"/>
        <v>3C1 Biomass burning (CH4)</v>
      </c>
      <c r="C64" t="str">
        <f>C63</f>
        <v>3C1c Biomass burning in Grasslands</v>
      </c>
      <c r="D64" t="str">
        <f>EF!D94</f>
        <v>Low shrublands</v>
      </c>
      <c r="E64" t="s">
        <v>651</v>
      </c>
      <c r="F64" t="str">
        <f t="shared" si="21"/>
        <v>CH4</v>
      </c>
      <c r="G64" t="str">
        <f t="shared" si="22"/>
        <v>Gg CH4</v>
      </c>
      <c r="H64" s="22">
        <f>INDEX('Activity data'!H$24:H$39,MATCH(Emissions!$D64,'Activity data'!$D$24:$D$39,0))*INDEX(EF!$H$84:$H$99,MATCH(Emissions!$D64,EF!$D$84:$D$99,0))*INDEX(EF!$H$100:$H$115,MATCH(Emissions!$D64,EF!$D$100:$D$115,0))*INDEX(EF!$H$116:$H$131,MATCH(Emissions!$D64,EF!$D$116:$D$131,0))*kgtoGg</f>
        <v>1.8327068962105979</v>
      </c>
      <c r="I64" s="22">
        <f>INDEX('Activity data'!I$24:I$39,MATCH(Emissions!$D64,'Activity data'!$D$24:$D$39,0))*INDEX(EF!$H$84:$H$99,MATCH(Emissions!$D64,EF!$D$84:$D$99,0))*INDEX(EF!$H$100:$H$115,MATCH(Emissions!$D64,EF!$D$100:$D$115,0))*INDEX(EF!$H$116:$H$131,MATCH(Emissions!$D64,EF!$D$116:$D$131,0))*kgtoGg</f>
        <v>1.8327068962105979</v>
      </c>
      <c r="J64" s="22">
        <f>INDEX('Activity data'!J$24:J$39,MATCH(Emissions!$D64,'Activity data'!$D$24:$D$39,0))*INDEX(EF!$H$84:$H$99,MATCH(Emissions!$D64,EF!$D$84:$D$99,0))*INDEX(EF!$H$100:$H$115,MATCH(Emissions!$D64,EF!$D$100:$D$115,0))*INDEX(EF!$H$116:$H$131,MATCH(Emissions!$D64,EF!$D$116:$D$131,0))*kgtoGg</f>
        <v>1.8327068962105979</v>
      </c>
      <c r="K64" s="22">
        <f>INDEX('Activity data'!K$24:K$39,MATCH(Emissions!$D64,'Activity data'!$D$24:$D$39,0))*INDEX(EF!$H$84:$H$99,MATCH(Emissions!$D64,EF!$D$84:$D$99,0))*INDEX(EF!$H$100:$H$115,MATCH(Emissions!$D64,EF!$D$100:$D$115,0))*INDEX(EF!$H$116:$H$131,MATCH(Emissions!$D64,EF!$D$116:$D$131,0))*kgtoGg</f>
        <v>1.8327068962105979</v>
      </c>
      <c r="L64" s="22">
        <f>INDEX('Activity data'!L$24:L$39,MATCH(Emissions!$D64,'Activity data'!$D$24:$D$39,0))*INDEX(EF!$H$84:$H$99,MATCH(Emissions!$D64,EF!$D$84:$D$99,0))*INDEX(EF!$H$100:$H$115,MATCH(Emissions!$D64,EF!$D$100:$D$115,0))*INDEX(EF!$H$116:$H$131,MATCH(Emissions!$D64,EF!$D$116:$D$131,0))*kgtoGg</f>
        <v>1.8327068962105979</v>
      </c>
      <c r="M64" s="22">
        <f>INDEX('Activity data'!M$24:M$39,MATCH(Emissions!$D64,'Activity data'!$D$24:$D$39,0))*INDEX(EF!$H$84:$H$99,MATCH(Emissions!$D64,EF!$D$84:$D$99,0))*INDEX(EF!$H$100:$H$115,MATCH(Emissions!$D64,EF!$D$100:$D$115,0))*INDEX(EF!$H$116:$H$131,MATCH(Emissions!$D64,EF!$D$116:$D$131,0))*kgtoGg</f>
        <v>1.8327068962105979</v>
      </c>
      <c r="N64" s="22">
        <f>INDEX('Activity data'!N$24:N$39,MATCH(Emissions!$D64,'Activity data'!$D$24:$D$39,0))*INDEX(EF!$H$84:$H$99,MATCH(Emissions!$D64,EF!$D$84:$D$99,0))*INDEX(EF!$H$100:$H$115,MATCH(Emissions!$D64,EF!$D$100:$D$115,0))*INDEX(EF!$H$116:$H$131,MATCH(Emissions!$D64,EF!$D$116:$D$131,0))*kgtoGg</f>
        <v>1.8327068962105979</v>
      </c>
      <c r="O64" s="22">
        <f>INDEX('Activity data'!O$24:O$39,MATCH(Emissions!$D64,'Activity data'!$D$24:$D$39,0))*INDEX(EF!$H$84:$H$99,MATCH(Emissions!$D64,EF!$D$84:$D$99,0))*INDEX(EF!$H$100:$H$115,MATCH(Emissions!$D64,EF!$D$100:$D$115,0))*INDEX(EF!$H$116:$H$131,MATCH(Emissions!$D64,EF!$D$116:$D$131,0))*kgtoGg</f>
        <v>1.8327068962105979</v>
      </c>
      <c r="P64" s="22">
        <f>INDEX('Activity data'!P$24:P$39,MATCH(Emissions!$D64,'Activity data'!$D$24:$D$39,0))*INDEX(EF!$H$84:$H$99,MATCH(Emissions!$D64,EF!$D$84:$D$99,0))*INDEX(EF!$H$100:$H$115,MATCH(Emissions!$D64,EF!$D$100:$D$115,0))*INDEX(EF!$H$116:$H$131,MATCH(Emissions!$D64,EF!$D$116:$D$131,0))*kgtoGg</f>
        <v>1.8327068962105979</v>
      </c>
      <c r="Q64" s="22">
        <f>INDEX('Activity data'!Q$24:Q$39,MATCH(Emissions!$D64,'Activity data'!$D$24:$D$39,0))*INDEX(EF!$H$84:$H$99,MATCH(Emissions!$D64,EF!$D$84:$D$99,0))*INDEX(EF!$H$100:$H$115,MATCH(Emissions!$D64,EF!$D$100:$D$115,0))*INDEX(EF!$H$116:$H$131,MATCH(Emissions!$D64,EF!$D$116:$D$131,0))*kgtoGg</f>
        <v>1.8327068962105979</v>
      </c>
      <c r="R64" s="22">
        <f>INDEX('Activity data'!R$24:R$39,MATCH(Emissions!$D64,'Activity data'!$D$24:$D$39,0))*INDEX(EF!$H$84:$H$99,MATCH(Emissions!$D64,EF!$D$84:$D$99,0))*INDEX(EF!$H$100:$H$115,MATCH(Emissions!$D64,EF!$D$100:$D$115,0))*INDEX(EF!$H$116:$H$131,MATCH(Emissions!$D64,EF!$D$116:$D$131,0))*kgtoGg</f>
        <v>1.5407167876980463</v>
      </c>
      <c r="S64" s="22">
        <f>INDEX('Activity data'!S$24:S$39,MATCH(Emissions!$D64,'Activity data'!$D$24:$D$39,0))*INDEX(EF!$H$84:$H$99,MATCH(Emissions!$D64,EF!$D$84:$D$99,0))*INDEX(EF!$H$100:$H$115,MATCH(Emissions!$D64,EF!$D$100:$D$115,0))*INDEX(EF!$H$116:$H$131,MATCH(Emissions!$D64,EF!$D$116:$D$131,0))*kgtoGg</f>
        <v>1.2962863918633982</v>
      </c>
      <c r="T64" s="22">
        <f>INDEX('Activity data'!T$24:T$39,MATCH(Emissions!$D64,'Activity data'!$D$24:$D$39,0))*INDEX(EF!$H$84:$H$99,MATCH(Emissions!$D64,EF!$D$84:$D$99,0))*INDEX(EF!$H$100:$H$115,MATCH(Emissions!$D64,EF!$D$100:$D$115,0))*INDEX(EF!$H$116:$H$131,MATCH(Emissions!$D64,EF!$D$116:$D$131,0))*kgtoGg</f>
        <v>3.1553311369274972</v>
      </c>
      <c r="U64" s="22">
        <f>INDEX('Activity data'!U$24:U$39,MATCH(Emissions!$D64,'Activity data'!$D$24:$D$39,0))*INDEX(EF!$H$84:$H$99,MATCH(Emissions!$D64,EF!$D$84:$D$99,0))*INDEX(EF!$H$100:$H$115,MATCH(Emissions!$D64,EF!$D$100:$D$115,0))*INDEX(EF!$H$116:$H$131,MATCH(Emissions!$D64,EF!$D$116:$D$131,0))*kgtoGg</f>
        <v>1.9682331292499253</v>
      </c>
      <c r="V64" s="22">
        <f>INDEX('Activity data'!V$24:V$39,MATCH(Emissions!$D64,'Activity data'!$D$24:$D$39,0))*INDEX(EF!$H$84:$H$99,MATCH(Emissions!$D64,EF!$D$84:$D$99,0))*INDEX(EF!$H$100:$H$115,MATCH(Emissions!$D64,EF!$D$100:$D$115,0))*INDEX(EF!$H$116:$H$131,MATCH(Emissions!$D64,EF!$D$116:$D$131,0))*kgtoGg</f>
        <v>1.202967035314124</v>
      </c>
      <c r="W64" s="22">
        <f>INDEX('Activity data'!W$24:W$39,MATCH(Emissions!$D64,'Activity data'!$D$24:$D$39,0))*INDEX(EF!$H$84:$H$99,MATCH(Emissions!$D64,EF!$D$84:$D$99,0))*INDEX(EF!$H$100:$H$115,MATCH(Emissions!$D64,EF!$D$100:$D$115,0))*INDEX(EF!$H$116:$H$131,MATCH(Emissions!$D64,EF!$D$116:$D$131,0))*kgtoGg</f>
        <v>2.0414201373050664</v>
      </c>
      <c r="X64" s="22">
        <f>INDEX('Activity data'!X$24:X$39,MATCH(Emissions!$D64,'Activity data'!$D$24:$D$39,0))*INDEX(EF!$H$84:$H$99,MATCH(Emissions!$D64,EF!$D$84:$D$99,0))*INDEX(EF!$H$100:$H$115,MATCH(Emissions!$D64,EF!$D$100:$D$115,0))*INDEX(EF!$H$116:$H$131,MATCH(Emissions!$D64,EF!$D$116:$D$131,0))*kgtoGg</f>
        <v>1.5845342520676293</v>
      </c>
      <c r="Y64" s="22">
        <f>INDEX('Activity data'!Y$24:Y$39,MATCH(Emissions!$D64,'Activity data'!$D$24:$D$39,0))*INDEX(EF!$H$84:$H$99,MATCH(Emissions!$D64,EF!$D$84:$D$99,0))*INDEX(EF!$H$100:$H$115,MATCH(Emissions!$D64,EF!$D$100:$D$115,0))*INDEX(EF!$H$116:$H$131,MATCH(Emissions!$D64,EF!$D$116:$D$131,0))*kgtoGg</f>
        <v>1.3635521209496773</v>
      </c>
      <c r="Z64" s="22">
        <f>INDEX('Activity data'!Z$24:Z$39,MATCH(Emissions!$D64,'Activity data'!$D$24:$D$39,0))*INDEX(EF!$H$84:$H$99,MATCH(Emissions!$D64,EF!$D$84:$D$99,0))*INDEX(EF!$H$100:$H$115,MATCH(Emissions!$D64,EF!$D$100:$D$115,0))*INDEX(EF!$H$116:$H$131,MATCH(Emissions!$D64,EF!$D$116:$D$131,0))*kgtoGg</f>
        <v>1.6513262788363989</v>
      </c>
      <c r="AA64" s="22">
        <f>INDEX('Activity data'!AA$24:AA$39,MATCH(Emissions!$D64,'Activity data'!$D$24:$D$39,0))*INDEX(EF!$H$84:$H$99,MATCH(Emissions!$D64,EF!$D$84:$D$99,0))*INDEX(EF!$H$100:$H$115,MATCH(Emissions!$D64,EF!$D$100:$D$115,0))*INDEX(EF!$H$116:$H$131,MATCH(Emissions!$D64,EF!$D$116:$D$131,0))*kgtoGg</f>
        <v>2.2091107577032552</v>
      </c>
      <c r="AB64" s="22">
        <f>INDEX('Activity data'!AB$24:AB$39,MATCH(Emissions!$D64,'Activity data'!$D$24:$D$39,0))*INDEX(EF!$H$84:$H$99,MATCH(Emissions!$D64,EF!$D$84:$D$99,0))*INDEX(EF!$H$100:$H$115,MATCH(Emissions!$D64,EF!$D$100:$D$115,0))*INDEX(EF!$H$116:$H$131,MATCH(Emissions!$D64,EF!$D$116:$D$131,0))*kgtoGg</f>
        <v>5.2887257186400003</v>
      </c>
      <c r="AC64" s="22">
        <f>INDEX('Activity data'!AC$24:AC$39,MATCH(Emissions!$D64,'Activity data'!$D$24:$D$39,0))*INDEX(EF!$H$84:$H$99,MATCH(Emissions!$D64,EF!$D$84:$D$99,0))*INDEX(EF!$H$100:$H$115,MATCH(Emissions!$D64,EF!$D$100:$D$115,0))*INDEX(EF!$H$116:$H$131,MATCH(Emissions!$D64,EF!$D$116:$D$131,0))*kgtoGg</f>
        <v>5.3137024405920013</v>
      </c>
      <c r="AD64" s="22">
        <f>INDEX('Activity data'!AD$24:AD$39,MATCH(Emissions!$D64,'Activity data'!$D$24:$D$39,0))*INDEX(EF!$H$84:$H$99,MATCH(Emissions!$D64,EF!$D$84:$D$99,0))*INDEX(EF!$H$100:$H$115,MATCH(Emissions!$D64,EF!$D$100:$D$115,0))*INDEX(EF!$H$116:$H$131,MATCH(Emissions!$D64,EF!$D$116:$D$131,0))*kgtoGg</f>
        <v>2.803719836697308</v>
      </c>
      <c r="AE64" s="22">
        <f>INDEX('Activity data'!AE$24:AE$39,MATCH(Emissions!$D64,'Activity data'!$D$24:$D$39,0))*INDEX(EF!$H$84:$H$99,MATCH(Emissions!$D64,EF!$D$84:$D$99,0))*INDEX(EF!$H$100:$H$115,MATCH(Emissions!$D64,EF!$D$100:$D$115,0))*INDEX(EF!$H$116:$H$131,MATCH(Emissions!$D64,EF!$D$116:$D$131,0))*kgtoGg</f>
        <v>2.7952952347709599</v>
      </c>
      <c r="AF64" s="22">
        <f>INDEX('Activity data'!AF$24:AF$39,MATCH(Emissions!$D64,'Activity data'!$D$24:$D$39,0))*INDEX(EF!$H$84:$H$99,MATCH(Emissions!$D64,EF!$D$84:$D$99,0))*INDEX(EF!$H$100:$H$115,MATCH(Emissions!$D64,EF!$D$100:$D$115,0))*INDEX(EF!$H$116:$H$131,MATCH(Emissions!$D64,EF!$D$116:$D$131,0))*kgtoGg</f>
        <v>2.7868706328446127</v>
      </c>
      <c r="AG64" s="22">
        <f>INDEX('Activity data'!AG$24:AG$39,MATCH(Emissions!$D64,'Activity data'!$D$24:$D$39,0))*INDEX(EF!$H$84:$H$99,MATCH(Emissions!$D64,EF!$D$84:$D$99,0))*INDEX(EF!$H$100:$H$115,MATCH(Emissions!$D64,EF!$D$100:$D$115,0))*INDEX(EF!$H$116:$H$131,MATCH(Emissions!$D64,EF!$D$116:$D$131,0))*kgtoGg</f>
        <v>2.7784460309182646</v>
      </c>
      <c r="AH64" s="22">
        <f>INDEX('Activity data'!AH$24:AH$39,MATCH(Emissions!$D64,'Activity data'!$D$24:$D$39,0))*INDEX(EF!$H$84:$H$99,MATCH(Emissions!$D64,EF!$D$84:$D$99,0))*INDEX(EF!$H$100:$H$115,MATCH(Emissions!$D64,EF!$D$100:$D$115,0))*INDEX(EF!$H$116:$H$131,MATCH(Emissions!$D64,EF!$D$116:$D$131,0))*kgtoGg</f>
        <v>2.7700214289919165</v>
      </c>
      <c r="AI64" s="22">
        <f>INDEX('Activity data'!AI$24:AI$39,MATCH(Emissions!$D64,'Activity data'!$D$24:$D$39,0))*INDEX(EF!$H$84:$H$99,MATCH(Emissions!$D64,EF!$D$84:$D$99,0))*INDEX(EF!$H$100:$H$115,MATCH(Emissions!$D64,EF!$D$100:$D$115,0))*INDEX(EF!$H$116:$H$131,MATCH(Emissions!$D64,EF!$D$116:$D$131,0))*kgtoGg</f>
        <v>2.7615968270655689</v>
      </c>
      <c r="AJ64" s="22">
        <f>INDEX('Activity data'!AJ$24:AJ$39,MATCH(Emissions!$D64,'Activity data'!$D$24:$D$39,0))*INDEX(EF!$H$84:$H$99,MATCH(Emissions!$D64,EF!$D$84:$D$99,0))*INDEX(EF!$H$100:$H$115,MATCH(Emissions!$D64,EF!$D$100:$D$115,0))*INDEX(EF!$H$116:$H$131,MATCH(Emissions!$D64,EF!$D$116:$D$131,0))*kgtoGg</f>
        <v>2.7531722251392212</v>
      </c>
      <c r="AK64" s="22">
        <f>INDEX('Activity data'!AK$24:AK$39,MATCH(Emissions!$D64,'Activity data'!$D$24:$D$39,0))*INDEX(EF!$H$84:$H$99,MATCH(Emissions!$D64,EF!$D$84:$D$99,0))*INDEX(EF!$H$100:$H$115,MATCH(Emissions!$D64,EF!$D$100:$D$115,0))*INDEX(EF!$H$116:$H$131,MATCH(Emissions!$D64,EF!$D$116:$D$131,0))*kgtoGg</f>
        <v>2.7447476232128731</v>
      </c>
      <c r="AL64" s="22">
        <f>INDEX('Activity data'!AL$24:AL$39,MATCH(Emissions!$D64,'Activity data'!$D$24:$D$39,0))*INDEX(EF!$H$84:$H$99,MATCH(Emissions!$D64,EF!$D$84:$D$99,0))*INDEX(EF!$H$100:$H$115,MATCH(Emissions!$D64,EF!$D$100:$D$115,0))*INDEX(EF!$H$116:$H$131,MATCH(Emissions!$D64,EF!$D$116:$D$131,0))*kgtoGg</f>
        <v>2.7363230212865255</v>
      </c>
      <c r="AM64" s="22">
        <f>INDEX('Activity data'!AM$24:AM$39,MATCH(Emissions!$D64,'Activity data'!$D$24:$D$39,0))*INDEX(EF!$H$84:$H$99,MATCH(Emissions!$D64,EF!$D$84:$D$99,0))*INDEX(EF!$H$100:$H$115,MATCH(Emissions!$D64,EF!$D$100:$D$115,0))*INDEX(EF!$H$116:$H$131,MATCH(Emissions!$D64,EF!$D$116:$D$131,0))*kgtoGg</f>
        <v>2.7278984193601779</v>
      </c>
      <c r="AN64" s="22">
        <f>INDEX('Activity data'!AN$24:AN$39,MATCH(Emissions!$D64,'Activity data'!$D$24:$D$39,0))*INDEX(EF!$H$84:$H$99,MATCH(Emissions!$D64,EF!$D$84:$D$99,0))*INDEX(EF!$H$100:$H$115,MATCH(Emissions!$D64,EF!$D$100:$D$115,0))*INDEX(EF!$H$116:$H$131,MATCH(Emissions!$D64,EF!$D$116:$D$131,0))*kgtoGg</f>
        <v>2.7194738174338302</v>
      </c>
      <c r="AO64" s="22">
        <f>INDEX('Activity data'!AO$24:AO$39,MATCH(Emissions!$D64,'Activity data'!$D$24:$D$39,0))*INDEX(EF!$H$84:$H$99,MATCH(Emissions!$D64,EF!$D$84:$D$99,0))*INDEX(EF!$H$100:$H$115,MATCH(Emissions!$D64,EF!$D$100:$D$115,0))*INDEX(EF!$H$116:$H$131,MATCH(Emissions!$D64,EF!$D$116:$D$131,0))*kgtoGg</f>
        <v>2.7110492155074826</v>
      </c>
      <c r="AP64" s="22">
        <f>INDEX('Activity data'!AP$24:AP$39,MATCH(Emissions!$D64,'Activity data'!$D$24:$D$39,0))*INDEX(EF!$H$84:$H$99,MATCH(Emissions!$D64,EF!$D$84:$D$99,0))*INDEX(EF!$H$100:$H$115,MATCH(Emissions!$D64,EF!$D$100:$D$115,0))*INDEX(EF!$H$116:$H$131,MATCH(Emissions!$D64,EF!$D$116:$D$131,0))*kgtoGg</f>
        <v>2.7026246135811345</v>
      </c>
      <c r="AQ64" s="22">
        <f>INDEX('Activity data'!AQ$24:AQ$39,MATCH(Emissions!$D64,'Activity data'!$D$24:$D$39,0))*INDEX(EF!$H$84:$H$99,MATCH(Emissions!$D64,EF!$D$84:$D$99,0))*INDEX(EF!$H$100:$H$115,MATCH(Emissions!$D64,EF!$D$100:$D$115,0))*INDEX(EF!$H$116:$H$131,MATCH(Emissions!$D64,EF!$D$116:$D$131,0))*kgtoGg</f>
        <v>2.6942000116547864</v>
      </c>
      <c r="AR64" s="22">
        <f>INDEX('Activity data'!AR$24:AR$39,MATCH(Emissions!$D64,'Activity data'!$D$24:$D$39,0))*INDEX(EF!$H$84:$H$99,MATCH(Emissions!$D64,EF!$D$84:$D$99,0))*INDEX(EF!$H$100:$H$115,MATCH(Emissions!$D64,EF!$D$100:$D$115,0))*INDEX(EF!$H$116:$H$131,MATCH(Emissions!$D64,EF!$D$116:$D$131,0))*kgtoGg</f>
        <v>2.6857754097284392</v>
      </c>
      <c r="AS64" s="22">
        <f>INDEX('Activity data'!AS$24:AS$39,MATCH(Emissions!$D64,'Activity data'!$D$24:$D$39,0))*INDEX(EF!$H$84:$H$99,MATCH(Emissions!$D64,EF!$D$84:$D$99,0))*INDEX(EF!$H$100:$H$115,MATCH(Emissions!$D64,EF!$D$100:$D$115,0))*INDEX(EF!$H$116:$H$131,MATCH(Emissions!$D64,EF!$D$116:$D$131,0))*kgtoGg</f>
        <v>2.6773508078020911</v>
      </c>
      <c r="AT64" s="22">
        <f>INDEX('Activity data'!AT$24:AT$39,MATCH(Emissions!$D64,'Activity data'!$D$24:$D$39,0))*INDEX(EF!$H$84:$H$99,MATCH(Emissions!$D64,EF!$D$84:$D$99,0))*INDEX(EF!$H$100:$H$115,MATCH(Emissions!$D64,EF!$D$100:$D$115,0))*INDEX(EF!$H$116:$H$131,MATCH(Emissions!$D64,EF!$D$116:$D$131,0))*kgtoGg</f>
        <v>2.668926205875743</v>
      </c>
      <c r="AU64" s="22">
        <f>INDEX('Activity data'!AU$24:AU$39,MATCH(Emissions!$D64,'Activity data'!$D$24:$D$39,0))*INDEX(EF!$H$84:$H$99,MATCH(Emissions!$D64,EF!$D$84:$D$99,0))*INDEX(EF!$H$100:$H$115,MATCH(Emissions!$D64,EF!$D$100:$D$115,0))*INDEX(EF!$H$116:$H$131,MATCH(Emissions!$D64,EF!$D$116:$D$131,0))*kgtoGg</f>
        <v>2.6605016039493949</v>
      </c>
      <c r="AV64" s="22">
        <f>INDEX('Activity data'!AV$24:AV$39,MATCH(Emissions!$D64,'Activity data'!$D$24:$D$39,0))*INDEX(EF!$H$84:$H$99,MATCH(Emissions!$D64,EF!$D$84:$D$99,0))*INDEX(EF!$H$100:$H$115,MATCH(Emissions!$D64,EF!$D$100:$D$115,0))*INDEX(EF!$H$116:$H$131,MATCH(Emissions!$D64,EF!$D$116:$D$131,0))*kgtoGg</f>
        <v>2.6520770020230477</v>
      </c>
      <c r="AW64" s="22">
        <f>INDEX('Activity data'!AW$24:AW$39,MATCH(Emissions!$D64,'Activity data'!$D$24:$D$39,0))*INDEX(EF!$H$84:$H$99,MATCH(Emissions!$D64,EF!$D$84:$D$99,0))*INDEX(EF!$H$100:$H$115,MATCH(Emissions!$D64,EF!$D$100:$D$115,0))*INDEX(EF!$H$116:$H$131,MATCH(Emissions!$D64,EF!$D$116:$D$131,0))*kgtoGg</f>
        <v>2.6436524000967001</v>
      </c>
      <c r="AX64" s="22">
        <f>INDEX('Activity data'!AX$24:AX$39,MATCH(Emissions!$D64,'Activity data'!$D$24:$D$39,0))*INDEX(EF!$H$84:$H$99,MATCH(Emissions!$D64,EF!$D$84:$D$99,0))*INDEX(EF!$H$100:$H$115,MATCH(Emissions!$D64,EF!$D$100:$D$115,0))*INDEX(EF!$H$116:$H$131,MATCH(Emissions!$D64,EF!$D$116:$D$131,0))*kgtoGg</f>
        <v>2.6352277981703516</v>
      </c>
      <c r="AY64" s="22">
        <f>INDEX('Activity data'!AY$24:AY$39,MATCH(Emissions!$D64,'Activity data'!$D$24:$D$39,0))*INDEX(EF!$H$84:$H$99,MATCH(Emissions!$D64,EF!$D$84:$D$99,0))*INDEX(EF!$H$100:$H$115,MATCH(Emissions!$D64,EF!$D$100:$D$115,0))*INDEX(EF!$H$116:$H$131,MATCH(Emissions!$D64,EF!$D$116:$D$131,0))*kgtoGg</f>
        <v>2.6268031962440044</v>
      </c>
      <c r="AZ64" s="22">
        <f>INDEX('Activity data'!AZ$24:AZ$39,MATCH(Emissions!$D64,'Activity data'!$D$24:$D$39,0))*INDEX(EF!$H$84:$H$99,MATCH(Emissions!$D64,EF!$D$84:$D$99,0))*INDEX(EF!$H$100:$H$115,MATCH(Emissions!$D64,EF!$D$100:$D$115,0))*INDEX(EF!$H$116:$H$131,MATCH(Emissions!$D64,EF!$D$116:$D$131,0))*kgtoGg</f>
        <v>2.6183785943176563</v>
      </c>
      <c r="BA64" s="22">
        <f>INDEX('Activity data'!BA$24:BA$39,MATCH(Emissions!$D64,'Activity data'!$D$24:$D$39,0))*INDEX(EF!$H$84:$H$99,MATCH(Emissions!$D64,EF!$D$84:$D$99,0))*INDEX(EF!$H$100:$H$115,MATCH(Emissions!$D64,EF!$D$100:$D$115,0))*INDEX(EF!$H$116:$H$131,MATCH(Emissions!$D64,EF!$D$116:$D$131,0))*kgtoGg</f>
        <v>2.6099539923913087</v>
      </c>
      <c r="BB64" s="22">
        <f>INDEX('Activity data'!BB$24:BB$39,MATCH(Emissions!$D64,'Activity data'!$D$24:$D$39,0))*INDEX(EF!$H$84:$H$99,MATCH(Emissions!$D64,EF!$D$84:$D$99,0))*INDEX(EF!$H$100:$H$115,MATCH(Emissions!$D64,EF!$D$100:$D$115,0))*INDEX(EF!$H$116:$H$131,MATCH(Emissions!$D64,EF!$D$116:$D$131,0))*kgtoGg</f>
        <v>2.601529390464961</v>
      </c>
      <c r="BC64" s="22">
        <f>INDEX('Activity data'!BC$24:BC$39,MATCH(Emissions!$D64,'Activity data'!$D$24:$D$39,0))*INDEX(EF!$H$84:$H$99,MATCH(Emissions!$D64,EF!$D$84:$D$99,0))*INDEX(EF!$H$100:$H$115,MATCH(Emissions!$D64,EF!$D$100:$D$115,0))*INDEX(EF!$H$116:$H$131,MATCH(Emissions!$D64,EF!$D$116:$D$131,0))*kgtoGg</f>
        <v>2.5931047885386134</v>
      </c>
      <c r="BD64" s="22">
        <f>INDEX('Activity data'!BD$24:BD$39,MATCH(Emissions!$D64,'Activity data'!$D$24:$D$39,0))*INDEX(EF!$H$84:$H$99,MATCH(Emissions!$D64,EF!$D$84:$D$99,0))*INDEX(EF!$H$100:$H$115,MATCH(Emissions!$D64,EF!$D$100:$D$115,0))*INDEX(EF!$H$116:$H$131,MATCH(Emissions!$D64,EF!$D$116:$D$131,0))*kgtoGg</f>
        <v>2.5846801866122653</v>
      </c>
      <c r="BE64" s="22">
        <f>INDEX('Activity data'!BE$24:BE$39,MATCH(Emissions!$D64,'Activity data'!$D$24:$D$39,0))*INDEX(EF!$H$84:$H$99,MATCH(Emissions!$D64,EF!$D$84:$D$99,0))*INDEX(EF!$H$100:$H$115,MATCH(Emissions!$D64,EF!$D$100:$D$115,0))*INDEX(EF!$H$116:$H$131,MATCH(Emissions!$D64,EF!$D$116:$D$131,0))*kgtoGg</f>
        <v>2.5762555846859176</v>
      </c>
      <c r="BF64" s="22">
        <f>INDEX('Activity data'!BF$24:BF$39,MATCH(Emissions!$D64,'Activity data'!$D$24:$D$39,0))*INDEX(EF!$H$84:$H$99,MATCH(Emissions!$D64,EF!$D$84:$D$99,0))*INDEX(EF!$H$100:$H$115,MATCH(Emissions!$D64,EF!$D$100:$D$115,0))*INDEX(EF!$H$116:$H$131,MATCH(Emissions!$D64,EF!$D$116:$D$131,0))*kgtoGg</f>
        <v>2.56783098275957</v>
      </c>
      <c r="BG64" s="22">
        <f>INDEX('Activity data'!BG$24:BG$39,MATCH(Emissions!$D64,'Activity data'!$D$24:$D$39,0))*INDEX(EF!$H$84:$H$99,MATCH(Emissions!$D64,EF!$D$84:$D$99,0))*INDEX(EF!$H$100:$H$115,MATCH(Emissions!$D64,EF!$D$100:$D$115,0))*INDEX(EF!$H$116:$H$131,MATCH(Emissions!$D64,EF!$D$116:$D$131,0))*kgtoGg</f>
        <v>2.5594063808332219</v>
      </c>
      <c r="BH64" s="22">
        <f>INDEX('Activity data'!BH$24:BH$39,MATCH(Emissions!$D64,'Activity data'!$D$24:$D$39,0))*INDEX(EF!$H$84:$H$99,MATCH(Emissions!$D64,EF!$D$84:$D$99,0))*INDEX(EF!$H$100:$H$115,MATCH(Emissions!$D64,EF!$D$100:$D$115,0))*INDEX(EF!$H$116:$H$131,MATCH(Emissions!$D64,EF!$D$116:$D$131,0))*kgtoGg</f>
        <v>2.5509817789068738</v>
      </c>
      <c r="BI64" s="22">
        <f>INDEX('Activity data'!BI$24:BI$39,MATCH(Emissions!$D64,'Activity data'!$D$24:$D$39,0))*INDEX(EF!$H$84:$H$99,MATCH(Emissions!$D64,EF!$D$84:$D$99,0))*INDEX(EF!$H$100:$H$115,MATCH(Emissions!$D64,EF!$D$100:$D$115,0))*INDEX(EF!$H$116:$H$131,MATCH(Emissions!$D64,EF!$D$116:$D$131,0))*kgtoGg</f>
        <v>2.5425571769805266</v>
      </c>
      <c r="BJ64" s="22">
        <f>INDEX('Activity data'!BJ$24:BJ$39,MATCH(Emissions!$D64,'Activity data'!$D$24:$D$39,0))*INDEX(EF!$H$84:$H$99,MATCH(Emissions!$D64,EF!$D$84:$D$99,0))*INDEX(EF!$H$100:$H$115,MATCH(Emissions!$D64,EF!$D$100:$D$115,0))*INDEX(EF!$H$116:$H$131,MATCH(Emissions!$D64,EF!$D$116:$D$131,0))*kgtoGg</f>
        <v>2.5341325750541785</v>
      </c>
      <c r="BK64" s="22">
        <f>INDEX('Activity data'!BK$24:BK$39,MATCH(Emissions!$D64,'Activity data'!$D$24:$D$39,0))*INDEX(EF!$H$84:$H$99,MATCH(Emissions!$D64,EF!$D$84:$D$99,0))*INDEX(EF!$H$100:$H$115,MATCH(Emissions!$D64,EF!$D$100:$D$115,0))*INDEX(EF!$H$116:$H$131,MATCH(Emissions!$D64,EF!$D$116:$D$131,0))*kgtoGg</f>
        <v>2.52570797312783</v>
      </c>
      <c r="BL64" s="22">
        <f>INDEX('Activity data'!BL$24:BL$39,MATCH(Emissions!$D64,'Activity data'!$D$24:$D$39,0))*INDEX(EF!$H$84:$H$99,MATCH(Emissions!$D64,EF!$D$84:$D$99,0))*INDEX(EF!$H$100:$H$115,MATCH(Emissions!$D64,EF!$D$100:$D$115,0))*INDEX(EF!$H$116:$H$131,MATCH(Emissions!$D64,EF!$D$116:$D$131,0))*kgtoGg</f>
        <v>2.5172833712014828</v>
      </c>
      <c r="BM64" s="22">
        <f>INDEX('Activity data'!BM$24:BM$39,MATCH(Emissions!$D64,'Activity data'!$D$24:$D$39,0))*INDEX(EF!$H$84:$H$99,MATCH(Emissions!$D64,EF!$D$84:$D$99,0))*INDEX(EF!$H$100:$H$115,MATCH(Emissions!$D64,EF!$D$100:$D$115,0))*INDEX(EF!$H$116:$H$131,MATCH(Emissions!$D64,EF!$D$116:$D$131,0))*kgtoGg</f>
        <v>2.5088587692751347</v>
      </c>
      <c r="BN64" s="22">
        <f>INDEX('Activity data'!BN$24:BN$39,MATCH(Emissions!$D64,'Activity data'!$D$24:$D$39,0))*INDEX(EF!$H$84:$H$99,MATCH(Emissions!$D64,EF!$D$84:$D$99,0))*INDEX(EF!$H$100:$H$115,MATCH(Emissions!$D64,EF!$D$100:$D$115,0))*INDEX(EF!$H$116:$H$131,MATCH(Emissions!$D64,EF!$D$116:$D$131,0))*kgtoGg</f>
        <v>2.5004341673487875</v>
      </c>
      <c r="BO64" s="22">
        <f>INDEX('Activity data'!BO$24:BO$39,MATCH(Emissions!$D64,'Activity data'!$D$24:$D$39,0))*INDEX(EF!$H$84:$H$99,MATCH(Emissions!$D64,EF!$D$84:$D$99,0))*INDEX(EF!$H$100:$H$115,MATCH(Emissions!$D64,EF!$D$100:$D$115,0))*INDEX(EF!$H$116:$H$131,MATCH(Emissions!$D64,EF!$D$116:$D$131,0))*kgtoGg</f>
        <v>2.4920095654224399</v>
      </c>
      <c r="BP64" s="22">
        <f>INDEX('Activity data'!BP$24:BP$39,MATCH(Emissions!$D64,'Activity data'!$D$24:$D$39,0))*INDEX(EF!$H$84:$H$99,MATCH(Emissions!$D64,EF!$D$84:$D$99,0))*INDEX(EF!$H$100:$H$115,MATCH(Emissions!$D64,EF!$D$100:$D$115,0))*INDEX(EF!$H$116:$H$131,MATCH(Emissions!$D64,EF!$D$116:$D$131,0))*kgtoGg</f>
        <v>2.4835849634960923</v>
      </c>
    </row>
    <row r="65" spans="1:68" x14ac:dyDescent="0.25">
      <c r="A65" t="str">
        <f t="shared" si="19"/>
        <v>3C Aggregated and non-CO2 emissions on land</v>
      </c>
      <c r="B65" t="str">
        <f t="shared" si="20"/>
        <v>3C1 Biomass burning (CH4)</v>
      </c>
      <c r="C65" t="str">
        <f>C64</f>
        <v>3C1c Biomass burning in Grasslands</v>
      </c>
      <c r="D65" t="str">
        <f>EF!D95</f>
        <v>Degraded land</v>
      </c>
      <c r="E65" t="s">
        <v>641</v>
      </c>
      <c r="F65" t="str">
        <f t="shared" si="21"/>
        <v>CH4</v>
      </c>
      <c r="G65" t="str">
        <f t="shared" si="22"/>
        <v>Gg CH4</v>
      </c>
      <c r="H65" s="22">
        <f>INDEX('Activity data'!H$24:H$39,MATCH(Emissions!$D65,'Activity data'!$D$24:$D$39,0))*INDEX(EF!$H$84:$H$99,MATCH(Emissions!$D65,EF!$D$84:$D$99,0))*INDEX(EF!$H$100:$H$115,MATCH(Emissions!$D65,EF!$D$100:$D$115,0))*INDEX(EF!$H$116:$H$131,MATCH(Emissions!$D65,EF!$D$116:$D$131,0))*kgtoGg</f>
        <v>0.28388450845043828</v>
      </c>
      <c r="I65" s="22">
        <f>INDEX('Activity data'!I$24:I$39,MATCH(Emissions!$D65,'Activity data'!$D$24:$D$39,0))*INDEX(EF!$H$84:$H$99,MATCH(Emissions!$D65,EF!$D$84:$D$99,0))*INDEX(EF!$H$100:$H$115,MATCH(Emissions!$D65,EF!$D$100:$D$115,0))*INDEX(EF!$H$116:$H$131,MATCH(Emissions!$D65,EF!$D$116:$D$131,0))*kgtoGg</f>
        <v>0.28388450845043828</v>
      </c>
      <c r="J65" s="22">
        <f>INDEX('Activity data'!J$24:J$39,MATCH(Emissions!$D65,'Activity data'!$D$24:$D$39,0))*INDEX(EF!$H$84:$H$99,MATCH(Emissions!$D65,EF!$D$84:$D$99,0))*INDEX(EF!$H$100:$H$115,MATCH(Emissions!$D65,EF!$D$100:$D$115,0))*INDEX(EF!$H$116:$H$131,MATCH(Emissions!$D65,EF!$D$116:$D$131,0))*kgtoGg</f>
        <v>0.28388450845043828</v>
      </c>
      <c r="K65" s="22">
        <f>INDEX('Activity data'!K$24:K$39,MATCH(Emissions!$D65,'Activity data'!$D$24:$D$39,0))*INDEX(EF!$H$84:$H$99,MATCH(Emissions!$D65,EF!$D$84:$D$99,0))*INDEX(EF!$H$100:$H$115,MATCH(Emissions!$D65,EF!$D$100:$D$115,0))*INDEX(EF!$H$116:$H$131,MATCH(Emissions!$D65,EF!$D$116:$D$131,0))*kgtoGg</f>
        <v>0.28388450845043828</v>
      </c>
      <c r="L65" s="22">
        <f>INDEX('Activity data'!L$24:L$39,MATCH(Emissions!$D65,'Activity data'!$D$24:$D$39,0))*INDEX(EF!$H$84:$H$99,MATCH(Emissions!$D65,EF!$D$84:$D$99,0))*INDEX(EF!$H$100:$H$115,MATCH(Emissions!$D65,EF!$D$100:$D$115,0))*INDEX(EF!$H$116:$H$131,MATCH(Emissions!$D65,EF!$D$116:$D$131,0))*kgtoGg</f>
        <v>0.28388450845043828</v>
      </c>
      <c r="M65" s="22">
        <f>INDEX('Activity data'!M$24:M$39,MATCH(Emissions!$D65,'Activity data'!$D$24:$D$39,0))*INDEX(EF!$H$84:$H$99,MATCH(Emissions!$D65,EF!$D$84:$D$99,0))*INDEX(EF!$H$100:$H$115,MATCH(Emissions!$D65,EF!$D$100:$D$115,0))*INDEX(EF!$H$116:$H$131,MATCH(Emissions!$D65,EF!$D$116:$D$131,0))*kgtoGg</f>
        <v>0.28388450845043828</v>
      </c>
      <c r="N65" s="22">
        <f>INDEX('Activity data'!N$24:N$39,MATCH(Emissions!$D65,'Activity data'!$D$24:$D$39,0))*INDEX(EF!$H$84:$H$99,MATCH(Emissions!$D65,EF!$D$84:$D$99,0))*INDEX(EF!$H$100:$H$115,MATCH(Emissions!$D65,EF!$D$100:$D$115,0))*INDEX(EF!$H$116:$H$131,MATCH(Emissions!$D65,EF!$D$116:$D$131,0))*kgtoGg</f>
        <v>0.28388450845043828</v>
      </c>
      <c r="O65" s="22">
        <f>INDEX('Activity data'!O$24:O$39,MATCH(Emissions!$D65,'Activity data'!$D$24:$D$39,0))*INDEX(EF!$H$84:$H$99,MATCH(Emissions!$D65,EF!$D$84:$D$99,0))*INDEX(EF!$H$100:$H$115,MATCH(Emissions!$D65,EF!$D$100:$D$115,0))*INDEX(EF!$H$116:$H$131,MATCH(Emissions!$D65,EF!$D$116:$D$131,0))*kgtoGg</f>
        <v>0.28388450845043828</v>
      </c>
      <c r="P65" s="22">
        <f>INDEX('Activity data'!P$24:P$39,MATCH(Emissions!$D65,'Activity data'!$D$24:$D$39,0))*INDEX(EF!$H$84:$H$99,MATCH(Emissions!$D65,EF!$D$84:$D$99,0))*INDEX(EF!$H$100:$H$115,MATCH(Emissions!$D65,EF!$D$100:$D$115,0))*INDEX(EF!$H$116:$H$131,MATCH(Emissions!$D65,EF!$D$116:$D$131,0))*kgtoGg</f>
        <v>0.28388450845043828</v>
      </c>
      <c r="Q65" s="22">
        <f>INDEX('Activity data'!Q$24:Q$39,MATCH(Emissions!$D65,'Activity data'!$D$24:$D$39,0))*INDEX(EF!$H$84:$H$99,MATCH(Emissions!$D65,EF!$D$84:$D$99,0))*INDEX(EF!$H$100:$H$115,MATCH(Emissions!$D65,EF!$D$100:$D$115,0))*INDEX(EF!$H$116:$H$131,MATCH(Emissions!$D65,EF!$D$116:$D$131,0))*kgtoGg</f>
        <v>0.28388450845043828</v>
      </c>
      <c r="R65" s="22">
        <f>INDEX('Activity data'!R$24:R$39,MATCH(Emissions!$D65,'Activity data'!$D$24:$D$39,0))*INDEX(EF!$H$84:$H$99,MATCH(Emissions!$D65,EF!$D$84:$D$99,0))*INDEX(EF!$H$100:$H$115,MATCH(Emissions!$D65,EF!$D$100:$D$115,0))*INDEX(EF!$H$116:$H$131,MATCH(Emissions!$D65,EF!$D$116:$D$131,0))*kgtoGg</f>
        <v>0.31237273176162411</v>
      </c>
      <c r="S65" s="22">
        <f>INDEX('Activity data'!S$24:S$39,MATCH(Emissions!$D65,'Activity data'!$D$24:$D$39,0))*INDEX(EF!$H$84:$H$99,MATCH(Emissions!$D65,EF!$D$84:$D$99,0))*INDEX(EF!$H$100:$H$115,MATCH(Emissions!$D65,EF!$D$100:$D$115,0))*INDEX(EF!$H$116:$H$131,MATCH(Emissions!$D65,EF!$D$116:$D$131,0))*kgtoGg</f>
        <v>0.28275941468330501</v>
      </c>
      <c r="T65" s="22">
        <f>INDEX('Activity data'!T$24:T$39,MATCH(Emissions!$D65,'Activity data'!$D$24:$D$39,0))*INDEX(EF!$H$84:$H$99,MATCH(Emissions!$D65,EF!$D$84:$D$99,0))*INDEX(EF!$H$100:$H$115,MATCH(Emissions!$D65,EF!$D$100:$D$115,0))*INDEX(EF!$H$116:$H$131,MATCH(Emissions!$D65,EF!$D$116:$D$131,0))*kgtoGg</f>
        <v>0.37849852581106064</v>
      </c>
      <c r="U65" s="22">
        <f>INDEX('Activity data'!U$24:U$39,MATCH(Emissions!$D65,'Activity data'!$D$24:$D$39,0))*INDEX(EF!$H$84:$H$99,MATCH(Emissions!$D65,EF!$D$84:$D$99,0))*INDEX(EF!$H$100:$H$115,MATCH(Emissions!$D65,EF!$D$100:$D$115,0))*INDEX(EF!$H$116:$H$131,MATCH(Emissions!$D65,EF!$D$116:$D$131,0))*kgtoGg</f>
        <v>0.11134182657762272</v>
      </c>
      <c r="V65" s="22">
        <f>INDEX('Activity data'!V$24:V$39,MATCH(Emissions!$D65,'Activity data'!$D$24:$D$39,0))*INDEX(EF!$H$84:$H$99,MATCH(Emissions!$D65,EF!$D$84:$D$99,0))*INDEX(EF!$H$100:$H$115,MATCH(Emissions!$D65,EF!$D$100:$D$115,0))*INDEX(EF!$H$116:$H$131,MATCH(Emissions!$D65,EF!$D$116:$D$131,0))*kgtoGg</f>
        <v>0.33445004341857892</v>
      </c>
      <c r="W65" s="22">
        <f>INDEX('Activity data'!W$24:W$39,MATCH(Emissions!$D65,'Activity data'!$D$24:$D$39,0))*INDEX(EF!$H$84:$H$99,MATCH(Emissions!$D65,EF!$D$84:$D$99,0))*INDEX(EF!$H$100:$H$115,MATCH(Emissions!$D65,EF!$D$100:$D$115,0))*INDEX(EF!$H$116:$H$131,MATCH(Emissions!$D65,EF!$D$116:$D$131,0))*kgtoGg</f>
        <v>0.40970395671079474</v>
      </c>
      <c r="X65" s="22">
        <f>INDEX('Activity data'!X$24:X$39,MATCH(Emissions!$D65,'Activity data'!$D$24:$D$39,0))*INDEX(EF!$H$84:$H$99,MATCH(Emissions!$D65,EF!$D$84:$D$99,0))*INDEX(EF!$H$100:$H$115,MATCH(Emissions!$D65,EF!$D$100:$D$115,0))*INDEX(EF!$H$116:$H$131,MATCH(Emissions!$D65,EF!$D$116:$D$131,0))*kgtoGg</f>
        <v>0.60701992964482765</v>
      </c>
      <c r="Y65" s="22">
        <f>INDEX('Activity data'!Y$24:Y$39,MATCH(Emissions!$D65,'Activity data'!$D$24:$D$39,0))*INDEX(EF!$H$84:$H$99,MATCH(Emissions!$D65,EF!$D$84:$D$99,0))*INDEX(EF!$H$100:$H$115,MATCH(Emissions!$D65,EF!$D$100:$D$115,0))*INDEX(EF!$H$116:$H$131,MATCH(Emissions!$D65,EF!$D$116:$D$131,0))*kgtoGg</f>
        <v>9.2342601642070338E-2</v>
      </c>
      <c r="Z65" s="22">
        <f>INDEX('Activity data'!Z$24:Z$39,MATCH(Emissions!$D65,'Activity data'!$D$24:$D$39,0))*INDEX(EF!$H$84:$H$99,MATCH(Emissions!$D65,EF!$D$84:$D$99,0))*INDEX(EF!$H$100:$H$115,MATCH(Emissions!$D65,EF!$D$100:$D$115,0))*INDEX(EF!$H$116:$H$131,MATCH(Emissions!$D65,EF!$D$116:$D$131,0))*kgtoGg</f>
        <v>0.43199355021060487</v>
      </c>
      <c r="AA65" s="22">
        <f>INDEX('Activity data'!AA$24:AA$39,MATCH(Emissions!$D65,'Activity data'!$D$24:$D$39,0))*INDEX(EF!$H$84:$H$99,MATCH(Emissions!$D65,EF!$D$84:$D$99,0))*INDEX(EF!$H$100:$H$115,MATCH(Emissions!$D65,EF!$D$100:$D$115,0))*INDEX(EF!$H$116:$H$131,MATCH(Emissions!$D65,EF!$D$116:$D$131,0))*kgtoGg</f>
        <v>0.2804243144118963</v>
      </c>
      <c r="AB65" s="22">
        <f>INDEX('Activity data'!AB$24:AB$39,MATCH(Emissions!$D65,'Activity data'!$D$24:$D$39,0))*INDEX(EF!$H$84:$H$99,MATCH(Emissions!$D65,EF!$D$84:$D$99,0))*INDEX(EF!$H$100:$H$115,MATCH(Emissions!$D65,EF!$D$100:$D$115,0))*INDEX(EF!$H$116:$H$131,MATCH(Emissions!$D65,EF!$D$116:$D$131,0))*kgtoGg</f>
        <v>0.37741233600000001</v>
      </c>
      <c r="AC65" s="22">
        <f>INDEX('Activity data'!AC$24:AC$39,MATCH(Emissions!$D65,'Activity data'!$D$24:$D$39,0))*INDEX(EF!$H$84:$H$99,MATCH(Emissions!$D65,EF!$D$84:$D$99,0))*INDEX(EF!$H$100:$H$115,MATCH(Emissions!$D65,EF!$D$100:$D$115,0))*INDEX(EF!$H$116:$H$131,MATCH(Emissions!$D65,EF!$D$116:$D$131,0))*kgtoGg</f>
        <v>0.44425760399999997</v>
      </c>
      <c r="AD65" s="22">
        <f>INDEX('Activity data'!AD$24:AD$39,MATCH(Emissions!$D65,'Activity data'!$D$24:$D$39,0))*INDEX(EF!$H$84:$H$99,MATCH(Emissions!$D65,EF!$D$84:$D$99,0))*INDEX(EF!$H$100:$H$115,MATCH(Emissions!$D65,EF!$D$100:$D$115,0))*INDEX(EF!$H$116:$H$131,MATCH(Emissions!$D65,EF!$D$116:$D$131,0))*kgtoGg</f>
        <v>0.26663358404846588</v>
      </c>
      <c r="AE65" s="22">
        <f>INDEX('Activity data'!AE$24:AE$39,MATCH(Emissions!$D65,'Activity data'!$D$24:$D$39,0))*INDEX(EF!$H$84:$H$99,MATCH(Emissions!$D65,EF!$D$84:$D$99,0))*INDEX(EF!$H$100:$H$115,MATCH(Emissions!$D65,EF!$D$100:$D$115,0))*INDEX(EF!$H$116:$H$131,MATCH(Emissions!$D65,EF!$D$116:$D$131,0))*kgtoGg</f>
        <v>0.26663358404846588</v>
      </c>
      <c r="AF65" s="22">
        <f>INDEX('Activity data'!AF$24:AF$39,MATCH(Emissions!$D65,'Activity data'!$D$24:$D$39,0))*INDEX(EF!$H$84:$H$99,MATCH(Emissions!$D65,EF!$D$84:$D$99,0))*INDEX(EF!$H$100:$H$115,MATCH(Emissions!$D65,EF!$D$100:$D$115,0))*INDEX(EF!$H$116:$H$131,MATCH(Emissions!$D65,EF!$D$116:$D$131,0))*kgtoGg</f>
        <v>0.26663358404846588</v>
      </c>
      <c r="AG65" s="22">
        <f>INDEX('Activity data'!AG$24:AG$39,MATCH(Emissions!$D65,'Activity data'!$D$24:$D$39,0))*INDEX(EF!$H$84:$H$99,MATCH(Emissions!$D65,EF!$D$84:$D$99,0))*INDEX(EF!$H$100:$H$115,MATCH(Emissions!$D65,EF!$D$100:$D$115,0))*INDEX(EF!$H$116:$H$131,MATCH(Emissions!$D65,EF!$D$116:$D$131,0))*kgtoGg</f>
        <v>0.26663358404846588</v>
      </c>
      <c r="AH65" s="22">
        <f>INDEX('Activity data'!AH$24:AH$39,MATCH(Emissions!$D65,'Activity data'!$D$24:$D$39,0))*INDEX(EF!$H$84:$H$99,MATCH(Emissions!$D65,EF!$D$84:$D$99,0))*INDEX(EF!$H$100:$H$115,MATCH(Emissions!$D65,EF!$D$100:$D$115,0))*INDEX(EF!$H$116:$H$131,MATCH(Emissions!$D65,EF!$D$116:$D$131,0))*kgtoGg</f>
        <v>0.26663358404846588</v>
      </c>
      <c r="AI65" s="22">
        <f>INDEX('Activity data'!AI$24:AI$39,MATCH(Emissions!$D65,'Activity data'!$D$24:$D$39,0))*INDEX(EF!$H$84:$H$99,MATCH(Emissions!$D65,EF!$D$84:$D$99,0))*INDEX(EF!$H$100:$H$115,MATCH(Emissions!$D65,EF!$D$100:$D$115,0))*INDEX(EF!$H$116:$H$131,MATCH(Emissions!$D65,EF!$D$116:$D$131,0))*kgtoGg</f>
        <v>0.26663358404846588</v>
      </c>
      <c r="AJ65" s="22">
        <f>INDEX('Activity data'!AJ$24:AJ$39,MATCH(Emissions!$D65,'Activity data'!$D$24:$D$39,0))*INDEX(EF!$H$84:$H$99,MATCH(Emissions!$D65,EF!$D$84:$D$99,0))*INDEX(EF!$H$100:$H$115,MATCH(Emissions!$D65,EF!$D$100:$D$115,0))*INDEX(EF!$H$116:$H$131,MATCH(Emissions!$D65,EF!$D$116:$D$131,0))*kgtoGg</f>
        <v>0.26663358404846588</v>
      </c>
      <c r="AK65" s="22">
        <f>INDEX('Activity data'!AK$24:AK$39,MATCH(Emissions!$D65,'Activity data'!$D$24:$D$39,0))*INDEX(EF!$H$84:$H$99,MATCH(Emissions!$D65,EF!$D$84:$D$99,0))*INDEX(EF!$H$100:$H$115,MATCH(Emissions!$D65,EF!$D$100:$D$115,0))*INDEX(EF!$H$116:$H$131,MATCH(Emissions!$D65,EF!$D$116:$D$131,0))*kgtoGg</f>
        <v>0.26663358404846588</v>
      </c>
      <c r="AL65" s="22">
        <f>INDEX('Activity data'!AL$24:AL$39,MATCH(Emissions!$D65,'Activity data'!$D$24:$D$39,0))*INDEX(EF!$H$84:$H$99,MATCH(Emissions!$D65,EF!$D$84:$D$99,0))*INDEX(EF!$H$100:$H$115,MATCH(Emissions!$D65,EF!$D$100:$D$115,0))*INDEX(EF!$H$116:$H$131,MATCH(Emissions!$D65,EF!$D$116:$D$131,0))*kgtoGg</f>
        <v>0.26663358404846588</v>
      </c>
      <c r="AM65" s="22">
        <f>INDEX('Activity data'!AM$24:AM$39,MATCH(Emissions!$D65,'Activity data'!$D$24:$D$39,0))*INDEX(EF!$H$84:$H$99,MATCH(Emissions!$D65,EF!$D$84:$D$99,0))*INDEX(EF!$H$100:$H$115,MATCH(Emissions!$D65,EF!$D$100:$D$115,0))*INDEX(EF!$H$116:$H$131,MATCH(Emissions!$D65,EF!$D$116:$D$131,0))*kgtoGg</f>
        <v>0.26663358404846588</v>
      </c>
      <c r="AN65" s="22">
        <f>INDEX('Activity data'!AN$24:AN$39,MATCH(Emissions!$D65,'Activity data'!$D$24:$D$39,0))*INDEX(EF!$H$84:$H$99,MATCH(Emissions!$D65,EF!$D$84:$D$99,0))*INDEX(EF!$H$100:$H$115,MATCH(Emissions!$D65,EF!$D$100:$D$115,0))*INDEX(EF!$H$116:$H$131,MATCH(Emissions!$D65,EF!$D$116:$D$131,0))*kgtoGg</f>
        <v>0.26663358404846588</v>
      </c>
      <c r="AO65" s="22">
        <f>INDEX('Activity data'!AO$24:AO$39,MATCH(Emissions!$D65,'Activity data'!$D$24:$D$39,0))*INDEX(EF!$H$84:$H$99,MATCH(Emissions!$D65,EF!$D$84:$D$99,0))*INDEX(EF!$H$100:$H$115,MATCH(Emissions!$D65,EF!$D$100:$D$115,0))*INDEX(EF!$H$116:$H$131,MATCH(Emissions!$D65,EF!$D$116:$D$131,0))*kgtoGg</f>
        <v>0.26663358404846588</v>
      </c>
      <c r="AP65" s="22">
        <f>INDEX('Activity data'!AP$24:AP$39,MATCH(Emissions!$D65,'Activity data'!$D$24:$D$39,0))*INDEX(EF!$H$84:$H$99,MATCH(Emissions!$D65,EF!$D$84:$D$99,0))*INDEX(EF!$H$100:$H$115,MATCH(Emissions!$D65,EF!$D$100:$D$115,0))*INDEX(EF!$H$116:$H$131,MATCH(Emissions!$D65,EF!$D$116:$D$131,0))*kgtoGg</f>
        <v>0.26663358404846588</v>
      </c>
      <c r="AQ65" s="22">
        <f>INDEX('Activity data'!AQ$24:AQ$39,MATCH(Emissions!$D65,'Activity data'!$D$24:$D$39,0))*INDEX(EF!$H$84:$H$99,MATCH(Emissions!$D65,EF!$D$84:$D$99,0))*INDEX(EF!$H$100:$H$115,MATCH(Emissions!$D65,EF!$D$100:$D$115,0))*INDEX(EF!$H$116:$H$131,MATCH(Emissions!$D65,EF!$D$116:$D$131,0))*kgtoGg</f>
        <v>0.26663358404846588</v>
      </c>
      <c r="AR65" s="22">
        <f>INDEX('Activity data'!AR$24:AR$39,MATCH(Emissions!$D65,'Activity data'!$D$24:$D$39,0))*INDEX(EF!$H$84:$H$99,MATCH(Emissions!$D65,EF!$D$84:$D$99,0))*INDEX(EF!$H$100:$H$115,MATCH(Emissions!$D65,EF!$D$100:$D$115,0))*INDEX(EF!$H$116:$H$131,MATCH(Emissions!$D65,EF!$D$116:$D$131,0))*kgtoGg</f>
        <v>0.26663358404846588</v>
      </c>
      <c r="AS65" s="22">
        <f>INDEX('Activity data'!AS$24:AS$39,MATCH(Emissions!$D65,'Activity data'!$D$24:$D$39,0))*INDEX(EF!$H$84:$H$99,MATCH(Emissions!$D65,EF!$D$84:$D$99,0))*INDEX(EF!$H$100:$H$115,MATCH(Emissions!$D65,EF!$D$100:$D$115,0))*INDEX(EF!$H$116:$H$131,MATCH(Emissions!$D65,EF!$D$116:$D$131,0))*kgtoGg</f>
        <v>0.26663358404846588</v>
      </c>
      <c r="AT65" s="22">
        <f>INDEX('Activity data'!AT$24:AT$39,MATCH(Emissions!$D65,'Activity data'!$D$24:$D$39,0))*INDEX(EF!$H$84:$H$99,MATCH(Emissions!$D65,EF!$D$84:$D$99,0))*INDEX(EF!$H$100:$H$115,MATCH(Emissions!$D65,EF!$D$100:$D$115,0))*INDEX(EF!$H$116:$H$131,MATCH(Emissions!$D65,EF!$D$116:$D$131,0))*kgtoGg</f>
        <v>0.26663358404846588</v>
      </c>
      <c r="AU65" s="22">
        <f>INDEX('Activity data'!AU$24:AU$39,MATCH(Emissions!$D65,'Activity data'!$D$24:$D$39,0))*INDEX(EF!$H$84:$H$99,MATCH(Emissions!$D65,EF!$D$84:$D$99,0))*INDEX(EF!$H$100:$H$115,MATCH(Emissions!$D65,EF!$D$100:$D$115,0))*INDEX(EF!$H$116:$H$131,MATCH(Emissions!$D65,EF!$D$116:$D$131,0))*kgtoGg</f>
        <v>0.26663358404846588</v>
      </c>
      <c r="AV65" s="22">
        <f>INDEX('Activity data'!AV$24:AV$39,MATCH(Emissions!$D65,'Activity data'!$D$24:$D$39,0))*INDEX(EF!$H$84:$H$99,MATCH(Emissions!$D65,EF!$D$84:$D$99,0))*INDEX(EF!$H$100:$H$115,MATCH(Emissions!$D65,EF!$D$100:$D$115,0))*INDEX(EF!$H$116:$H$131,MATCH(Emissions!$D65,EF!$D$116:$D$131,0))*kgtoGg</f>
        <v>0.26663358404846588</v>
      </c>
      <c r="AW65" s="22">
        <f>INDEX('Activity data'!AW$24:AW$39,MATCH(Emissions!$D65,'Activity data'!$D$24:$D$39,0))*INDEX(EF!$H$84:$H$99,MATCH(Emissions!$D65,EF!$D$84:$D$99,0))*INDEX(EF!$H$100:$H$115,MATCH(Emissions!$D65,EF!$D$100:$D$115,0))*INDEX(EF!$H$116:$H$131,MATCH(Emissions!$D65,EF!$D$116:$D$131,0))*kgtoGg</f>
        <v>0.26663358404846588</v>
      </c>
      <c r="AX65" s="22">
        <f>INDEX('Activity data'!AX$24:AX$39,MATCH(Emissions!$D65,'Activity data'!$D$24:$D$39,0))*INDEX(EF!$H$84:$H$99,MATCH(Emissions!$D65,EF!$D$84:$D$99,0))*INDEX(EF!$H$100:$H$115,MATCH(Emissions!$D65,EF!$D$100:$D$115,0))*INDEX(EF!$H$116:$H$131,MATCH(Emissions!$D65,EF!$D$116:$D$131,0))*kgtoGg</f>
        <v>0.26663358404846588</v>
      </c>
      <c r="AY65" s="22">
        <f>INDEX('Activity data'!AY$24:AY$39,MATCH(Emissions!$D65,'Activity data'!$D$24:$D$39,0))*INDEX(EF!$H$84:$H$99,MATCH(Emissions!$D65,EF!$D$84:$D$99,0))*INDEX(EF!$H$100:$H$115,MATCH(Emissions!$D65,EF!$D$100:$D$115,0))*INDEX(EF!$H$116:$H$131,MATCH(Emissions!$D65,EF!$D$116:$D$131,0))*kgtoGg</f>
        <v>0.26663358404846588</v>
      </c>
      <c r="AZ65" s="22">
        <f>INDEX('Activity data'!AZ$24:AZ$39,MATCH(Emissions!$D65,'Activity data'!$D$24:$D$39,0))*INDEX(EF!$H$84:$H$99,MATCH(Emissions!$D65,EF!$D$84:$D$99,0))*INDEX(EF!$H$100:$H$115,MATCH(Emissions!$D65,EF!$D$100:$D$115,0))*INDEX(EF!$H$116:$H$131,MATCH(Emissions!$D65,EF!$D$116:$D$131,0))*kgtoGg</f>
        <v>0.26663358404846588</v>
      </c>
      <c r="BA65" s="22">
        <f>INDEX('Activity data'!BA$24:BA$39,MATCH(Emissions!$D65,'Activity data'!$D$24:$D$39,0))*INDEX(EF!$H$84:$H$99,MATCH(Emissions!$D65,EF!$D$84:$D$99,0))*INDEX(EF!$H$100:$H$115,MATCH(Emissions!$D65,EF!$D$100:$D$115,0))*INDEX(EF!$H$116:$H$131,MATCH(Emissions!$D65,EF!$D$116:$D$131,0))*kgtoGg</f>
        <v>0.26663358404846588</v>
      </c>
      <c r="BB65" s="22">
        <f>INDEX('Activity data'!BB$24:BB$39,MATCH(Emissions!$D65,'Activity data'!$D$24:$D$39,0))*INDEX(EF!$H$84:$H$99,MATCH(Emissions!$D65,EF!$D$84:$D$99,0))*INDEX(EF!$H$100:$H$115,MATCH(Emissions!$D65,EF!$D$100:$D$115,0))*INDEX(EF!$H$116:$H$131,MATCH(Emissions!$D65,EF!$D$116:$D$131,0))*kgtoGg</f>
        <v>0.26663358404846588</v>
      </c>
      <c r="BC65" s="22">
        <f>INDEX('Activity data'!BC$24:BC$39,MATCH(Emissions!$D65,'Activity data'!$D$24:$D$39,0))*INDEX(EF!$H$84:$H$99,MATCH(Emissions!$D65,EF!$D$84:$D$99,0))*INDEX(EF!$H$100:$H$115,MATCH(Emissions!$D65,EF!$D$100:$D$115,0))*INDEX(EF!$H$116:$H$131,MATCH(Emissions!$D65,EF!$D$116:$D$131,0))*kgtoGg</f>
        <v>0.26663358404846588</v>
      </c>
      <c r="BD65" s="22">
        <f>INDEX('Activity data'!BD$24:BD$39,MATCH(Emissions!$D65,'Activity data'!$D$24:$D$39,0))*INDEX(EF!$H$84:$H$99,MATCH(Emissions!$D65,EF!$D$84:$D$99,0))*INDEX(EF!$H$100:$H$115,MATCH(Emissions!$D65,EF!$D$100:$D$115,0))*INDEX(EF!$H$116:$H$131,MATCH(Emissions!$D65,EF!$D$116:$D$131,0))*kgtoGg</f>
        <v>0.26663358404846588</v>
      </c>
      <c r="BE65" s="22">
        <f>INDEX('Activity data'!BE$24:BE$39,MATCH(Emissions!$D65,'Activity data'!$D$24:$D$39,0))*INDEX(EF!$H$84:$H$99,MATCH(Emissions!$D65,EF!$D$84:$D$99,0))*INDEX(EF!$H$100:$H$115,MATCH(Emissions!$D65,EF!$D$100:$D$115,0))*INDEX(EF!$H$116:$H$131,MATCH(Emissions!$D65,EF!$D$116:$D$131,0))*kgtoGg</f>
        <v>0.26663358404846588</v>
      </c>
      <c r="BF65" s="22">
        <f>INDEX('Activity data'!BF$24:BF$39,MATCH(Emissions!$D65,'Activity data'!$D$24:$D$39,0))*INDEX(EF!$H$84:$H$99,MATCH(Emissions!$D65,EF!$D$84:$D$99,0))*INDEX(EF!$H$100:$H$115,MATCH(Emissions!$D65,EF!$D$100:$D$115,0))*INDEX(EF!$H$116:$H$131,MATCH(Emissions!$D65,EF!$D$116:$D$131,0))*kgtoGg</f>
        <v>0.26663358404846588</v>
      </c>
      <c r="BG65" s="22">
        <f>INDEX('Activity data'!BG$24:BG$39,MATCH(Emissions!$D65,'Activity data'!$D$24:$D$39,0))*INDEX(EF!$H$84:$H$99,MATCH(Emissions!$D65,EF!$D$84:$D$99,0))*INDEX(EF!$H$100:$H$115,MATCH(Emissions!$D65,EF!$D$100:$D$115,0))*INDEX(EF!$H$116:$H$131,MATCH(Emissions!$D65,EF!$D$116:$D$131,0))*kgtoGg</f>
        <v>0.26663358404846588</v>
      </c>
      <c r="BH65" s="22">
        <f>INDEX('Activity data'!BH$24:BH$39,MATCH(Emissions!$D65,'Activity data'!$D$24:$D$39,0))*INDEX(EF!$H$84:$H$99,MATCH(Emissions!$D65,EF!$D$84:$D$99,0))*INDEX(EF!$H$100:$H$115,MATCH(Emissions!$D65,EF!$D$100:$D$115,0))*INDEX(EF!$H$116:$H$131,MATCH(Emissions!$D65,EF!$D$116:$D$131,0))*kgtoGg</f>
        <v>0.26663358404846588</v>
      </c>
      <c r="BI65" s="22">
        <f>INDEX('Activity data'!BI$24:BI$39,MATCH(Emissions!$D65,'Activity data'!$D$24:$D$39,0))*INDEX(EF!$H$84:$H$99,MATCH(Emissions!$D65,EF!$D$84:$D$99,0))*INDEX(EF!$H$100:$H$115,MATCH(Emissions!$D65,EF!$D$100:$D$115,0))*INDEX(EF!$H$116:$H$131,MATCH(Emissions!$D65,EF!$D$116:$D$131,0))*kgtoGg</f>
        <v>0.26663358404846588</v>
      </c>
      <c r="BJ65" s="22">
        <f>INDEX('Activity data'!BJ$24:BJ$39,MATCH(Emissions!$D65,'Activity data'!$D$24:$D$39,0))*INDEX(EF!$H$84:$H$99,MATCH(Emissions!$D65,EF!$D$84:$D$99,0))*INDEX(EF!$H$100:$H$115,MATCH(Emissions!$D65,EF!$D$100:$D$115,0))*INDEX(EF!$H$116:$H$131,MATCH(Emissions!$D65,EF!$D$116:$D$131,0))*kgtoGg</f>
        <v>0.26663358404846588</v>
      </c>
      <c r="BK65" s="22">
        <f>INDEX('Activity data'!BK$24:BK$39,MATCH(Emissions!$D65,'Activity data'!$D$24:$D$39,0))*INDEX(EF!$H$84:$H$99,MATCH(Emissions!$D65,EF!$D$84:$D$99,0))*INDEX(EF!$H$100:$H$115,MATCH(Emissions!$D65,EF!$D$100:$D$115,0))*INDEX(EF!$H$116:$H$131,MATCH(Emissions!$D65,EF!$D$116:$D$131,0))*kgtoGg</f>
        <v>0.26663358404846588</v>
      </c>
      <c r="BL65" s="22">
        <f>INDEX('Activity data'!BL$24:BL$39,MATCH(Emissions!$D65,'Activity data'!$D$24:$D$39,0))*INDEX(EF!$H$84:$H$99,MATCH(Emissions!$D65,EF!$D$84:$D$99,0))*INDEX(EF!$H$100:$H$115,MATCH(Emissions!$D65,EF!$D$100:$D$115,0))*INDEX(EF!$H$116:$H$131,MATCH(Emissions!$D65,EF!$D$116:$D$131,0))*kgtoGg</f>
        <v>0.26663358404846588</v>
      </c>
      <c r="BM65" s="22">
        <f>INDEX('Activity data'!BM$24:BM$39,MATCH(Emissions!$D65,'Activity data'!$D$24:$D$39,0))*INDEX(EF!$H$84:$H$99,MATCH(Emissions!$D65,EF!$D$84:$D$99,0))*INDEX(EF!$H$100:$H$115,MATCH(Emissions!$D65,EF!$D$100:$D$115,0))*INDEX(EF!$H$116:$H$131,MATCH(Emissions!$D65,EF!$D$116:$D$131,0))*kgtoGg</f>
        <v>0.26663358404846588</v>
      </c>
      <c r="BN65" s="22">
        <f>INDEX('Activity data'!BN$24:BN$39,MATCH(Emissions!$D65,'Activity data'!$D$24:$D$39,0))*INDEX(EF!$H$84:$H$99,MATCH(Emissions!$D65,EF!$D$84:$D$99,0))*INDEX(EF!$H$100:$H$115,MATCH(Emissions!$D65,EF!$D$100:$D$115,0))*INDEX(EF!$H$116:$H$131,MATCH(Emissions!$D65,EF!$D$116:$D$131,0))*kgtoGg</f>
        <v>0.26663358404846588</v>
      </c>
      <c r="BO65" s="22">
        <f>INDEX('Activity data'!BO$24:BO$39,MATCH(Emissions!$D65,'Activity data'!$D$24:$D$39,0))*INDEX(EF!$H$84:$H$99,MATCH(Emissions!$D65,EF!$D$84:$D$99,0))*INDEX(EF!$H$100:$H$115,MATCH(Emissions!$D65,EF!$D$100:$D$115,0))*INDEX(EF!$H$116:$H$131,MATCH(Emissions!$D65,EF!$D$116:$D$131,0))*kgtoGg</f>
        <v>0.26663358404846588</v>
      </c>
      <c r="BP65" s="22">
        <f>INDEX('Activity data'!BP$24:BP$39,MATCH(Emissions!$D65,'Activity data'!$D$24:$D$39,0))*INDEX(EF!$H$84:$H$99,MATCH(Emissions!$D65,EF!$D$84:$D$99,0))*INDEX(EF!$H$100:$H$115,MATCH(Emissions!$D65,EF!$D$100:$D$115,0))*INDEX(EF!$H$116:$H$131,MATCH(Emissions!$D65,EF!$D$116:$D$131,0))*kgtoGg</f>
        <v>0.26663358404846588</v>
      </c>
    </row>
    <row r="66" spans="1:68" x14ac:dyDescent="0.25">
      <c r="A66" t="str">
        <f t="shared" si="19"/>
        <v>3C Aggregated and non-CO2 emissions on land</v>
      </c>
      <c r="B66" t="str">
        <f t="shared" si="20"/>
        <v>3C1 Biomass burning (CH4)</v>
      </c>
      <c r="C66" t="str">
        <f>'IPCC Categories'!C62</f>
        <v>3C1d Biomass burning in Wetlands</v>
      </c>
      <c r="D66" t="str">
        <f>EF!D96</f>
        <v>Wetlands</v>
      </c>
      <c r="E66" t="s">
        <v>652</v>
      </c>
      <c r="F66" t="str">
        <f t="shared" ref="F66:F69" si="23">F65</f>
        <v>CH4</v>
      </c>
      <c r="G66" t="str">
        <f t="shared" ref="G66:G69" si="24">G65</f>
        <v>Gg CH4</v>
      </c>
      <c r="H66" s="22">
        <f>INDEX('Activity data'!H$24:H$39,MATCH(Emissions!$D66,'Activity data'!$D$24:$D$39,0))*INDEX(EF!$H$84:$H$99,MATCH(Emissions!$D66,EF!$D$84:$D$99,0))*INDEX(EF!$H$100:$H$115,MATCH(Emissions!$D66,EF!$D$100:$D$115,0))*INDEX(EF!$H$116:$H$131,MATCH(Emissions!$D66,EF!$D$116:$D$131,0))*kgtoGg</f>
        <v>0.80577517347341965</v>
      </c>
      <c r="I66" s="22">
        <f>INDEX('Activity data'!I$24:I$39,MATCH(Emissions!$D66,'Activity data'!$D$24:$D$39,0))*INDEX(EF!$H$84:$H$99,MATCH(Emissions!$D66,EF!$D$84:$D$99,0))*INDEX(EF!$H$100:$H$115,MATCH(Emissions!$D66,EF!$D$100:$D$115,0))*INDEX(EF!$H$116:$H$131,MATCH(Emissions!$D66,EF!$D$116:$D$131,0))*kgtoGg</f>
        <v>0.80577517347341965</v>
      </c>
      <c r="J66" s="22">
        <f>INDEX('Activity data'!J$24:J$39,MATCH(Emissions!$D66,'Activity data'!$D$24:$D$39,0))*INDEX(EF!$H$84:$H$99,MATCH(Emissions!$D66,EF!$D$84:$D$99,0))*INDEX(EF!$H$100:$H$115,MATCH(Emissions!$D66,EF!$D$100:$D$115,0))*INDEX(EF!$H$116:$H$131,MATCH(Emissions!$D66,EF!$D$116:$D$131,0))*kgtoGg</f>
        <v>0.80577517347341965</v>
      </c>
      <c r="K66" s="22">
        <f>INDEX('Activity data'!K$24:K$39,MATCH(Emissions!$D66,'Activity data'!$D$24:$D$39,0))*INDEX(EF!$H$84:$H$99,MATCH(Emissions!$D66,EF!$D$84:$D$99,0))*INDEX(EF!$H$100:$H$115,MATCH(Emissions!$D66,EF!$D$100:$D$115,0))*INDEX(EF!$H$116:$H$131,MATCH(Emissions!$D66,EF!$D$116:$D$131,0))*kgtoGg</f>
        <v>0.80577517347341965</v>
      </c>
      <c r="L66" s="22">
        <f>INDEX('Activity data'!L$24:L$39,MATCH(Emissions!$D66,'Activity data'!$D$24:$D$39,0))*INDEX(EF!$H$84:$H$99,MATCH(Emissions!$D66,EF!$D$84:$D$99,0))*INDEX(EF!$H$100:$H$115,MATCH(Emissions!$D66,EF!$D$100:$D$115,0))*INDEX(EF!$H$116:$H$131,MATCH(Emissions!$D66,EF!$D$116:$D$131,0))*kgtoGg</f>
        <v>0.80577517347341965</v>
      </c>
      <c r="M66" s="22">
        <f>INDEX('Activity data'!M$24:M$39,MATCH(Emissions!$D66,'Activity data'!$D$24:$D$39,0))*INDEX(EF!$H$84:$H$99,MATCH(Emissions!$D66,EF!$D$84:$D$99,0))*INDEX(EF!$H$100:$H$115,MATCH(Emissions!$D66,EF!$D$100:$D$115,0))*INDEX(EF!$H$116:$H$131,MATCH(Emissions!$D66,EF!$D$116:$D$131,0))*kgtoGg</f>
        <v>0.80577517347341965</v>
      </c>
      <c r="N66" s="22">
        <f>INDEX('Activity data'!N$24:N$39,MATCH(Emissions!$D66,'Activity data'!$D$24:$D$39,0))*INDEX(EF!$H$84:$H$99,MATCH(Emissions!$D66,EF!$D$84:$D$99,0))*INDEX(EF!$H$100:$H$115,MATCH(Emissions!$D66,EF!$D$100:$D$115,0))*INDEX(EF!$H$116:$H$131,MATCH(Emissions!$D66,EF!$D$116:$D$131,0))*kgtoGg</f>
        <v>0.80577517347341965</v>
      </c>
      <c r="O66" s="22">
        <f>INDEX('Activity data'!O$24:O$39,MATCH(Emissions!$D66,'Activity data'!$D$24:$D$39,0))*INDEX(EF!$H$84:$H$99,MATCH(Emissions!$D66,EF!$D$84:$D$99,0))*INDEX(EF!$H$100:$H$115,MATCH(Emissions!$D66,EF!$D$100:$D$115,0))*INDEX(EF!$H$116:$H$131,MATCH(Emissions!$D66,EF!$D$116:$D$131,0))*kgtoGg</f>
        <v>0.80577517347341965</v>
      </c>
      <c r="P66" s="22">
        <f>INDEX('Activity data'!P$24:P$39,MATCH(Emissions!$D66,'Activity data'!$D$24:$D$39,0))*INDEX(EF!$H$84:$H$99,MATCH(Emissions!$D66,EF!$D$84:$D$99,0))*INDEX(EF!$H$100:$H$115,MATCH(Emissions!$D66,EF!$D$100:$D$115,0))*INDEX(EF!$H$116:$H$131,MATCH(Emissions!$D66,EF!$D$116:$D$131,0))*kgtoGg</f>
        <v>0.80577517347341965</v>
      </c>
      <c r="Q66" s="22">
        <f>INDEX('Activity data'!Q$24:Q$39,MATCH(Emissions!$D66,'Activity data'!$D$24:$D$39,0))*INDEX(EF!$H$84:$H$99,MATCH(Emissions!$D66,EF!$D$84:$D$99,0))*INDEX(EF!$H$100:$H$115,MATCH(Emissions!$D66,EF!$D$100:$D$115,0))*INDEX(EF!$H$116:$H$131,MATCH(Emissions!$D66,EF!$D$116:$D$131,0))*kgtoGg</f>
        <v>0.80577517347341965</v>
      </c>
      <c r="R66" s="22">
        <f>INDEX('Activity data'!R$24:R$39,MATCH(Emissions!$D66,'Activity data'!$D$24:$D$39,0))*INDEX(EF!$H$84:$H$99,MATCH(Emissions!$D66,EF!$D$84:$D$99,0))*INDEX(EF!$H$100:$H$115,MATCH(Emissions!$D66,EF!$D$100:$D$115,0))*INDEX(EF!$H$116:$H$131,MATCH(Emissions!$D66,EF!$D$116:$D$131,0))*kgtoGg</f>
        <v>0.71282120012392636</v>
      </c>
      <c r="S66" s="22">
        <f>INDEX('Activity data'!S$24:S$39,MATCH(Emissions!$D66,'Activity data'!$D$24:$D$39,0))*INDEX(EF!$H$84:$H$99,MATCH(Emissions!$D66,EF!$D$84:$D$99,0))*INDEX(EF!$H$100:$H$115,MATCH(Emissions!$D66,EF!$D$100:$D$115,0))*INDEX(EF!$H$116:$H$131,MATCH(Emissions!$D66,EF!$D$116:$D$131,0))*kgtoGg</f>
        <v>0.86099923348302065</v>
      </c>
      <c r="T66" s="22">
        <f>INDEX('Activity data'!T$24:T$39,MATCH(Emissions!$D66,'Activity data'!$D$24:$D$39,0))*INDEX(EF!$H$84:$H$99,MATCH(Emissions!$D66,EF!$D$84:$D$99,0))*INDEX(EF!$H$100:$H$115,MATCH(Emissions!$D66,EF!$D$100:$D$115,0))*INDEX(EF!$H$116:$H$131,MATCH(Emissions!$D66,EF!$D$116:$D$131,0))*kgtoGg</f>
        <v>0.97458063350276725</v>
      </c>
      <c r="U66" s="22">
        <f>INDEX('Activity data'!U$24:U$39,MATCH(Emissions!$D66,'Activity data'!$D$24:$D$39,0))*INDEX(EF!$H$84:$H$99,MATCH(Emissions!$D66,EF!$D$84:$D$99,0))*INDEX(EF!$H$100:$H$115,MATCH(Emissions!$D66,EF!$D$100:$D$115,0))*INDEX(EF!$H$116:$H$131,MATCH(Emissions!$D66,EF!$D$116:$D$131,0))*kgtoGg</f>
        <v>0.79724568902749249</v>
      </c>
      <c r="V66" s="22">
        <f>INDEX('Activity data'!V$24:V$39,MATCH(Emissions!$D66,'Activity data'!$D$24:$D$39,0))*INDEX(EF!$H$84:$H$99,MATCH(Emissions!$D66,EF!$D$84:$D$99,0))*INDEX(EF!$H$100:$H$115,MATCH(Emissions!$D66,EF!$D$100:$D$115,0))*INDEX(EF!$H$116:$H$131,MATCH(Emissions!$D66,EF!$D$116:$D$131,0))*kgtoGg</f>
        <v>0.68322911122989261</v>
      </c>
      <c r="W66" s="22">
        <f>INDEX('Activity data'!W$24:W$39,MATCH(Emissions!$D66,'Activity data'!$D$24:$D$39,0))*INDEX(EF!$H$84:$H$99,MATCH(Emissions!$D66,EF!$D$84:$D$99,0))*INDEX(EF!$H$100:$H$115,MATCH(Emissions!$D66,EF!$D$100:$D$115,0))*INDEX(EF!$H$116:$H$131,MATCH(Emissions!$D66,EF!$D$116:$D$131,0))*kgtoGg</f>
        <v>1.0109179779535291</v>
      </c>
      <c r="X66" s="22">
        <f>INDEX('Activity data'!X$24:X$39,MATCH(Emissions!$D66,'Activity data'!$D$24:$D$39,0))*INDEX(EF!$H$84:$H$99,MATCH(Emissions!$D66,EF!$D$84:$D$99,0))*INDEX(EF!$H$100:$H$115,MATCH(Emissions!$D66,EF!$D$100:$D$115,0))*INDEX(EF!$H$116:$H$131,MATCH(Emissions!$D66,EF!$D$116:$D$131,0))*kgtoGg</f>
        <v>0.89733657793378252</v>
      </c>
      <c r="Y66" s="22">
        <f>INDEX('Activity data'!Y$24:Y$39,MATCH(Emissions!$D66,'Activity data'!$D$24:$D$39,0))*INDEX(EF!$H$84:$H$99,MATCH(Emissions!$D66,EF!$D$84:$D$99,0))*INDEX(EF!$H$100:$H$115,MATCH(Emissions!$D66,EF!$D$100:$D$115,0))*INDEX(EF!$H$116:$H$131,MATCH(Emissions!$D66,EF!$D$116:$D$131,0))*kgtoGg</f>
        <v>0.79050043347076437</v>
      </c>
      <c r="Z66" s="22">
        <f>INDEX('Activity data'!Z$24:Z$39,MATCH(Emissions!$D66,'Activity data'!$D$24:$D$39,0))*INDEX(EF!$H$84:$H$99,MATCH(Emissions!$D66,EF!$D$84:$D$99,0))*INDEX(EF!$H$100:$H$115,MATCH(Emissions!$D66,EF!$D$100:$D$115,0))*INDEX(EF!$H$116:$H$131,MATCH(Emissions!$D66,EF!$D$116:$D$131,0))*kgtoGg</f>
        <v>0.72087198901421468</v>
      </c>
      <c r="AA66" s="22">
        <f>INDEX('Activity data'!AA$24:AA$39,MATCH(Emissions!$D66,'Activity data'!$D$24:$D$39,0))*INDEX(EF!$H$84:$H$99,MATCH(Emissions!$D66,EF!$D$84:$D$99,0))*INDEX(EF!$H$100:$H$115,MATCH(Emissions!$D66,EF!$D$100:$D$115,0))*INDEX(EF!$H$116:$H$131,MATCH(Emissions!$D66,EF!$D$116:$D$131,0))*kgtoGg</f>
        <v>0.80964825569631549</v>
      </c>
      <c r="AB66" s="22">
        <f>INDEX('Activity data'!AB$24:AB$39,MATCH(Emissions!$D66,'Activity data'!$D$24:$D$39,0))*INDEX(EF!$H$84:$H$99,MATCH(Emissions!$D66,EF!$D$84:$D$99,0))*INDEX(EF!$H$100:$H$115,MATCH(Emissions!$D66,EF!$D$100:$D$115,0))*INDEX(EF!$H$116:$H$131,MATCH(Emissions!$D66,EF!$D$116:$D$131,0))*kgtoGg</f>
        <v>1.0836294956999997</v>
      </c>
      <c r="AC66" s="22">
        <f>INDEX('Activity data'!AC$24:AC$39,MATCH(Emissions!$D66,'Activity data'!$D$24:$D$39,0))*INDEX(EF!$H$84:$H$99,MATCH(Emissions!$D66,EF!$D$84:$D$99,0))*INDEX(EF!$H$100:$H$115,MATCH(Emissions!$D66,EF!$D$100:$D$115,0))*INDEX(EF!$H$116:$H$131,MATCH(Emissions!$D66,EF!$D$116:$D$131,0))*kgtoGg</f>
        <v>1.1703623921999995</v>
      </c>
      <c r="AD66" s="22">
        <f>INDEX('Activity data'!AD$24:AD$39,MATCH(Emissions!$D66,'Activity data'!$D$24:$D$39,0))*INDEX(EF!$H$84:$H$99,MATCH(Emissions!$D66,EF!$D$84:$D$99,0))*INDEX(EF!$H$100:$H$115,MATCH(Emissions!$D66,EF!$D$100:$D$115,0))*INDEX(EF!$H$116:$H$131,MATCH(Emissions!$D66,EF!$D$116:$D$131,0))*kgtoGg</f>
        <v>0.86319492850198365</v>
      </c>
      <c r="AE66" s="22">
        <f>INDEX('Activity data'!AE$24:AE$39,MATCH(Emissions!$D66,'Activity data'!$D$24:$D$39,0))*INDEX(EF!$H$84:$H$99,MATCH(Emissions!$D66,EF!$D$84:$D$99,0))*INDEX(EF!$H$100:$H$115,MATCH(Emissions!$D66,EF!$D$100:$D$115,0))*INDEX(EF!$H$116:$H$131,MATCH(Emissions!$D66,EF!$D$116:$D$131,0))*kgtoGg</f>
        <v>0.86319492850198365</v>
      </c>
      <c r="AF66" s="22">
        <f>INDEX('Activity data'!AF$24:AF$39,MATCH(Emissions!$D66,'Activity data'!$D$24:$D$39,0))*INDEX(EF!$H$84:$H$99,MATCH(Emissions!$D66,EF!$D$84:$D$99,0))*INDEX(EF!$H$100:$H$115,MATCH(Emissions!$D66,EF!$D$100:$D$115,0))*INDEX(EF!$H$116:$H$131,MATCH(Emissions!$D66,EF!$D$116:$D$131,0))*kgtoGg</f>
        <v>0.86319492850198365</v>
      </c>
      <c r="AG66" s="22">
        <f>INDEX('Activity data'!AG$24:AG$39,MATCH(Emissions!$D66,'Activity data'!$D$24:$D$39,0))*INDEX(EF!$H$84:$H$99,MATCH(Emissions!$D66,EF!$D$84:$D$99,0))*INDEX(EF!$H$100:$H$115,MATCH(Emissions!$D66,EF!$D$100:$D$115,0))*INDEX(EF!$H$116:$H$131,MATCH(Emissions!$D66,EF!$D$116:$D$131,0))*kgtoGg</f>
        <v>0.86319492850198365</v>
      </c>
      <c r="AH66" s="22">
        <f>INDEX('Activity data'!AH$24:AH$39,MATCH(Emissions!$D66,'Activity data'!$D$24:$D$39,0))*INDEX(EF!$H$84:$H$99,MATCH(Emissions!$D66,EF!$D$84:$D$99,0))*INDEX(EF!$H$100:$H$115,MATCH(Emissions!$D66,EF!$D$100:$D$115,0))*INDEX(EF!$H$116:$H$131,MATCH(Emissions!$D66,EF!$D$116:$D$131,0))*kgtoGg</f>
        <v>0.86319492850198365</v>
      </c>
      <c r="AI66" s="22">
        <f>INDEX('Activity data'!AI$24:AI$39,MATCH(Emissions!$D66,'Activity data'!$D$24:$D$39,0))*INDEX(EF!$H$84:$H$99,MATCH(Emissions!$D66,EF!$D$84:$D$99,0))*INDEX(EF!$H$100:$H$115,MATCH(Emissions!$D66,EF!$D$100:$D$115,0))*INDEX(EF!$H$116:$H$131,MATCH(Emissions!$D66,EF!$D$116:$D$131,0))*kgtoGg</f>
        <v>0.86319492850198365</v>
      </c>
      <c r="AJ66" s="22">
        <f>INDEX('Activity data'!AJ$24:AJ$39,MATCH(Emissions!$D66,'Activity data'!$D$24:$D$39,0))*INDEX(EF!$H$84:$H$99,MATCH(Emissions!$D66,EF!$D$84:$D$99,0))*INDEX(EF!$H$100:$H$115,MATCH(Emissions!$D66,EF!$D$100:$D$115,0))*INDEX(EF!$H$116:$H$131,MATCH(Emissions!$D66,EF!$D$116:$D$131,0))*kgtoGg</f>
        <v>0.86319492850198365</v>
      </c>
      <c r="AK66" s="22">
        <f>INDEX('Activity data'!AK$24:AK$39,MATCH(Emissions!$D66,'Activity data'!$D$24:$D$39,0))*INDEX(EF!$H$84:$H$99,MATCH(Emissions!$D66,EF!$D$84:$D$99,0))*INDEX(EF!$H$100:$H$115,MATCH(Emissions!$D66,EF!$D$100:$D$115,0))*INDEX(EF!$H$116:$H$131,MATCH(Emissions!$D66,EF!$D$116:$D$131,0))*kgtoGg</f>
        <v>0.86319492850198365</v>
      </c>
      <c r="AL66" s="22">
        <f>INDEX('Activity data'!AL$24:AL$39,MATCH(Emissions!$D66,'Activity data'!$D$24:$D$39,0))*INDEX(EF!$H$84:$H$99,MATCH(Emissions!$D66,EF!$D$84:$D$99,0))*INDEX(EF!$H$100:$H$115,MATCH(Emissions!$D66,EF!$D$100:$D$115,0))*INDEX(EF!$H$116:$H$131,MATCH(Emissions!$D66,EF!$D$116:$D$131,0))*kgtoGg</f>
        <v>0.86319492850198365</v>
      </c>
      <c r="AM66" s="22">
        <f>INDEX('Activity data'!AM$24:AM$39,MATCH(Emissions!$D66,'Activity data'!$D$24:$D$39,0))*INDEX(EF!$H$84:$H$99,MATCH(Emissions!$D66,EF!$D$84:$D$99,0))*INDEX(EF!$H$100:$H$115,MATCH(Emissions!$D66,EF!$D$100:$D$115,0))*INDEX(EF!$H$116:$H$131,MATCH(Emissions!$D66,EF!$D$116:$D$131,0))*kgtoGg</f>
        <v>0.86319492850198365</v>
      </c>
      <c r="AN66" s="22">
        <f>INDEX('Activity data'!AN$24:AN$39,MATCH(Emissions!$D66,'Activity data'!$D$24:$D$39,0))*INDEX(EF!$H$84:$H$99,MATCH(Emissions!$D66,EF!$D$84:$D$99,0))*INDEX(EF!$H$100:$H$115,MATCH(Emissions!$D66,EF!$D$100:$D$115,0))*INDEX(EF!$H$116:$H$131,MATCH(Emissions!$D66,EF!$D$116:$D$131,0))*kgtoGg</f>
        <v>0.86319492850198365</v>
      </c>
      <c r="AO66" s="22">
        <f>INDEX('Activity data'!AO$24:AO$39,MATCH(Emissions!$D66,'Activity data'!$D$24:$D$39,0))*INDEX(EF!$H$84:$H$99,MATCH(Emissions!$D66,EF!$D$84:$D$99,0))*INDEX(EF!$H$100:$H$115,MATCH(Emissions!$D66,EF!$D$100:$D$115,0))*INDEX(EF!$H$116:$H$131,MATCH(Emissions!$D66,EF!$D$116:$D$131,0))*kgtoGg</f>
        <v>0.86319492850198365</v>
      </c>
      <c r="AP66" s="22">
        <f>INDEX('Activity data'!AP$24:AP$39,MATCH(Emissions!$D66,'Activity data'!$D$24:$D$39,0))*INDEX(EF!$H$84:$H$99,MATCH(Emissions!$D66,EF!$D$84:$D$99,0))*INDEX(EF!$H$100:$H$115,MATCH(Emissions!$D66,EF!$D$100:$D$115,0))*INDEX(EF!$H$116:$H$131,MATCH(Emissions!$D66,EF!$D$116:$D$131,0))*kgtoGg</f>
        <v>0.86319492850198365</v>
      </c>
      <c r="AQ66" s="22">
        <f>INDEX('Activity data'!AQ$24:AQ$39,MATCH(Emissions!$D66,'Activity data'!$D$24:$D$39,0))*INDEX(EF!$H$84:$H$99,MATCH(Emissions!$D66,EF!$D$84:$D$99,0))*INDEX(EF!$H$100:$H$115,MATCH(Emissions!$D66,EF!$D$100:$D$115,0))*INDEX(EF!$H$116:$H$131,MATCH(Emissions!$D66,EF!$D$116:$D$131,0))*kgtoGg</f>
        <v>0.86319492850198365</v>
      </c>
      <c r="AR66" s="22">
        <f>INDEX('Activity data'!AR$24:AR$39,MATCH(Emissions!$D66,'Activity data'!$D$24:$D$39,0))*INDEX(EF!$H$84:$H$99,MATCH(Emissions!$D66,EF!$D$84:$D$99,0))*INDEX(EF!$H$100:$H$115,MATCH(Emissions!$D66,EF!$D$100:$D$115,0))*INDEX(EF!$H$116:$H$131,MATCH(Emissions!$D66,EF!$D$116:$D$131,0))*kgtoGg</f>
        <v>0.86319492850198365</v>
      </c>
      <c r="AS66" s="22">
        <f>INDEX('Activity data'!AS$24:AS$39,MATCH(Emissions!$D66,'Activity data'!$D$24:$D$39,0))*INDEX(EF!$H$84:$H$99,MATCH(Emissions!$D66,EF!$D$84:$D$99,0))*INDEX(EF!$H$100:$H$115,MATCH(Emissions!$D66,EF!$D$100:$D$115,0))*INDEX(EF!$H$116:$H$131,MATCH(Emissions!$D66,EF!$D$116:$D$131,0))*kgtoGg</f>
        <v>0.86319492850198365</v>
      </c>
      <c r="AT66" s="22">
        <f>INDEX('Activity data'!AT$24:AT$39,MATCH(Emissions!$D66,'Activity data'!$D$24:$D$39,0))*INDEX(EF!$H$84:$H$99,MATCH(Emissions!$D66,EF!$D$84:$D$99,0))*INDEX(EF!$H$100:$H$115,MATCH(Emissions!$D66,EF!$D$100:$D$115,0))*INDEX(EF!$H$116:$H$131,MATCH(Emissions!$D66,EF!$D$116:$D$131,0))*kgtoGg</f>
        <v>0.86319492850198365</v>
      </c>
      <c r="AU66" s="22">
        <f>INDEX('Activity data'!AU$24:AU$39,MATCH(Emissions!$D66,'Activity data'!$D$24:$D$39,0))*INDEX(EF!$H$84:$H$99,MATCH(Emissions!$D66,EF!$D$84:$D$99,0))*INDEX(EF!$H$100:$H$115,MATCH(Emissions!$D66,EF!$D$100:$D$115,0))*INDEX(EF!$H$116:$H$131,MATCH(Emissions!$D66,EF!$D$116:$D$131,0))*kgtoGg</f>
        <v>0.86319492850198365</v>
      </c>
      <c r="AV66" s="22">
        <f>INDEX('Activity data'!AV$24:AV$39,MATCH(Emissions!$D66,'Activity data'!$D$24:$D$39,0))*INDEX(EF!$H$84:$H$99,MATCH(Emissions!$D66,EF!$D$84:$D$99,0))*INDEX(EF!$H$100:$H$115,MATCH(Emissions!$D66,EF!$D$100:$D$115,0))*INDEX(EF!$H$116:$H$131,MATCH(Emissions!$D66,EF!$D$116:$D$131,0))*kgtoGg</f>
        <v>0.86319492850198365</v>
      </c>
      <c r="AW66" s="22">
        <f>INDEX('Activity data'!AW$24:AW$39,MATCH(Emissions!$D66,'Activity data'!$D$24:$D$39,0))*INDEX(EF!$H$84:$H$99,MATCH(Emissions!$D66,EF!$D$84:$D$99,0))*INDEX(EF!$H$100:$H$115,MATCH(Emissions!$D66,EF!$D$100:$D$115,0))*INDEX(EF!$H$116:$H$131,MATCH(Emissions!$D66,EF!$D$116:$D$131,0))*kgtoGg</f>
        <v>0.86319492850198365</v>
      </c>
      <c r="AX66" s="22">
        <f>INDEX('Activity data'!AX$24:AX$39,MATCH(Emissions!$D66,'Activity data'!$D$24:$D$39,0))*INDEX(EF!$H$84:$H$99,MATCH(Emissions!$D66,EF!$D$84:$D$99,0))*INDEX(EF!$H$100:$H$115,MATCH(Emissions!$D66,EF!$D$100:$D$115,0))*INDEX(EF!$H$116:$H$131,MATCH(Emissions!$D66,EF!$D$116:$D$131,0))*kgtoGg</f>
        <v>0.86319492850198365</v>
      </c>
      <c r="AY66" s="22">
        <f>INDEX('Activity data'!AY$24:AY$39,MATCH(Emissions!$D66,'Activity data'!$D$24:$D$39,0))*INDEX(EF!$H$84:$H$99,MATCH(Emissions!$D66,EF!$D$84:$D$99,0))*INDEX(EF!$H$100:$H$115,MATCH(Emissions!$D66,EF!$D$100:$D$115,0))*INDEX(EF!$H$116:$H$131,MATCH(Emissions!$D66,EF!$D$116:$D$131,0))*kgtoGg</f>
        <v>0.86319492850198365</v>
      </c>
      <c r="AZ66" s="22">
        <f>INDEX('Activity data'!AZ$24:AZ$39,MATCH(Emissions!$D66,'Activity data'!$D$24:$D$39,0))*INDEX(EF!$H$84:$H$99,MATCH(Emissions!$D66,EF!$D$84:$D$99,0))*INDEX(EF!$H$100:$H$115,MATCH(Emissions!$D66,EF!$D$100:$D$115,0))*INDEX(EF!$H$116:$H$131,MATCH(Emissions!$D66,EF!$D$116:$D$131,0))*kgtoGg</f>
        <v>0.86319492850198365</v>
      </c>
      <c r="BA66" s="22">
        <f>INDEX('Activity data'!BA$24:BA$39,MATCH(Emissions!$D66,'Activity data'!$D$24:$D$39,0))*INDEX(EF!$H$84:$H$99,MATCH(Emissions!$D66,EF!$D$84:$D$99,0))*INDEX(EF!$H$100:$H$115,MATCH(Emissions!$D66,EF!$D$100:$D$115,0))*INDEX(EF!$H$116:$H$131,MATCH(Emissions!$D66,EF!$D$116:$D$131,0))*kgtoGg</f>
        <v>0.86319492850198365</v>
      </c>
      <c r="BB66" s="22">
        <f>INDEX('Activity data'!BB$24:BB$39,MATCH(Emissions!$D66,'Activity data'!$D$24:$D$39,0))*INDEX(EF!$H$84:$H$99,MATCH(Emissions!$D66,EF!$D$84:$D$99,0))*INDEX(EF!$H$100:$H$115,MATCH(Emissions!$D66,EF!$D$100:$D$115,0))*INDEX(EF!$H$116:$H$131,MATCH(Emissions!$D66,EF!$D$116:$D$131,0))*kgtoGg</f>
        <v>0.86319492850198365</v>
      </c>
      <c r="BC66" s="22">
        <f>INDEX('Activity data'!BC$24:BC$39,MATCH(Emissions!$D66,'Activity data'!$D$24:$D$39,0))*INDEX(EF!$H$84:$H$99,MATCH(Emissions!$D66,EF!$D$84:$D$99,0))*INDEX(EF!$H$100:$H$115,MATCH(Emissions!$D66,EF!$D$100:$D$115,0))*INDEX(EF!$H$116:$H$131,MATCH(Emissions!$D66,EF!$D$116:$D$131,0))*kgtoGg</f>
        <v>0.86319492850198365</v>
      </c>
      <c r="BD66" s="22">
        <f>INDEX('Activity data'!BD$24:BD$39,MATCH(Emissions!$D66,'Activity data'!$D$24:$D$39,0))*INDEX(EF!$H$84:$H$99,MATCH(Emissions!$D66,EF!$D$84:$D$99,0))*INDEX(EF!$H$100:$H$115,MATCH(Emissions!$D66,EF!$D$100:$D$115,0))*INDEX(EF!$H$116:$H$131,MATCH(Emissions!$D66,EF!$D$116:$D$131,0))*kgtoGg</f>
        <v>0.86319492850198365</v>
      </c>
      <c r="BE66" s="22">
        <f>INDEX('Activity data'!BE$24:BE$39,MATCH(Emissions!$D66,'Activity data'!$D$24:$D$39,0))*INDEX(EF!$H$84:$H$99,MATCH(Emissions!$D66,EF!$D$84:$D$99,0))*INDEX(EF!$H$100:$H$115,MATCH(Emissions!$D66,EF!$D$100:$D$115,0))*INDEX(EF!$H$116:$H$131,MATCH(Emissions!$D66,EF!$D$116:$D$131,0))*kgtoGg</f>
        <v>0.86319492850198365</v>
      </c>
      <c r="BF66" s="22">
        <f>INDEX('Activity data'!BF$24:BF$39,MATCH(Emissions!$D66,'Activity data'!$D$24:$D$39,0))*INDEX(EF!$H$84:$H$99,MATCH(Emissions!$D66,EF!$D$84:$D$99,0))*INDEX(EF!$H$100:$H$115,MATCH(Emissions!$D66,EF!$D$100:$D$115,0))*INDEX(EF!$H$116:$H$131,MATCH(Emissions!$D66,EF!$D$116:$D$131,0))*kgtoGg</f>
        <v>0.86319492850198365</v>
      </c>
      <c r="BG66" s="22">
        <f>INDEX('Activity data'!BG$24:BG$39,MATCH(Emissions!$D66,'Activity data'!$D$24:$D$39,0))*INDEX(EF!$H$84:$H$99,MATCH(Emissions!$D66,EF!$D$84:$D$99,0))*INDEX(EF!$H$100:$H$115,MATCH(Emissions!$D66,EF!$D$100:$D$115,0))*INDEX(EF!$H$116:$H$131,MATCH(Emissions!$D66,EF!$D$116:$D$131,0))*kgtoGg</f>
        <v>0.86319492850198365</v>
      </c>
      <c r="BH66" s="22">
        <f>INDEX('Activity data'!BH$24:BH$39,MATCH(Emissions!$D66,'Activity data'!$D$24:$D$39,0))*INDEX(EF!$H$84:$H$99,MATCH(Emissions!$D66,EF!$D$84:$D$99,0))*INDEX(EF!$H$100:$H$115,MATCH(Emissions!$D66,EF!$D$100:$D$115,0))*INDEX(EF!$H$116:$H$131,MATCH(Emissions!$D66,EF!$D$116:$D$131,0))*kgtoGg</f>
        <v>0.86319492850198365</v>
      </c>
      <c r="BI66" s="22">
        <f>INDEX('Activity data'!BI$24:BI$39,MATCH(Emissions!$D66,'Activity data'!$D$24:$D$39,0))*INDEX(EF!$H$84:$H$99,MATCH(Emissions!$D66,EF!$D$84:$D$99,0))*INDEX(EF!$H$100:$H$115,MATCH(Emissions!$D66,EF!$D$100:$D$115,0))*INDEX(EF!$H$116:$H$131,MATCH(Emissions!$D66,EF!$D$116:$D$131,0))*kgtoGg</f>
        <v>0.86319492850198365</v>
      </c>
      <c r="BJ66" s="22">
        <f>INDEX('Activity data'!BJ$24:BJ$39,MATCH(Emissions!$D66,'Activity data'!$D$24:$D$39,0))*INDEX(EF!$H$84:$H$99,MATCH(Emissions!$D66,EF!$D$84:$D$99,0))*INDEX(EF!$H$100:$H$115,MATCH(Emissions!$D66,EF!$D$100:$D$115,0))*INDEX(EF!$H$116:$H$131,MATCH(Emissions!$D66,EF!$D$116:$D$131,0))*kgtoGg</f>
        <v>0.86319492850198365</v>
      </c>
      <c r="BK66" s="22">
        <f>INDEX('Activity data'!BK$24:BK$39,MATCH(Emissions!$D66,'Activity data'!$D$24:$D$39,0))*INDEX(EF!$H$84:$H$99,MATCH(Emissions!$D66,EF!$D$84:$D$99,0))*INDEX(EF!$H$100:$H$115,MATCH(Emissions!$D66,EF!$D$100:$D$115,0))*INDEX(EF!$H$116:$H$131,MATCH(Emissions!$D66,EF!$D$116:$D$131,0))*kgtoGg</f>
        <v>0.86319492850198365</v>
      </c>
      <c r="BL66" s="22">
        <f>INDEX('Activity data'!BL$24:BL$39,MATCH(Emissions!$D66,'Activity data'!$D$24:$D$39,0))*INDEX(EF!$H$84:$H$99,MATCH(Emissions!$D66,EF!$D$84:$D$99,0))*INDEX(EF!$H$100:$H$115,MATCH(Emissions!$D66,EF!$D$100:$D$115,0))*INDEX(EF!$H$116:$H$131,MATCH(Emissions!$D66,EF!$D$116:$D$131,0))*kgtoGg</f>
        <v>0.86319492850198365</v>
      </c>
      <c r="BM66" s="22">
        <f>INDEX('Activity data'!BM$24:BM$39,MATCH(Emissions!$D66,'Activity data'!$D$24:$D$39,0))*INDEX(EF!$H$84:$H$99,MATCH(Emissions!$D66,EF!$D$84:$D$99,0))*INDEX(EF!$H$100:$H$115,MATCH(Emissions!$D66,EF!$D$100:$D$115,0))*INDEX(EF!$H$116:$H$131,MATCH(Emissions!$D66,EF!$D$116:$D$131,0))*kgtoGg</f>
        <v>0.86319492850198365</v>
      </c>
      <c r="BN66" s="22">
        <f>INDEX('Activity data'!BN$24:BN$39,MATCH(Emissions!$D66,'Activity data'!$D$24:$D$39,0))*INDEX(EF!$H$84:$H$99,MATCH(Emissions!$D66,EF!$D$84:$D$99,0))*INDEX(EF!$H$100:$H$115,MATCH(Emissions!$D66,EF!$D$100:$D$115,0))*INDEX(EF!$H$116:$H$131,MATCH(Emissions!$D66,EF!$D$116:$D$131,0))*kgtoGg</f>
        <v>0.86319492850198365</v>
      </c>
      <c r="BO66" s="22">
        <f>INDEX('Activity data'!BO$24:BO$39,MATCH(Emissions!$D66,'Activity data'!$D$24:$D$39,0))*INDEX(EF!$H$84:$H$99,MATCH(Emissions!$D66,EF!$D$84:$D$99,0))*INDEX(EF!$H$100:$H$115,MATCH(Emissions!$D66,EF!$D$100:$D$115,0))*INDEX(EF!$H$116:$H$131,MATCH(Emissions!$D66,EF!$D$116:$D$131,0))*kgtoGg</f>
        <v>0.86319492850198365</v>
      </c>
      <c r="BP66" s="22">
        <f>INDEX('Activity data'!BP$24:BP$39,MATCH(Emissions!$D66,'Activity data'!$D$24:$D$39,0))*INDEX(EF!$H$84:$H$99,MATCH(Emissions!$D66,EF!$D$84:$D$99,0))*INDEX(EF!$H$100:$H$115,MATCH(Emissions!$D66,EF!$D$100:$D$115,0))*INDEX(EF!$H$116:$H$131,MATCH(Emissions!$D66,EF!$D$116:$D$131,0))*kgtoGg</f>
        <v>0.86319492850198365</v>
      </c>
    </row>
    <row r="67" spans="1:68" x14ac:dyDescent="0.25">
      <c r="A67" t="str">
        <f t="shared" si="19"/>
        <v>3C Aggregated and non-CO2 emissions on land</v>
      </c>
      <c r="B67" t="str">
        <f t="shared" si="20"/>
        <v>3C1 Biomass burning (CH4)</v>
      </c>
      <c r="C67" t="str">
        <f>'IPCC Categories'!C63</f>
        <v>3C1e Biomass burning in Settlements</v>
      </c>
      <c r="D67" t="str">
        <f>EF!D97</f>
        <v>Settlements</v>
      </c>
      <c r="E67" t="s">
        <v>653</v>
      </c>
      <c r="F67" t="str">
        <f t="shared" si="23"/>
        <v>CH4</v>
      </c>
      <c r="G67" t="str">
        <f t="shared" si="24"/>
        <v>Gg CH4</v>
      </c>
      <c r="H67" s="22">
        <f>INDEX('Activity data'!H$24:H$39,MATCH(Emissions!$D67,'Activity data'!$D$24:$D$39,0))*INDEX(EF!$H$84:$H$99,MATCH(Emissions!$D67,EF!$D$84:$D$99,0))*INDEX(EF!$H$100:$H$115,MATCH(Emissions!$D67,EF!$D$100:$D$115,0))*INDEX(EF!$H$116:$H$131,MATCH(Emissions!$D67,EF!$D$116:$D$131,0))*kgtoGg</f>
        <v>0.48879168008497798</v>
      </c>
      <c r="I67" s="22">
        <f>INDEX('Activity data'!I$24:I$39,MATCH(Emissions!$D67,'Activity data'!$D$24:$D$39,0))*INDEX(EF!$H$84:$H$99,MATCH(Emissions!$D67,EF!$D$84:$D$99,0))*INDEX(EF!$H$100:$H$115,MATCH(Emissions!$D67,EF!$D$100:$D$115,0))*INDEX(EF!$H$116:$H$131,MATCH(Emissions!$D67,EF!$D$116:$D$131,0))*kgtoGg</f>
        <v>0.48879168008497798</v>
      </c>
      <c r="J67" s="22">
        <f>INDEX('Activity data'!J$24:J$39,MATCH(Emissions!$D67,'Activity data'!$D$24:$D$39,0))*INDEX(EF!$H$84:$H$99,MATCH(Emissions!$D67,EF!$D$84:$D$99,0))*INDEX(EF!$H$100:$H$115,MATCH(Emissions!$D67,EF!$D$100:$D$115,0))*INDEX(EF!$H$116:$H$131,MATCH(Emissions!$D67,EF!$D$116:$D$131,0))*kgtoGg</f>
        <v>0.48879168008497798</v>
      </c>
      <c r="K67" s="22">
        <f>INDEX('Activity data'!K$24:K$39,MATCH(Emissions!$D67,'Activity data'!$D$24:$D$39,0))*INDEX(EF!$H$84:$H$99,MATCH(Emissions!$D67,EF!$D$84:$D$99,0))*INDEX(EF!$H$100:$H$115,MATCH(Emissions!$D67,EF!$D$100:$D$115,0))*INDEX(EF!$H$116:$H$131,MATCH(Emissions!$D67,EF!$D$116:$D$131,0))*kgtoGg</f>
        <v>0.48879168008497798</v>
      </c>
      <c r="L67" s="22">
        <f>INDEX('Activity data'!L$24:L$39,MATCH(Emissions!$D67,'Activity data'!$D$24:$D$39,0))*INDEX(EF!$H$84:$H$99,MATCH(Emissions!$D67,EF!$D$84:$D$99,0))*INDEX(EF!$H$100:$H$115,MATCH(Emissions!$D67,EF!$D$100:$D$115,0))*INDEX(EF!$H$116:$H$131,MATCH(Emissions!$D67,EF!$D$116:$D$131,0))*kgtoGg</f>
        <v>0.48879168008497798</v>
      </c>
      <c r="M67" s="22">
        <f>INDEX('Activity data'!M$24:M$39,MATCH(Emissions!$D67,'Activity data'!$D$24:$D$39,0))*INDEX(EF!$H$84:$H$99,MATCH(Emissions!$D67,EF!$D$84:$D$99,0))*INDEX(EF!$H$100:$H$115,MATCH(Emissions!$D67,EF!$D$100:$D$115,0))*INDEX(EF!$H$116:$H$131,MATCH(Emissions!$D67,EF!$D$116:$D$131,0))*kgtoGg</f>
        <v>0.48879168008497798</v>
      </c>
      <c r="N67" s="22">
        <f>INDEX('Activity data'!N$24:N$39,MATCH(Emissions!$D67,'Activity data'!$D$24:$D$39,0))*INDEX(EF!$H$84:$H$99,MATCH(Emissions!$D67,EF!$D$84:$D$99,0))*INDEX(EF!$H$100:$H$115,MATCH(Emissions!$D67,EF!$D$100:$D$115,0))*INDEX(EF!$H$116:$H$131,MATCH(Emissions!$D67,EF!$D$116:$D$131,0))*kgtoGg</f>
        <v>0.48879168008497798</v>
      </c>
      <c r="O67" s="22">
        <f>INDEX('Activity data'!O$24:O$39,MATCH(Emissions!$D67,'Activity data'!$D$24:$D$39,0))*INDEX(EF!$H$84:$H$99,MATCH(Emissions!$D67,EF!$D$84:$D$99,0))*INDEX(EF!$H$100:$H$115,MATCH(Emissions!$D67,EF!$D$100:$D$115,0))*INDEX(EF!$H$116:$H$131,MATCH(Emissions!$D67,EF!$D$116:$D$131,0))*kgtoGg</f>
        <v>0.48879168008497798</v>
      </c>
      <c r="P67" s="22">
        <f>INDEX('Activity data'!P$24:P$39,MATCH(Emissions!$D67,'Activity data'!$D$24:$D$39,0))*INDEX(EF!$H$84:$H$99,MATCH(Emissions!$D67,EF!$D$84:$D$99,0))*INDEX(EF!$H$100:$H$115,MATCH(Emissions!$D67,EF!$D$100:$D$115,0))*INDEX(EF!$H$116:$H$131,MATCH(Emissions!$D67,EF!$D$116:$D$131,0))*kgtoGg</f>
        <v>0.48879168008497798</v>
      </c>
      <c r="Q67" s="22">
        <f>INDEX('Activity data'!Q$24:Q$39,MATCH(Emissions!$D67,'Activity data'!$D$24:$D$39,0))*INDEX(EF!$H$84:$H$99,MATCH(Emissions!$D67,EF!$D$84:$D$99,0))*INDEX(EF!$H$100:$H$115,MATCH(Emissions!$D67,EF!$D$100:$D$115,0))*INDEX(EF!$H$116:$H$131,MATCH(Emissions!$D67,EF!$D$116:$D$131,0))*kgtoGg</f>
        <v>0.48879168008497798</v>
      </c>
      <c r="R67" s="22">
        <f>INDEX('Activity data'!R$24:R$39,MATCH(Emissions!$D67,'Activity data'!$D$24:$D$39,0))*INDEX(EF!$H$84:$H$99,MATCH(Emissions!$D67,EF!$D$84:$D$99,0))*INDEX(EF!$H$100:$H$115,MATCH(Emissions!$D67,EF!$D$100:$D$115,0))*INDEX(EF!$H$116:$H$131,MATCH(Emissions!$D67,EF!$D$116:$D$131,0))*kgtoGg</f>
        <v>0.53244001120367745</v>
      </c>
      <c r="S67" s="22">
        <f>INDEX('Activity data'!S$24:S$39,MATCH(Emissions!$D67,'Activity data'!$D$24:$D$39,0))*INDEX(EF!$H$84:$H$99,MATCH(Emissions!$D67,EF!$D$84:$D$99,0))*INDEX(EF!$H$100:$H$115,MATCH(Emissions!$D67,EF!$D$100:$D$115,0))*INDEX(EF!$H$116:$H$131,MATCH(Emissions!$D67,EF!$D$116:$D$131,0))*kgtoGg</f>
        <v>0.58966588899140415</v>
      </c>
      <c r="T67" s="22">
        <f>INDEX('Activity data'!T$24:T$39,MATCH(Emissions!$D67,'Activity data'!$D$24:$D$39,0))*INDEX(EF!$H$84:$H$99,MATCH(Emissions!$D67,EF!$D$84:$D$99,0))*INDEX(EF!$H$100:$H$115,MATCH(Emissions!$D67,EF!$D$100:$D$115,0))*INDEX(EF!$H$116:$H$131,MATCH(Emissions!$D67,EF!$D$116:$D$131,0))*kgtoGg</f>
        <v>0.52134297786841477</v>
      </c>
      <c r="U67" s="22">
        <f>INDEX('Activity data'!U$24:U$39,MATCH(Emissions!$D67,'Activity data'!$D$24:$D$39,0))*INDEX(EF!$H$84:$H$99,MATCH(Emissions!$D67,EF!$D$84:$D$99,0))*INDEX(EF!$H$100:$H$115,MATCH(Emissions!$D67,EF!$D$100:$D$115,0))*INDEX(EF!$H$116:$H$131,MATCH(Emissions!$D67,EF!$D$116:$D$131,0))*kgtoGg</f>
        <v>0.44975623341152487</v>
      </c>
      <c r="V67" s="22">
        <f>INDEX('Activity data'!V$24:V$39,MATCH(Emissions!$D67,'Activity data'!$D$24:$D$39,0))*INDEX(EF!$H$84:$H$99,MATCH(Emissions!$D67,EF!$D$84:$D$99,0))*INDEX(EF!$H$100:$H$115,MATCH(Emissions!$D67,EF!$D$100:$D$115,0))*INDEX(EF!$H$116:$H$131,MATCH(Emissions!$D67,EF!$D$116:$D$131,0))*kgtoGg</f>
        <v>0.35075328894986846</v>
      </c>
      <c r="W67" s="22">
        <f>INDEX('Activity data'!W$24:W$39,MATCH(Emissions!$D67,'Activity data'!$D$24:$D$39,0))*INDEX(EF!$H$84:$H$99,MATCH(Emissions!$D67,EF!$D$84:$D$99,0))*INDEX(EF!$H$100:$H$115,MATCH(Emissions!$D67,EF!$D$100:$D$115,0))*INDEX(EF!$H$116:$H$131,MATCH(Emissions!$D67,EF!$D$116:$D$131,0))*kgtoGg</f>
        <v>0.79419944458251857</v>
      </c>
      <c r="X67" s="22">
        <f>INDEX('Activity data'!X$24:X$39,MATCH(Emissions!$D67,'Activity data'!$D$24:$D$39,0))*INDEX(EF!$H$84:$H$99,MATCH(Emissions!$D67,EF!$D$84:$D$99,0))*INDEX(EF!$H$100:$H$115,MATCH(Emissions!$D67,EF!$D$100:$D$115,0))*INDEX(EF!$H$116:$H$131,MATCH(Emissions!$D67,EF!$D$116:$D$131,0))*kgtoGg</f>
        <v>0.69563167789871561</v>
      </c>
      <c r="Y67" s="22">
        <f>INDEX('Activity data'!Y$24:Y$39,MATCH(Emissions!$D67,'Activity data'!$D$24:$D$39,0))*INDEX(EF!$H$84:$H$99,MATCH(Emissions!$D67,EF!$D$84:$D$99,0))*INDEX(EF!$H$100:$H$115,MATCH(Emissions!$D67,EF!$D$100:$D$115,0))*INDEX(EF!$H$116:$H$131,MATCH(Emissions!$D67,EF!$D$116:$D$131,0))*kgtoGg</f>
        <v>0.76939431124487268</v>
      </c>
      <c r="Z67" s="22">
        <f>INDEX('Activity data'!Z$24:Z$39,MATCH(Emissions!$D67,'Activity data'!$D$24:$D$39,0))*INDEX(EF!$H$84:$H$99,MATCH(Emissions!$D67,EF!$D$84:$D$99,0))*INDEX(EF!$H$100:$H$115,MATCH(Emissions!$D67,EF!$D$100:$D$115,0))*INDEX(EF!$H$116:$H$131,MATCH(Emissions!$D67,EF!$D$116:$D$131,0))*kgtoGg</f>
        <v>0.47499654452702411</v>
      </c>
      <c r="AA67" s="22">
        <f>INDEX('Activity data'!AA$24:AA$39,MATCH(Emissions!$D67,'Activity data'!$D$24:$D$39,0))*INDEX(EF!$H$84:$H$99,MATCH(Emissions!$D67,EF!$D$84:$D$99,0))*INDEX(EF!$H$100:$H$115,MATCH(Emissions!$D67,EF!$D$100:$D$115,0))*INDEX(EF!$H$116:$H$131,MATCH(Emissions!$D67,EF!$D$116:$D$131,0))*kgtoGg</f>
        <v>0.5716060112104866</v>
      </c>
      <c r="AB67" s="22">
        <f>INDEX('Activity data'!AB$24:AB$39,MATCH(Emissions!$D67,'Activity data'!$D$24:$D$39,0))*INDEX(EF!$H$84:$H$99,MATCH(Emissions!$D67,EF!$D$84:$D$99,0))*INDEX(EF!$H$100:$H$115,MATCH(Emissions!$D67,EF!$D$100:$D$115,0))*INDEX(EF!$H$116:$H$131,MATCH(Emissions!$D67,EF!$D$116:$D$131,0))*kgtoGg</f>
        <v>0.42745793939999993</v>
      </c>
      <c r="AC67" s="22">
        <f>INDEX('Activity data'!AC$24:AC$39,MATCH(Emissions!$D67,'Activity data'!$D$24:$D$39,0))*INDEX(EF!$H$84:$H$99,MATCH(Emissions!$D67,EF!$D$84:$D$99,0))*INDEX(EF!$H$100:$H$115,MATCH(Emissions!$D67,EF!$D$100:$D$115,0))*INDEX(EF!$H$116:$H$131,MATCH(Emissions!$D67,EF!$D$116:$D$131,0))*kgtoGg</f>
        <v>0.29794462199999994</v>
      </c>
      <c r="AD67" s="22">
        <f>INDEX('Activity data'!AD$24:AD$39,MATCH(Emissions!$D67,'Activity data'!$D$24:$D$39,0))*INDEX(EF!$H$84:$H$99,MATCH(Emissions!$D67,EF!$D$84:$D$99,0))*INDEX(EF!$H$100:$H$115,MATCH(Emissions!$D67,EF!$D$100:$D$115,0))*INDEX(EF!$H$116:$H$131,MATCH(Emissions!$D67,EF!$D$116:$D$131,0))*kgtoGg</f>
        <v>0.42972240374246135</v>
      </c>
      <c r="AE67" s="22">
        <f>INDEX('Activity data'!AE$24:AE$39,MATCH(Emissions!$D67,'Activity data'!$D$24:$D$39,0))*INDEX(EF!$H$84:$H$99,MATCH(Emissions!$D67,EF!$D$84:$D$99,0))*INDEX(EF!$H$100:$H$115,MATCH(Emissions!$D67,EF!$D$100:$D$115,0))*INDEX(EF!$H$116:$H$131,MATCH(Emissions!$D67,EF!$D$116:$D$131,0))*kgtoGg</f>
        <v>0.43063058922924524</v>
      </c>
      <c r="AF67" s="22">
        <f>INDEX('Activity data'!AF$24:AF$39,MATCH(Emissions!$D67,'Activity data'!$D$24:$D$39,0))*INDEX(EF!$H$84:$H$99,MATCH(Emissions!$D67,EF!$D$84:$D$99,0))*INDEX(EF!$H$100:$H$115,MATCH(Emissions!$D67,EF!$D$100:$D$115,0))*INDEX(EF!$H$116:$H$131,MATCH(Emissions!$D67,EF!$D$116:$D$131,0))*kgtoGg</f>
        <v>0.43153877471602919</v>
      </c>
      <c r="AG67" s="22">
        <f>INDEX('Activity data'!AG$24:AG$39,MATCH(Emissions!$D67,'Activity data'!$D$24:$D$39,0))*INDEX(EF!$H$84:$H$99,MATCH(Emissions!$D67,EF!$D$84:$D$99,0))*INDEX(EF!$H$100:$H$115,MATCH(Emissions!$D67,EF!$D$100:$D$115,0))*INDEX(EF!$H$116:$H$131,MATCH(Emissions!$D67,EF!$D$116:$D$131,0))*kgtoGg</f>
        <v>0.43244696020281326</v>
      </c>
      <c r="AH67" s="22">
        <f>INDEX('Activity data'!AH$24:AH$39,MATCH(Emissions!$D67,'Activity data'!$D$24:$D$39,0))*INDEX(EF!$H$84:$H$99,MATCH(Emissions!$D67,EF!$D$84:$D$99,0))*INDEX(EF!$H$100:$H$115,MATCH(Emissions!$D67,EF!$D$100:$D$115,0))*INDEX(EF!$H$116:$H$131,MATCH(Emissions!$D67,EF!$D$116:$D$131,0))*kgtoGg</f>
        <v>0.43335514568959721</v>
      </c>
      <c r="AI67" s="22">
        <f>INDEX('Activity data'!AI$24:AI$39,MATCH(Emissions!$D67,'Activity data'!$D$24:$D$39,0))*INDEX(EF!$H$84:$H$99,MATCH(Emissions!$D67,EF!$D$84:$D$99,0))*INDEX(EF!$H$100:$H$115,MATCH(Emissions!$D67,EF!$D$100:$D$115,0))*INDEX(EF!$H$116:$H$131,MATCH(Emissions!$D67,EF!$D$116:$D$131,0))*kgtoGg</f>
        <v>0.43426333117638116</v>
      </c>
      <c r="AJ67" s="22">
        <f>INDEX('Activity data'!AJ$24:AJ$39,MATCH(Emissions!$D67,'Activity data'!$D$24:$D$39,0))*INDEX(EF!$H$84:$H$99,MATCH(Emissions!$D67,EF!$D$84:$D$99,0))*INDEX(EF!$H$100:$H$115,MATCH(Emissions!$D67,EF!$D$100:$D$115,0))*INDEX(EF!$H$116:$H$131,MATCH(Emissions!$D67,EF!$D$116:$D$131,0))*kgtoGg</f>
        <v>0.43517151666316517</v>
      </c>
      <c r="AK67" s="22">
        <f>INDEX('Activity data'!AK$24:AK$39,MATCH(Emissions!$D67,'Activity data'!$D$24:$D$39,0))*INDEX(EF!$H$84:$H$99,MATCH(Emissions!$D67,EF!$D$84:$D$99,0))*INDEX(EF!$H$100:$H$115,MATCH(Emissions!$D67,EF!$D$100:$D$115,0))*INDEX(EF!$H$116:$H$131,MATCH(Emissions!$D67,EF!$D$116:$D$131,0))*kgtoGg</f>
        <v>0.43607970214994918</v>
      </c>
      <c r="AL67" s="22">
        <f>INDEX('Activity data'!AL$24:AL$39,MATCH(Emissions!$D67,'Activity data'!$D$24:$D$39,0))*INDEX(EF!$H$84:$H$99,MATCH(Emissions!$D67,EF!$D$84:$D$99,0))*INDEX(EF!$H$100:$H$115,MATCH(Emissions!$D67,EF!$D$100:$D$115,0))*INDEX(EF!$H$116:$H$131,MATCH(Emissions!$D67,EF!$D$116:$D$131,0))*kgtoGg</f>
        <v>0.43698788763673319</v>
      </c>
      <c r="AM67" s="22">
        <f>INDEX('Activity data'!AM$24:AM$39,MATCH(Emissions!$D67,'Activity data'!$D$24:$D$39,0))*INDEX(EF!$H$84:$H$99,MATCH(Emissions!$D67,EF!$D$84:$D$99,0))*INDEX(EF!$H$100:$H$115,MATCH(Emissions!$D67,EF!$D$100:$D$115,0))*INDEX(EF!$H$116:$H$131,MATCH(Emissions!$D67,EF!$D$116:$D$131,0))*kgtoGg</f>
        <v>0.43789607312351719</v>
      </c>
      <c r="AN67" s="22">
        <f>INDEX('Activity data'!AN$24:AN$39,MATCH(Emissions!$D67,'Activity data'!$D$24:$D$39,0))*INDEX(EF!$H$84:$H$99,MATCH(Emissions!$D67,EF!$D$84:$D$99,0))*INDEX(EF!$H$100:$H$115,MATCH(Emissions!$D67,EF!$D$100:$D$115,0))*INDEX(EF!$H$116:$H$131,MATCH(Emissions!$D67,EF!$D$116:$D$131,0))*kgtoGg</f>
        <v>0.4388042586103012</v>
      </c>
      <c r="AO67" s="22">
        <f>INDEX('Activity data'!AO$24:AO$39,MATCH(Emissions!$D67,'Activity data'!$D$24:$D$39,0))*INDEX(EF!$H$84:$H$99,MATCH(Emissions!$D67,EF!$D$84:$D$99,0))*INDEX(EF!$H$100:$H$115,MATCH(Emissions!$D67,EF!$D$100:$D$115,0))*INDEX(EF!$H$116:$H$131,MATCH(Emissions!$D67,EF!$D$116:$D$131,0))*kgtoGg</f>
        <v>0.43971244409708521</v>
      </c>
      <c r="AP67" s="22">
        <f>INDEX('Activity data'!AP$24:AP$39,MATCH(Emissions!$D67,'Activity data'!$D$24:$D$39,0))*INDEX(EF!$H$84:$H$99,MATCH(Emissions!$D67,EF!$D$84:$D$99,0))*INDEX(EF!$H$100:$H$115,MATCH(Emissions!$D67,EF!$D$100:$D$115,0))*INDEX(EF!$H$116:$H$131,MATCH(Emissions!$D67,EF!$D$116:$D$131,0))*kgtoGg</f>
        <v>0.44062062958386911</v>
      </c>
      <c r="AQ67" s="22">
        <f>INDEX('Activity data'!AQ$24:AQ$39,MATCH(Emissions!$D67,'Activity data'!$D$24:$D$39,0))*INDEX(EF!$H$84:$H$99,MATCH(Emissions!$D67,EF!$D$84:$D$99,0))*INDEX(EF!$H$100:$H$115,MATCH(Emissions!$D67,EF!$D$100:$D$115,0))*INDEX(EF!$H$116:$H$131,MATCH(Emissions!$D67,EF!$D$116:$D$131,0))*kgtoGg</f>
        <v>0.44152881507065311</v>
      </c>
      <c r="AR67" s="22">
        <f>INDEX('Activity data'!AR$24:AR$39,MATCH(Emissions!$D67,'Activity data'!$D$24:$D$39,0))*INDEX(EF!$H$84:$H$99,MATCH(Emissions!$D67,EF!$D$84:$D$99,0))*INDEX(EF!$H$100:$H$115,MATCH(Emissions!$D67,EF!$D$100:$D$115,0))*INDEX(EF!$H$116:$H$131,MATCH(Emissions!$D67,EF!$D$116:$D$131,0))*kgtoGg</f>
        <v>0.44243700055743712</v>
      </c>
      <c r="AS67" s="22">
        <f>INDEX('Activity data'!AS$24:AS$39,MATCH(Emissions!$D67,'Activity data'!$D$24:$D$39,0))*INDEX(EF!$H$84:$H$99,MATCH(Emissions!$D67,EF!$D$84:$D$99,0))*INDEX(EF!$H$100:$H$115,MATCH(Emissions!$D67,EF!$D$100:$D$115,0))*INDEX(EF!$H$116:$H$131,MATCH(Emissions!$D67,EF!$D$116:$D$131,0))*kgtoGg</f>
        <v>0.44334518604422107</v>
      </c>
      <c r="AT67" s="22">
        <f>INDEX('Activity data'!AT$24:AT$39,MATCH(Emissions!$D67,'Activity data'!$D$24:$D$39,0))*INDEX(EF!$H$84:$H$99,MATCH(Emissions!$D67,EF!$D$84:$D$99,0))*INDEX(EF!$H$100:$H$115,MATCH(Emissions!$D67,EF!$D$100:$D$115,0))*INDEX(EF!$H$116:$H$131,MATCH(Emissions!$D67,EF!$D$116:$D$131,0))*kgtoGg</f>
        <v>0.44425337153100508</v>
      </c>
      <c r="AU67" s="22">
        <f>INDEX('Activity data'!AU$24:AU$39,MATCH(Emissions!$D67,'Activity data'!$D$24:$D$39,0))*INDEX(EF!$H$84:$H$99,MATCH(Emissions!$D67,EF!$D$84:$D$99,0))*INDEX(EF!$H$100:$H$115,MATCH(Emissions!$D67,EF!$D$100:$D$115,0))*INDEX(EF!$H$116:$H$131,MATCH(Emissions!$D67,EF!$D$116:$D$131,0))*kgtoGg</f>
        <v>0.44516155701778909</v>
      </c>
      <c r="AV67" s="22">
        <f>INDEX('Activity data'!AV$24:AV$39,MATCH(Emissions!$D67,'Activity data'!$D$24:$D$39,0))*INDEX(EF!$H$84:$H$99,MATCH(Emissions!$D67,EF!$D$84:$D$99,0))*INDEX(EF!$H$100:$H$115,MATCH(Emissions!$D67,EF!$D$100:$D$115,0))*INDEX(EF!$H$116:$H$131,MATCH(Emissions!$D67,EF!$D$116:$D$131,0))*kgtoGg</f>
        <v>0.44606974250457304</v>
      </c>
      <c r="AW67" s="22">
        <f>INDEX('Activity data'!AW$24:AW$39,MATCH(Emissions!$D67,'Activity data'!$D$24:$D$39,0))*INDEX(EF!$H$84:$H$99,MATCH(Emissions!$D67,EF!$D$84:$D$99,0))*INDEX(EF!$H$100:$H$115,MATCH(Emissions!$D67,EF!$D$100:$D$115,0))*INDEX(EF!$H$116:$H$131,MATCH(Emissions!$D67,EF!$D$116:$D$131,0))*kgtoGg</f>
        <v>0.44697792799135705</v>
      </c>
      <c r="AX67" s="22">
        <f>INDEX('Activity data'!AX$24:AX$39,MATCH(Emissions!$D67,'Activity data'!$D$24:$D$39,0))*INDEX(EF!$H$84:$H$99,MATCH(Emissions!$D67,EF!$D$84:$D$99,0))*INDEX(EF!$H$100:$H$115,MATCH(Emissions!$D67,EF!$D$100:$D$115,0))*INDEX(EF!$H$116:$H$131,MATCH(Emissions!$D67,EF!$D$116:$D$131,0))*kgtoGg</f>
        <v>0.44788611347814106</v>
      </c>
      <c r="AY67" s="22">
        <f>INDEX('Activity data'!AY$24:AY$39,MATCH(Emissions!$D67,'Activity data'!$D$24:$D$39,0))*INDEX(EF!$H$84:$H$99,MATCH(Emissions!$D67,EF!$D$84:$D$99,0))*INDEX(EF!$H$100:$H$115,MATCH(Emissions!$D67,EF!$D$100:$D$115,0))*INDEX(EF!$H$116:$H$131,MATCH(Emissions!$D67,EF!$D$116:$D$131,0))*kgtoGg</f>
        <v>0.44879429896492501</v>
      </c>
      <c r="AZ67" s="22">
        <f>INDEX('Activity data'!AZ$24:AZ$39,MATCH(Emissions!$D67,'Activity data'!$D$24:$D$39,0))*INDEX(EF!$H$84:$H$99,MATCH(Emissions!$D67,EF!$D$84:$D$99,0))*INDEX(EF!$H$100:$H$115,MATCH(Emissions!$D67,EF!$D$100:$D$115,0))*INDEX(EF!$H$116:$H$131,MATCH(Emissions!$D67,EF!$D$116:$D$131,0))*kgtoGg</f>
        <v>0.44970248445170896</v>
      </c>
      <c r="BA67" s="22">
        <f>INDEX('Activity data'!BA$24:BA$39,MATCH(Emissions!$D67,'Activity data'!$D$24:$D$39,0))*INDEX(EF!$H$84:$H$99,MATCH(Emissions!$D67,EF!$D$84:$D$99,0))*INDEX(EF!$H$100:$H$115,MATCH(Emissions!$D67,EF!$D$100:$D$115,0))*INDEX(EF!$H$116:$H$131,MATCH(Emissions!$D67,EF!$D$116:$D$131,0))*kgtoGg</f>
        <v>0.45061066993849297</v>
      </c>
      <c r="BB67" s="22">
        <f>INDEX('Activity data'!BB$24:BB$39,MATCH(Emissions!$D67,'Activity data'!$D$24:$D$39,0))*INDEX(EF!$H$84:$H$99,MATCH(Emissions!$D67,EF!$D$84:$D$99,0))*INDEX(EF!$H$100:$H$115,MATCH(Emissions!$D67,EF!$D$100:$D$115,0))*INDEX(EF!$H$116:$H$131,MATCH(Emissions!$D67,EF!$D$116:$D$131,0))*kgtoGg</f>
        <v>0.45151885542527692</v>
      </c>
      <c r="BC67" s="22">
        <f>INDEX('Activity data'!BC$24:BC$39,MATCH(Emissions!$D67,'Activity data'!$D$24:$D$39,0))*INDEX(EF!$H$84:$H$99,MATCH(Emissions!$D67,EF!$D$84:$D$99,0))*INDEX(EF!$H$100:$H$115,MATCH(Emissions!$D67,EF!$D$100:$D$115,0))*INDEX(EF!$H$116:$H$131,MATCH(Emissions!$D67,EF!$D$116:$D$131,0))*kgtoGg</f>
        <v>0.45242704091206093</v>
      </c>
      <c r="BD67" s="22">
        <f>INDEX('Activity data'!BD$24:BD$39,MATCH(Emissions!$D67,'Activity data'!$D$24:$D$39,0))*INDEX(EF!$H$84:$H$99,MATCH(Emissions!$D67,EF!$D$84:$D$99,0))*INDEX(EF!$H$100:$H$115,MATCH(Emissions!$D67,EF!$D$100:$D$115,0))*INDEX(EF!$H$116:$H$131,MATCH(Emissions!$D67,EF!$D$116:$D$131,0))*kgtoGg</f>
        <v>0.45333522639884494</v>
      </c>
      <c r="BE67" s="22">
        <f>INDEX('Activity data'!BE$24:BE$39,MATCH(Emissions!$D67,'Activity data'!$D$24:$D$39,0))*INDEX(EF!$H$84:$H$99,MATCH(Emissions!$D67,EF!$D$84:$D$99,0))*INDEX(EF!$H$100:$H$115,MATCH(Emissions!$D67,EF!$D$100:$D$115,0))*INDEX(EF!$H$116:$H$131,MATCH(Emissions!$D67,EF!$D$116:$D$131,0))*kgtoGg</f>
        <v>0.454243411885629</v>
      </c>
      <c r="BF67" s="22">
        <f>INDEX('Activity data'!BF$24:BF$39,MATCH(Emissions!$D67,'Activity data'!$D$24:$D$39,0))*INDEX(EF!$H$84:$H$99,MATCH(Emissions!$D67,EF!$D$84:$D$99,0))*INDEX(EF!$H$100:$H$115,MATCH(Emissions!$D67,EF!$D$100:$D$115,0))*INDEX(EF!$H$116:$H$131,MATCH(Emissions!$D67,EF!$D$116:$D$131,0))*kgtoGg</f>
        <v>0.45515159737241295</v>
      </c>
      <c r="BG67" s="22">
        <f>INDEX('Activity data'!BG$24:BG$39,MATCH(Emissions!$D67,'Activity data'!$D$24:$D$39,0))*INDEX(EF!$H$84:$H$99,MATCH(Emissions!$D67,EF!$D$84:$D$99,0))*INDEX(EF!$H$100:$H$115,MATCH(Emissions!$D67,EF!$D$100:$D$115,0))*INDEX(EF!$H$116:$H$131,MATCH(Emissions!$D67,EF!$D$116:$D$131,0))*kgtoGg</f>
        <v>0.4560597828591969</v>
      </c>
      <c r="BH67" s="22">
        <f>INDEX('Activity data'!BH$24:BH$39,MATCH(Emissions!$D67,'Activity data'!$D$24:$D$39,0))*INDEX(EF!$H$84:$H$99,MATCH(Emissions!$D67,EF!$D$84:$D$99,0))*INDEX(EF!$H$100:$H$115,MATCH(Emissions!$D67,EF!$D$100:$D$115,0))*INDEX(EF!$H$116:$H$131,MATCH(Emissions!$D67,EF!$D$116:$D$131,0))*kgtoGg</f>
        <v>0.45696796834598097</v>
      </c>
      <c r="BI67" s="22">
        <f>INDEX('Activity data'!BI$24:BI$39,MATCH(Emissions!$D67,'Activity data'!$D$24:$D$39,0))*INDEX(EF!$H$84:$H$99,MATCH(Emissions!$D67,EF!$D$84:$D$99,0))*INDEX(EF!$H$100:$H$115,MATCH(Emissions!$D67,EF!$D$100:$D$115,0))*INDEX(EF!$H$116:$H$131,MATCH(Emissions!$D67,EF!$D$116:$D$131,0))*kgtoGg</f>
        <v>0.45787615383276492</v>
      </c>
      <c r="BJ67" s="22">
        <f>INDEX('Activity data'!BJ$24:BJ$39,MATCH(Emissions!$D67,'Activity data'!$D$24:$D$39,0))*INDEX(EF!$H$84:$H$99,MATCH(Emissions!$D67,EF!$D$84:$D$99,0))*INDEX(EF!$H$100:$H$115,MATCH(Emissions!$D67,EF!$D$100:$D$115,0))*INDEX(EF!$H$116:$H$131,MATCH(Emissions!$D67,EF!$D$116:$D$131,0))*kgtoGg</f>
        <v>0.45878433931954882</v>
      </c>
      <c r="BK67" s="22">
        <f>INDEX('Activity data'!BK$24:BK$39,MATCH(Emissions!$D67,'Activity data'!$D$24:$D$39,0))*INDEX(EF!$H$84:$H$99,MATCH(Emissions!$D67,EF!$D$84:$D$99,0))*INDEX(EF!$H$100:$H$115,MATCH(Emissions!$D67,EF!$D$100:$D$115,0))*INDEX(EF!$H$116:$H$131,MATCH(Emissions!$D67,EF!$D$116:$D$131,0))*kgtoGg</f>
        <v>0.45969252480633288</v>
      </c>
      <c r="BL67" s="22">
        <f>INDEX('Activity data'!BL$24:BL$39,MATCH(Emissions!$D67,'Activity data'!$D$24:$D$39,0))*INDEX(EF!$H$84:$H$99,MATCH(Emissions!$D67,EF!$D$84:$D$99,0))*INDEX(EF!$H$100:$H$115,MATCH(Emissions!$D67,EF!$D$100:$D$115,0))*INDEX(EF!$H$116:$H$131,MATCH(Emissions!$D67,EF!$D$116:$D$131,0))*kgtoGg</f>
        <v>0.46060071029311683</v>
      </c>
      <c r="BM67" s="22">
        <f>INDEX('Activity data'!BM$24:BM$39,MATCH(Emissions!$D67,'Activity data'!$D$24:$D$39,0))*INDEX(EF!$H$84:$H$99,MATCH(Emissions!$D67,EF!$D$84:$D$99,0))*INDEX(EF!$H$100:$H$115,MATCH(Emissions!$D67,EF!$D$100:$D$115,0))*INDEX(EF!$H$116:$H$131,MATCH(Emissions!$D67,EF!$D$116:$D$131,0))*kgtoGg</f>
        <v>0.46150889577990084</v>
      </c>
      <c r="BN67" s="22">
        <f>INDEX('Activity data'!BN$24:BN$39,MATCH(Emissions!$D67,'Activity data'!$D$24:$D$39,0))*INDEX(EF!$H$84:$H$99,MATCH(Emissions!$D67,EF!$D$84:$D$99,0))*INDEX(EF!$H$100:$H$115,MATCH(Emissions!$D67,EF!$D$100:$D$115,0))*INDEX(EF!$H$116:$H$131,MATCH(Emissions!$D67,EF!$D$116:$D$131,0))*kgtoGg</f>
        <v>0.46241708126668479</v>
      </c>
      <c r="BO67" s="22">
        <f>INDEX('Activity data'!BO$24:BO$39,MATCH(Emissions!$D67,'Activity data'!$D$24:$D$39,0))*INDEX(EF!$H$84:$H$99,MATCH(Emissions!$D67,EF!$D$84:$D$99,0))*INDEX(EF!$H$100:$H$115,MATCH(Emissions!$D67,EF!$D$100:$D$115,0))*INDEX(EF!$H$116:$H$131,MATCH(Emissions!$D67,EF!$D$116:$D$131,0))*kgtoGg</f>
        <v>0.4633252667534688</v>
      </c>
      <c r="BP67" s="22">
        <f>INDEX('Activity data'!BP$24:BP$39,MATCH(Emissions!$D67,'Activity data'!$D$24:$D$39,0))*INDEX(EF!$H$84:$H$99,MATCH(Emissions!$D67,EF!$D$84:$D$99,0))*INDEX(EF!$H$100:$H$115,MATCH(Emissions!$D67,EF!$D$100:$D$115,0))*INDEX(EF!$H$116:$H$131,MATCH(Emissions!$D67,EF!$D$116:$D$131,0))*kgtoGg</f>
        <v>0.46423345224025281</v>
      </c>
    </row>
    <row r="68" spans="1:68" x14ac:dyDescent="0.25">
      <c r="A68" t="str">
        <f t="shared" si="19"/>
        <v>3C Aggregated and non-CO2 emissions on land</v>
      </c>
      <c r="B68" t="str">
        <f t="shared" si="20"/>
        <v>3C1 Biomass burning (CH4)</v>
      </c>
      <c r="C68" t="str">
        <f>C67</f>
        <v>3C1e Biomass burning in Settlements</v>
      </c>
      <c r="D68" t="str">
        <f>EF!D98</f>
        <v>Mines</v>
      </c>
      <c r="E68" t="s">
        <v>654</v>
      </c>
      <c r="F68" t="str">
        <f t="shared" si="23"/>
        <v>CH4</v>
      </c>
      <c r="G68" t="str">
        <f t="shared" si="24"/>
        <v>Gg CH4</v>
      </c>
      <c r="H68" s="22">
        <f>INDEX('Activity data'!H$24:H$39,MATCH(Emissions!$D68,'Activity data'!$D$24:$D$39,0))*INDEX(EF!$H$84:$H$99,MATCH(Emissions!$D68,EF!$D$84:$D$99,0))*INDEX(EF!$H$100:$H$115,MATCH(Emissions!$D68,EF!$D$100:$D$115,0))*INDEX(EF!$H$116:$H$131,MATCH(Emissions!$D68,EF!$D$116:$D$131,0))*kgtoGg</f>
        <v>0</v>
      </c>
      <c r="I68" s="22">
        <f>INDEX('Activity data'!I$24:I$39,MATCH(Emissions!$D68,'Activity data'!$D$24:$D$39,0))*INDEX(EF!$H$84:$H$99,MATCH(Emissions!$D68,EF!$D$84:$D$99,0))*INDEX(EF!$H$100:$H$115,MATCH(Emissions!$D68,EF!$D$100:$D$115,0))*INDEX(EF!$H$116:$H$131,MATCH(Emissions!$D68,EF!$D$116:$D$131,0))*kgtoGg</f>
        <v>0</v>
      </c>
      <c r="J68" s="22">
        <f>INDEX('Activity data'!J$24:J$39,MATCH(Emissions!$D68,'Activity data'!$D$24:$D$39,0))*INDEX(EF!$H$84:$H$99,MATCH(Emissions!$D68,EF!$D$84:$D$99,0))*INDEX(EF!$H$100:$H$115,MATCH(Emissions!$D68,EF!$D$100:$D$115,0))*INDEX(EF!$H$116:$H$131,MATCH(Emissions!$D68,EF!$D$116:$D$131,0))*kgtoGg</f>
        <v>0</v>
      </c>
      <c r="K68" s="22">
        <f>INDEX('Activity data'!K$24:K$39,MATCH(Emissions!$D68,'Activity data'!$D$24:$D$39,0))*INDEX(EF!$H$84:$H$99,MATCH(Emissions!$D68,EF!$D$84:$D$99,0))*INDEX(EF!$H$100:$H$115,MATCH(Emissions!$D68,EF!$D$100:$D$115,0))*INDEX(EF!$H$116:$H$131,MATCH(Emissions!$D68,EF!$D$116:$D$131,0))*kgtoGg</f>
        <v>0</v>
      </c>
      <c r="L68" s="22">
        <f>INDEX('Activity data'!L$24:L$39,MATCH(Emissions!$D68,'Activity data'!$D$24:$D$39,0))*INDEX(EF!$H$84:$H$99,MATCH(Emissions!$D68,EF!$D$84:$D$99,0))*INDEX(EF!$H$100:$H$115,MATCH(Emissions!$D68,EF!$D$100:$D$115,0))*INDEX(EF!$H$116:$H$131,MATCH(Emissions!$D68,EF!$D$116:$D$131,0))*kgtoGg</f>
        <v>0</v>
      </c>
      <c r="M68" s="22">
        <f>INDEX('Activity data'!M$24:M$39,MATCH(Emissions!$D68,'Activity data'!$D$24:$D$39,0))*INDEX(EF!$H$84:$H$99,MATCH(Emissions!$D68,EF!$D$84:$D$99,0))*INDEX(EF!$H$100:$H$115,MATCH(Emissions!$D68,EF!$D$100:$D$115,0))*INDEX(EF!$H$116:$H$131,MATCH(Emissions!$D68,EF!$D$116:$D$131,0))*kgtoGg</f>
        <v>0</v>
      </c>
      <c r="N68" s="22">
        <f>INDEX('Activity data'!N$24:N$39,MATCH(Emissions!$D68,'Activity data'!$D$24:$D$39,0))*INDEX(EF!$H$84:$H$99,MATCH(Emissions!$D68,EF!$D$84:$D$99,0))*INDEX(EF!$H$100:$H$115,MATCH(Emissions!$D68,EF!$D$100:$D$115,0))*INDEX(EF!$H$116:$H$131,MATCH(Emissions!$D68,EF!$D$116:$D$131,0))*kgtoGg</f>
        <v>0</v>
      </c>
      <c r="O68" s="22">
        <f>INDEX('Activity data'!O$24:O$39,MATCH(Emissions!$D68,'Activity data'!$D$24:$D$39,0))*INDEX(EF!$H$84:$H$99,MATCH(Emissions!$D68,EF!$D$84:$D$99,0))*INDEX(EF!$H$100:$H$115,MATCH(Emissions!$D68,EF!$D$100:$D$115,0))*INDEX(EF!$H$116:$H$131,MATCH(Emissions!$D68,EF!$D$116:$D$131,0))*kgtoGg</f>
        <v>0</v>
      </c>
      <c r="P68" s="22">
        <f>INDEX('Activity data'!P$24:P$39,MATCH(Emissions!$D68,'Activity data'!$D$24:$D$39,0))*INDEX(EF!$H$84:$H$99,MATCH(Emissions!$D68,EF!$D$84:$D$99,0))*INDEX(EF!$H$100:$H$115,MATCH(Emissions!$D68,EF!$D$100:$D$115,0))*INDEX(EF!$H$116:$H$131,MATCH(Emissions!$D68,EF!$D$116:$D$131,0))*kgtoGg</f>
        <v>0</v>
      </c>
      <c r="Q68" s="22">
        <f>INDEX('Activity data'!Q$24:Q$39,MATCH(Emissions!$D68,'Activity data'!$D$24:$D$39,0))*INDEX(EF!$H$84:$H$99,MATCH(Emissions!$D68,EF!$D$84:$D$99,0))*INDEX(EF!$H$100:$H$115,MATCH(Emissions!$D68,EF!$D$100:$D$115,0))*INDEX(EF!$H$116:$H$131,MATCH(Emissions!$D68,EF!$D$116:$D$131,0))*kgtoGg</f>
        <v>0</v>
      </c>
      <c r="R68" s="22">
        <f>INDEX('Activity data'!R$24:R$39,MATCH(Emissions!$D68,'Activity data'!$D$24:$D$39,0))*INDEX(EF!$H$84:$H$99,MATCH(Emissions!$D68,EF!$D$84:$D$99,0))*INDEX(EF!$H$100:$H$115,MATCH(Emissions!$D68,EF!$D$100:$D$115,0))*INDEX(EF!$H$116:$H$131,MATCH(Emissions!$D68,EF!$D$116:$D$131,0))*kgtoGg</f>
        <v>0</v>
      </c>
      <c r="S68" s="22">
        <f>INDEX('Activity data'!S$24:S$39,MATCH(Emissions!$D68,'Activity data'!$D$24:$D$39,0))*INDEX(EF!$H$84:$H$99,MATCH(Emissions!$D68,EF!$D$84:$D$99,0))*INDEX(EF!$H$100:$H$115,MATCH(Emissions!$D68,EF!$D$100:$D$115,0))*INDEX(EF!$H$116:$H$131,MATCH(Emissions!$D68,EF!$D$116:$D$131,0))*kgtoGg</f>
        <v>0</v>
      </c>
      <c r="T68" s="22">
        <f>INDEX('Activity data'!T$24:T$39,MATCH(Emissions!$D68,'Activity data'!$D$24:$D$39,0))*INDEX(EF!$H$84:$H$99,MATCH(Emissions!$D68,EF!$D$84:$D$99,0))*INDEX(EF!$H$100:$H$115,MATCH(Emissions!$D68,EF!$D$100:$D$115,0))*INDEX(EF!$H$116:$H$131,MATCH(Emissions!$D68,EF!$D$116:$D$131,0))*kgtoGg</f>
        <v>0</v>
      </c>
      <c r="U68" s="22">
        <f>INDEX('Activity data'!U$24:U$39,MATCH(Emissions!$D68,'Activity data'!$D$24:$D$39,0))*INDEX(EF!$H$84:$H$99,MATCH(Emissions!$D68,EF!$D$84:$D$99,0))*INDEX(EF!$H$100:$H$115,MATCH(Emissions!$D68,EF!$D$100:$D$115,0))*INDEX(EF!$H$116:$H$131,MATCH(Emissions!$D68,EF!$D$116:$D$131,0))*kgtoGg</f>
        <v>0</v>
      </c>
      <c r="V68" s="22">
        <f>INDEX('Activity data'!V$24:V$39,MATCH(Emissions!$D68,'Activity data'!$D$24:$D$39,0))*INDEX(EF!$H$84:$H$99,MATCH(Emissions!$D68,EF!$D$84:$D$99,0))*INDEX(EF!$H$100:$H$115,MATCH(Emissions!$D68,EF!$D$100:$D$115,0))*INDEX(EF!$H$116:$H$131,MATCH(Emissions!$D68,EF!$D$116:$D$131,0))*kgtoGg</f>
        <v>0</v>
      </c>
      <c r="W68" s="22">
        <f>INDEX('Activity data'!W$24:W$39,MATCH(Emissions!$D68,'Activity data'!$D$24:$D$39,0))*INDEX(EF!$H$84:$H$99,MATCH(Emissions!$D68,EF!$D$84:$D$99,0))*INDEX(EF!$H$100:$H$115,MATCH(Emissions!$D68,EF!$D$100:$D$115,0))*INDEX(EF!$H$116:$H$131,MATCH(Emissions!$D68,EF!$D$116:$D$131,0))*kgtoGg</f>
        <v>0</v>
      </c>
      <c r="X68" s="22">
        <f>INDEX('Activity data'!X$24:X$39,MATCH(Emissions!$D68,'Activity data'!$D$24:$D$39,0))*INDEX(EF!$H$84:$H$99,MATCH(Emissions!$D68,EF!$D$84:$D$99,0))*INDEX(EF!$H$100:$H$115,MATCH(Emissions!$D68,EF!$D$100:$D$115,0))*INDEX(EF!$H$116:$H$131,MATCH(Emissions!$D68,EF!$D$116:$D$131,0))*kgtoGg</f>
        <v>0</v>
      </c>
      <c r="Y68" s="22">
        <f>INDEX('Activity data'!Y$24:Y$39,MATCH(Emissions!$D68,'Activity data'!$D$24:$D$39,0))*INDEX(EF!$H$84:$H$99,MATCH(Emissions!$D68,EF!$D$84:$D$99,0))*INDEX(EF!$H$100:$H$115,MATCH(Emissions!$D68,EF!$D$100:$D$115,0))*INDEX(EF!$H$116:$H$131,MATCH(Emissions!$D68,EF!$D$116:$D$131,0))*kgtoGg</f>
        <v>0</v>
      </c>
      <c r="Z68" s="22">
        <f>INDEX('Activity data'!Z$24:Z$39,MATCH(Emissions!$D68,'Activity data'!$D$24:$D$39,0))*INDEX(EF!$H$84:$H$99,MATCH(Emissions!$D68,EF!$D$84:$D$99,0))*INDEX(EF!$H$100:$H$115,MATCH(Emissions!$D68,EF!$D$100:$D$115,0))*INDEX(EF!$H$116:$H$131,MATCH(Emissions!$D68,EF!$D$116:$D$131,0))*kgtoGg</f>
        <v>0</v>
      </c>
      <c r="AA68" s="22">
        <f>INDEX('Activity data'!AA$24:AA$39,MATCH(Emissions!$D68,'Activity data'!$D$24:$D$39,0))*INDEX(EF!$H$84:$H$99,MATCH(Emissions!$D68,EF!$D$84:$D$99,0))*INDEX(EF!$H$100:$H$115,MATCH(Emissions!$D68,EF!$D$100:$D$115,0))*INDEX(EF!$H$116:$H$131,MATCH(Emissions!$D68,EF!$D$116:$D$131,0))*kgtoGg</f>
        <v>0</v>
      </c>
      <c r="AB68" s="22">
        <f>INDEX('Activity data'!AB$24:AB$39,MATCH(Emissions!$D68,'Activity data'!$D$24:$D$39,0))*INDEX(EF!$H$84:$H$99,MATCH(Emissions!$D68,EF!$D$84:$D$99,0))*INDEX(EF!$H$100:$H$115,MATCH(Emissions!$D68,EF!$D$100:$D$115,0))*INDEX(EF!$H$116:$H$131,MATCH(Emissions!$D68,EF!$D$116:$D$131,0))*kgtoGg</f>
        <v>0</v>
      </c>
      <c r="AC68" s="22">
        <f>INDEX('Activity data'!AC$24:AC$39,MATCH(Emissions!$D68,'Activity data'!$D$24:$D$39,0))*INDEX(EF!$H$84:$H$99,MATCH(Emissions!$D68,EF!$D$84:$D$99,0))*INDEX(EF!$H$100:$H$115,MATCH(Emissions!$D68,EF!$D$100:$D$115,0))*INDEX(EF!$H$116:$H$131,MATCH(Emissions!$D68,EF!$D$116:$D$131,0))*kgtoGg</f>
        <v>0</v>
      </c>
      <c r="AD68" s="22">
        <f>INDEX('Activity data'!AD$24:AD$39,MATCH(Emissions!$D68,'Activity data'!$D$24:$D$39,0))*INDEX(EF!$H$84:$H$99,MATCH(Emissions!$D68,EF!$D$84:$D$99,0))*INDEX(EF!$H$100:$H$115,MATCH(Emissions!$D68,EF!$D$100:$D$115,0))*INDEX(EF!$H$116:$H$131,MATCH(Emissions!$D68,EF!$D$116:$D$131,0))*kgtoGg</f>
        <v>0</v>
      </c>
      <c r="AE68" s="22">
        <f>INDEX('Activity data'!AE$24:AE$39,MATCH(Emissions!$D68,'Activity data'!$D$24:$D$39,0))*INDEX(EF!$H$84:$H$99,MATCH(Emissions!$D68,EF!$D$84:$D$99,0))*INDEX(EF!$H$100:$H$115,MATCH(Emissions!$D68,EF!$D$100:$D$115,0))*INDEX(EF!$H$116:$H$131,MATCH(Emissions!$D68,EF!$D$116:$D$131,0))*kgtoGg</f>
        <v>0</v>
      </c>
      <c r="AF68" s="22">
        <f>INDEX('Activity data'!AF$24:AF$39,MATCH(Emissions!$D68,'Activity data'!$D$24:$D$39,0))*INDEX(EF!$H$84:$H$99,MATCH(Emissions!$D68,EF!$D$84:$D$99,0))*INDEX(EF!$H$100:$H$115,MATCH(Emissions!$D68,EF!$D$100:$D$115,0))*INDEX(EF!$H$116:$H$131,MATCH(Emissions!$D68,EF!$D$116:$D$131,0))*kgtoGg</f>
        <v>0</v>
      </c>
      <c r="AG68" s="22">
        <f>INDEX('Activity data'!AG$24:AG$39,MATCH(Emissions!$D68,'Activity data'!$D$24:$D$39,0))*INDEX(EF!$H$84:$H$99,MATCH(Emissions!$D68,EF!$D$84:$D$99,0))*INDEX(EF!$H$100:$H$115,MATCH(Emissions!$D68,EF!$D$100:$D$115,0))*INDEX(EF!$H$116:$H$131,MATCH(Emissions!$D68,EF!$D$116:$D$131,0))*kgtoGg</f>
        <v>0</v>
      </c>
      <c r="AH68" s="22">
        <f>INDEX('Activity data'!AH$24:AH$39,MATCH(Emissions!$D68,'Activity data'!$D$24:$D$39,0))*INDEX(EF!$H$84:$H$99,MATCH(Emissions!$D68,EF!$D$84:$D$99,0))*INDEX(EF!$H$100:$H$115,MATCH(Emissions!$D68,EF!$D$100:$D$115,0))*INDEX(EF!$H$116:$H$131,MATCH(Emissions!$D68,EF!$D$116:$D$131,0))*kgtoGg</f>
        <v>0</v>
      </c>
      <c r="AI68" s="22">
        <f>INDEX('Activity data'!AI$24:AI$39,MATCH(Emissions!$D68,'Activity data'!$D$24:$D$39,0))*INDEX(EF!$H$84:$H$99,MATCH(Emissions!$D68,EF!$D$84:$D$99,0))*INDEX(EF!$H$100:$H$115,MATCH(Emissions!$D68,EF!$D$100:$D$115,0))*INDEX(EF!$H$116:$H$131,MATCH(Emissions!$D68,EF!$D$116:$D$131,0))*kgtoGg</f>
        <v>0</v>
      </c>
      <c r="AJ68" s="22">
        <f>INDEX('Activity data'!AJ$24:AJ$39,MATCH(Emissions!$D68,'Activity data'!$D$24:$D$39,0))*INDEX(EF!$H$84:$H$99,MATCH(Emissions!$D68,EF!$D$84:$D$99,0))*INDEX(EF!$H$100:$H$115,MATCH(Emissions!$D68,EF!$D$100:$D$115,0))*INDEX(EF!$H$116:$H$131,MATCH(Emissions!$D68,EF!$D$116:$D$131,0))*kgtoGg</f>
        <v>0</v>
      </c>
      <c r="AK68" s="22">
        <f>INDEX('Activity data'!AK$24:AK$39,MATCH(Emissions!$D68,'Activity data'!$D$24:$D$39,0))*INDEX(EF!$H$84:$H$99,MATCH(Emissions!$D68,EF!$D$84:$D$99,0))*INDEX(EF!$H$100:$H$115,MATCH(Emissions!$D68,EF!$D$100:$D$115,0))*INDEX(EF!$H$116:$H$131,MATCH(Emissions!$D68,EF!$D$116:$D$131,0))*kgtoGg</f>
        <v>0</v>
      </c>
      <c r="AL68" s="22">
        <f>INDEX('Activity data'!AL$24:AL$39,MATCH(Emissions!$D68,'Activity data'!$D$24:$D$39,0))*INDEX(EF!$H$84:$H$99,MATCH(Emissions!$D68,EF!$D$84:$D$99,0))*INDEX(EF!$H$100:$H$115,MATCH(Emissions!$D68,EF!$D$100:$D$115,0))*INDEX(EF!$H$116:$H$131,MATCH(Emissions!$D68,EF!$D$116:$D$131,0))*kgtoGg</f>
        <v>0</v>
      </c>
      <c r="AM68" s="22">
        <f>INDEX('Activity data'!AM$24:AM$39,MATCH(Emissions!$D68,'Activity data'!$D$24:$D$39,0))*INDEX(EF!$H$84:$H$99,MATCH(Emissions!$D68,EF!$D$84:$D$99,0))*INDEX(EF!$H$100:$H$115,MATCH(Emissions!$D68,EF!$D$100:$D$115,0))*INDEX(EF!$H$116:$H$131,MATCH(Emissions!$D68,EF!$D$116:$D$131,0))*kgtoGg</f>
        <v>0</v>
      </c>
      <c r="AN68" s="22">
        <f>INDEX('Activity data'!AN$24:AN$39,MATCH(Emissions!$D68,'Activity data'!$D$24:$D$39,0))*INDEX(EF!$H$84:$H$99,MATCH(Emissions!$D68,EF!$D$84:$D$99,0))*INDEX(EF!$H$100:$H$115,MATCH(Emissions!$D68,EF!$D$100:$D$115,0))*INDEX(EF!$H$116:$H$131,MATCH(Emissions!$D68,EF!$D$116:$D$131,0))*kgtoGg</f>
        <v>0</v>
      </c>
      <c r="AO68" s="22">
        <f>INDEX('Activity data'!AO$24:AO$39,MATCH(Emissions!$D68,'Activity data'!$D$24:$D$39,0))*INDEX(EF!$H$84:$H$99,MATCH(Emissions!$D68,EF!$D$84:$D$99,0))*INDEX(EF!$H$100:$H$115,MATCH(Emissions!$D68,EF!$D$100:$D$115,0))*INDEX(EF!$H$116:$H$131,MATCH(Emissions!$D68,EF!$D$116:$D$131,0))*kgtoGg</f>
        <v>0</v>
      </c>
      <c r="AP68" s="22">
        <f>INDEX('Activity data'!AP$24:AP$39,MATCH(Emissions!$D68,'Activity data'!$D$24:$D$39,0))*INDEX(EF!$H$84:$H$99,MATCH(Emissions!$D68,EF!$D$84:$D$99,0))*INDEX(EF!$H$100:$H$115,MATCH(Emissions!$D68,EF!$D$100:$D$115,0))*INDEX(EF!$H$116:$H$131,MATCH(Emissions!$D68,EF!$D$116:$D$131,0))*kgtoGg</f>
        <v>0</v>
      </c>
      <c r="AQ68" s="22">
        <f>INDEX('Activity data'!AQ$24:AQ$39,MATCH(Emissions!$D68,'Activity data'!$D$24:$D$39,0))*INDEX(EF!$H$84:$H$99,MATCH(Emissions!$D68,EF!$D$84:$D$99,0))*INDEX(EF!$H$100:$H$115,MATCH(Emissions!$D68,EF!$D$100:$D$115,0))*INDEX(EF!$H$116:$H$131,MATCH(Emissions!$D68,EF!$D$116:$D$131,0))*kgtoGg</f>
        <v>0</v>
      </c>
      <c r="AR68" s="22">
        <f>INDEX('Activity data'!AR$24:AR$39,MATCH(Emissions!$D68,'Activity data'!$D$24:$D$39,0))*INDEX(EF!$H$84:$H$99,MATCH(Emissions!$D68,EF!$D$84:$D$99,0))*INDEX(EF!$H$100:$H$115,MATCH(Emissions!$D68,EF!$D$100:$D$115,0))*INDEX(EF!$H$116:$H$131,MATCH(Emissions!$D68,EF!$D$116:$D$131,0))*kgtoGg</f>
        <v>0</v>
      </c>
      <c r="AS68" s="22">
        <f>INDEX('Activity data'!AS$24:AS$39,MATCH(Emissions!$D68,'Activity data'!$D$24:$D$39,0))*INDEX(EF!$H$84:$H$99,MATCH(Emissions!$D68,EF!$D$84:$D$99,0))*INDEX(EF!$H$100:$H$115,MATCH(Emissions!$D68,EF!$D$100:$D$115,0))*INDEX(EF!$H$116:$H$131,MATCH(Emissions!$D68,EF!$D$116:$D$131,0))*kgtoGg</f>
        <v>0</v>
      </c>
      <c r="AT68" s="22">
        <f>INDEX('Activity data'!AT$24:AT$39,MATCH(Emissions!$D68,'Activity data'!$D$24:$D$39,0))*INDEX(EF!$H$84:$H$99,MATCH(Emissions!$D68,EF!$D$84:$D$99,0))*INDEX(EF!$H$100:$H$115,MATCH(Emissions!$D68,EF!$D$100:$D$115,0))*INDEX(EF!$H$116:$H$131,MATCH(Emissions!$D68,EF!$D$116:$D$131,0))*kgtoGg</f>
        <v>0</v>
      </c>
      <c r="AU68" s="22">
        <f>INDEX('Activity data'!AU$24:AU$39,MATCH(Emissions!$D68,'Activity data'!$D$24:$D$39,0))*INDEX(EF!$H$84:$H$99,MATCH(Emissions!$D68,EF!$D$84:$D$99,0))*INDEX(EF!$H$100:$H$115,MATCH(Emissions!$D68,EF!$D$100:$D$115,0))*INDEX(EF!$H$116:$H$131,MATCH(Emissions!$D68,EF!$D$116:$D$131,0))*kgtoGg</f>
        <v>0</v>
      </c>
      <c r="AV68" s="22">
        <f>INDEX('Activity data'!AV$24:AV$39,MATCH(Emissions!$D68,'Activity data'!$D$24:$D$39,0))*INDEX(EF!$H$84:$H$99,MATCH(Emissions!$D68,EF!$D$84:$D$99,0))*INDEX(EF!$H$100:$H$115,MATCH(Emissions!$D68,EF!$D$100:$D$115,0))*INDEX(EF!$H$116:$H$131,MATCH(Emissions!$D68,EF!$D$116:$D$131,0))*kgtoGg</f>
        <v>0</v>
      </c>
      <c r="AW68" s="22">
        <f>INDEX('Activity data'!AW$24:AW$39,MATCH(Emissions!$D68,'Activity data'!$D$24:$D$39,0))*INDEX(EF!$H$84:$H$99,MATCH(Emissions!$D68,EF!$D$84:$D$99,0))*INDEX(EF!$H$100:$H$115,MATCH(Emissions!$D68,EF!$D$100:$D$115,0))*INDEX(EF!$H$116:$H$131,MATCH(Emissions!$D68,EF!$D$116:$D$131,0))*kgtoGg</f>
        <v>0</v>
      </c>
      <c r="AX68" s="22">
        <f>INDEX('Activity data'!AX$24:AX$39,MATCH(Emissions!$D68,'Activity data'!$D$24:$D$39,0))*INDEX(EF!$H$84:$H$99,MATCH(Emissions!$D68,EF!$D$84:$D$99,0))*INDEX(EF!$H$100:$H$115,MATCH(Emissions!$D68,EF!$D$100:$D$115,0))*INDEX(EF!$H$116:$H$131,MATCH(Emissions!$D68,EF!$D$116:$D$131,0))*kgtoGg</f>
        <v>0</v>
      </c>
      <c r="AY68" s="22">
        <f>INDEX('Activity data'!AY$24:AY$39,MATCH(Emissions!$D68,'Activity data'!$D$24:$D$39,0))*INDEX(EF!$H$84:$H$99,MATCH(Emissions!$D68,EF!$D$84:$D$99,0))*INDEX(EF!$H$100:$H$115,MATCH(Emissions!$D68,EF!$D$100:$D$115,0))*INDEX(EF!$H$116:$H$131,MATCH(Emissions!$D68,EF!$D$116:$D$131,0))*kgtoGg</f>
        <v>0</v>
      </c>
      <c r="AZ68" s="22">
        <f>INDEX('Activity data'!AZ$24:AZ$39,MATCH(Emissions!$D68,'Activity data'!$D$24:$D$39,0))*INDEX(EF!$H$84:$H$99,MATCH(Emissions!$D68,EF!$D$84:$D$99,0))*INDEX(EF!$H$100:$H$115,MATCH(Emissions!$D68,EF!$D$100:$D$115,0))*INDEX(EF!$H$116:$H$131,MATCH(Emissions!$D68,EF!$D$116:$D$131,0))*kgtoGg</f>
        <v>0</v>
      </c>
      <c r="BA68" s="22">
        <f>INDEX('Activity data'!BA$24:BA$39,MATCH(Emissions!$D68,'Activity data'!$D$24:$D$39,0))*INDEX(EF!$H$84:$H$99,MATCH(Emissions!$D68,EF!$D$84:$D$99,0))*INDEX(EF!$H$100:$H$115,MATCH(Emissions!$D68,EF!$D$100:$D$115,0))*INDEX(EF!$H$116:$H$131,MATCH(Emissions!$D68,EF!$D$116:$D$131,0))*kgtoGg</f>
        <v>0</v>
      </c>
      <c r="BB68" s="22">
        <f>INDEX('Activity data'!BB$24:BB$39,MATCH(Emissions!$D68,'Activity data'!$D$24:$D$39,0))*INDEX(EF!$H$84:$H$99,MATCH(Emissions!$D68,EF!$D$84:$D$99,0))*INDEX(EF!$H$100:$H$115,MATCH(Emissions!$D68,EF!$D$100:$D$115,0))*INDEX(EF!$H$116:$H$131,MATCH(Emissions!$D68,EF!$D$116:$D$131,0))*kgtoGg</f>
        <v>0</v>
      </c>
      <c r="BC68" s="22">
        <f>INDEX('Activity data'!BC$24:BC$39,MATCH(Emissions!$D68,'Activity data'!$D$24:$D$39,0))*INDEX(EF!$H$84:$H$99,MATCH(Emissions!$D68,EF!$D$84:$D$99,0))*INDEX(EF!$H$100:$H$115,MATCH(Emissions!$D68,EF!$D$100:$D$115,0))*INDEX(EF!$H$116:$H$131,MATCH(Emissions!$D68,EF!$D$116:$D$131,0))*kgtoGg</f>
        <v>0</v>
      </c>
      <c r="BD68" s="22">
        <f>INDEX('Activity data'!BD$24:BD$39,MATCH(Emissions!$D68,'Activity data'!$D$24:$D$39,0))*INDEX(EF!$H$84:$H$99,MATCH(Emissions!$D68,EF!$D$84:$D$99,0))*INDEX(EF!$H$100:$H$115,MATCH(Emissions!$D68,EF!$D$100:$D$115,0))*INDEX(EF!$H$116:$H$131,MATCH(Emissions!$D68,EF!$D$116:$D$131,0))*kgtoGg</f>
        <v>0</v>
      </c>
      <c r="BE68" s="22">
        <f>INDEX('Activity data'!BE$24:BE$39,MATCH(Emissions!$D68,'Activity data'!$D$24:$D$39,0))*INDEX(EF!$H$84:$H$99,MATCH(Emissions!$D68,EF!$D$84:$D$99,0))*INDEX(EF!$H$100:$H$115,MATCH(Emissions!$D68,EF!$D$100:$D$115,0))*INDEX(EF!$H$116:$H$131,MATCH(Emissions!$D68,EF!$D$116:$D$131,0))*kgtoGg</f>
        <v>0</v>
      </c>
      <c r="BF68" s="22">
        <f>INDEX('Activity data'!BF$24:BF$39,MATCH(Emissions!$D68,'Activity data'!$D$24:$D$39,0))*INDEX(EF!$H$84:$H$99,MATCH(Emissions!$D68,EF!$D$84:$D$99,0))*INDEX(EF!$H$100:$H$115,MATCH(Emissions!$D68,EF!$D$100:$D$115,0))*INDEX(EF!$H$116:$H$131,MATCH(Emissions!$D68,EF!$D$116:$D$131,0))*kgtoGg</f>
        <v>0</v>
      </c>
      <c r="BG68" s="22">
        <f>INDEX('Activity data'!BG$24:BG$39,MATCH(Emissions!$D68,'Activity data'!$D$24:$D$39,0))*INDEX(EF!$H$84:$H$99,MATCH(Emissions!$D68,EF!$D$84:$D$99,0))*INDEX(EF!$H$100:$H$115,MATCH(Emissions!$D68,EF!$D$100:$D$115,0))*INDEX(EF!$H$116:$H$131,MATCH(Emissions!$D68,EF!$D$116:$D$131,0))*kgtoGg</f>
        <v>0</v>
      </c>
      <c r="BH68" s="22">
        <f>INDEX('Activity data'!BH$24:BH$39,MATCH(Emissions!$D68,'Activity data'!$D$24:$D$39,0))*INDEX(EF!$H$84:$H$99,MATCH(Emissions!$D68,EF!$D$84:$D$99,0))*INDEX(EF!$H$100:$H$115,MATCH(Emissions!$D68,EF!$D$100:$D$115,0))*INDEX(EF!$H$116:$H$131,MATCH(Emissions!$D68,EF!$D$116:$D$131,0))*kgtoGg</f>
        <v>0</v>
      </c>
      <c r="BI68" s="22">
        <f>INDEX('Activity data'!BI$24:BI$39,MATCH(Emissions!$D68,'Activity data'!$D$24:$D$39,0))*INDEX(EF!$H$84:$H$99,MATCH(Emissions!$D68,EF!$D$84:$D$99,0))*INDEX(EF!$H$100:$H$115,MATCH(Emissions!$D68,EF!$D$100:$D$115,0))*INDEX(EF!$H$116:$H$131,MATCH(Emissions!$D68,EF!$D$116:$D$131,0))*kgtoGg</f>
        <v>0</v>
      </c>
      <c r="BJ68" s="22">
        <f>INDEX('Activity data'!BJ$24:BJ$39,MATCH(Emissions!$D68,'Activity data'!$D$24:$D$39,0))*INDEX(EF!$H$84:$H$99,MATCH(Emissions!$D68,EF!$D$84:$D$99,0))*INDEX(EF!$H$100:$H$115,MATCH(Emissions!$D68,EF!$D$100:$D$115,0))*INDEX(EF!$H$116:$H$131,MATCH(Emissions!$D68,EF!$D$116:$D$131,0))*kgtoGg</f>
        <v>0</v>
      </c>
      <c r="BK68" s="22">
        <f>INDEX('Activity data'!BK$24:BK$39,MATCH(Emissions!$D68,'Activity data'!$D$24:$D$39,0))*INDEX(EF!$H$84:$H$99,MATCH(Emissions!$D68,EF!$D$84:$D$99,0))*INDEX(EF!$H$100:$H$115,MATCH(Emissions!$D68,EF!$D$100:$D$115,0))*INDEX(EF!$H$116:$H$131,MATCH(Emissions!$D68,EF!$D$116:$D$131,0))*kgtoGg</f>
        <v>0</v>
      </c>
      <c r="BL68" s="22">
        <f>INDEX('Activity data'!BL$24:BL$39,MATCH(Emissions!$D68,'Activity data'!$D$24:$D$39,0))*INDEX(EF!$H$84:$H$99,MATCH(Emissions!$D68,EF!$D$84:$D$99,0))*INDEX(EF!$H$100:$H$115,MATCH(Emissions!$D68,EF!$D$100:$D$115,0))*INDEX(EF!$H$116:$H$131,MATCH(Emissions!$D68,EF!$D$116:$D$131,0))*kgtoGg</f>
        <v>0</v>
      </c>
      <c r="BM68" s="22">
        <f>INDEX('Activity data'!BM$24:BM$39,MATCH(Emissions!$D68,'Activity data'!$D$24:$D$39,0))*INDEX(EF!$H$84:$H$99,MATCH(Emissions!$D68,EF!$D$84:$D$99,0))*INDEX(EF!$H$100:$H$115,MATCH(Emissions!$D68,EF!$D$100:$D$115,0))*INDEX(EF!$H$116:$H$131,MATCH(Emissions!$D68,EF!$D$116:$D$131,0))*kgtoGg</f>
        <v>0</v>
      </c>
      <c r="BN68" s="22">
        <f>INDEX('Activity data'!BN$24:BN$39,MATCH(Emissions!$D68,'Activity data'!$D$24:$D$39,0))*INDEX(EF!$H$84:$H$99,MATCH(Emissions!$D68,EF!$D$84:$D$99,0))*INDEX(EF!$H$100:$H$115,MATCH(Emissions!$D68,EF!$D$100:$D$115,0))*INDEX(EF!$H$116:$H$131,MATCH(Emissions!$D68,EF!$D$116:$D$131,0))*kgtoGg</f>
        <v>0</v>
      </c>
      <c r="BO68" s="22">
        <f>INDEX('Activity data'!BO$24:BO$39,MATCH(Emissions!$D68,'Activity data'!$D$24:$D$39,0))*INDEX(EF!$H$84:$H$99,MATCH(Emissions!$D68,EF!$D$84:$D$99,0))*INDEX(EF!$H$100:$H$115,MATCH(Emissions!$D68,EF!$D$100:$D$115,0))*INDEX(EF!$H$116:$H$131,MATCH(Emissions!$D68,EF!$D$116:$D$131,0))*kgtoGg</f>
        <v>0</v>
      </c>
      <c r="BP68" s="22">
        <f>INDEX('Activity data'!BP$24:BP$39,MATCH(Emissions!$D68,'Activity data'!$D$24:$D$39,0))*INDEX(EF!$H$84:$H$99,MATCH(Emissions!$D68,EF!$D$84:$D$99,0))*INDEX(EF!$H$100:$H$115,MATCH(Emissions!$D68,EF!$D$100:$D$115,0))*INDEX(EF!$H$116:$H$131,MATCH(Emissions!$D68,EF!$D$116:$D$131,0))*kgtoGg</f>
        <v>0</v>
      </c>
    </row>
    <row r="69" spans="1:68" x14ac:dyDescent="0.25">
      <c r="A69" t="str">
        <f t="shared" si="19"/>
        <v>3C Aggregated and non-CO2 emissions on land</v>
      </c>
      <c r="B69" t="str">
        <f t="shared" si="20"/>
        <v>3C1 Biomass burning (CH4)</v>
      </c>
      <c r="C69" t="str">
        <f>'IPCC Categories'!C64</f>
        <v>3C1f Biomass burning in Other lands</v>
      </c>
      <c r="D69" t="str">
        <f>EF!D99</f>
        <v>Bare ground</v>
      </c>
      <c r="E69" t="s">
        <v>655</v>
      </c>
      <c r="F69" t="str">
        <f t="shared" si="23"/>
        <v>CH4</v>
      </c>
      <c r="G69" t="str">
        <f t="shared" si="24"/>
        <v>Gg CH4</v>
      </c>
      <c r="H69" s="22">
        <f>INDEX('Activity data'!H$24:H$39,MATCH(Emissions!$D69,'Activity data'!$D$24:$D$39,0))*INDEX(EF!$H$84:$H$99,MATCH(Emissions!$D69,EF!$D$84:$D$99,0))*INDEX(EF!$H$100:$H$115,MATCH(Emissions!$D69,EF!$D$100:$D$115,0))*INDEX(EF!$H$116:$H$131,MATCH(Emissions!$D69,EF!$D$116:$D$131,0))*kgtoGg</f>
        <v>0</v>
      </c>
      <c r="I69" s="22">
        <f>INDEX('Activity data'!I$24:I$39,MATCH(Emissions!$D69,'Activity data'!$D$24:$D$39,0))*INDEX(EF!$H$84:$H$99,MATCH(Emissions!$D69,EF!$D$84:$D$99,0))*INDEX(EF!$H$100:$H$115,MATCH(Emissions!$D69,EF!$D$100:$D$115,0))*INDEX(EF!$H$116:$H$131,MATCH(Emissions!$D69,EF!$D$116:$D$131,0))*kgtoGg</f>
        <v>0</v>
      </c>
      <c r="J69" s="22">
        <f>INDEX('Activity data'!J$24:J$39,MATCH(Emissions!$D69,'Activity data'!$D$24:$D$39,0))*INDEX(EF!$H$84:$H$99,MATCH(Emissions!$D69,EF!$D$84:$D$99,0))*INDEX(EF!$H$100:$H$115,MATCH(Emissions!$D69,EF!$D$100:$D$115,0))*INDEX(EF!$H$116:$H$131,MATCH(Emissions!$D69,EF!$D$116:$D$131,0))*kgtoGg</f>
        <v>0</v>
      </c>
      <c r="K69" s="22">
        <f>INDEX('Activity data'!K$24:K$39,MATCH(Emissions!$D69,'Activity data'!$D$24:$D$39,0))*INDEX(EF!$H$84:$H$99,MATCH(Emissions!$D69,EF!$D$84:$D$99,0))*INDEX(EF!$H$100:$H$115,MATCH(Emissions!$D69,EF!$D$100:$D$115,0))*INDEX(EF!$H$116:$H$131,MATCH(Emissions!$D69,EF!$D$116:$D$131,0))*kgtoGg</f>
        <v>0</v>
      </c>
      <c r="L69" s="22">
        <f>INDEX('Activity data'!L$24:L$39,MATCH(Emissions!$D69,'Activity data'!$D$24:$D$39,0))*INDEX(EF!$H$84:$H$99,MATCH(Emissions!$D69,EF!$D$84:$D$99,0))*INDEX(EF!$H$100:$H$115,MATCH(Emissions!$D69,EF!$D$100:$D$115,0))*INDEX(EF!$H$116:$H$131,MATCH(Emissions!$D69,EF!$D$116:$D$131,0))*kgtoGg</f>
        <v>0</v>
      </c>
      <c r="M69" s="22">
        <f>INDEX('Activity data'!M$24:M$39,MATCH(Emissions!$D69,'Activity data'!$D$24:$D$39,0))*INDEX(EF!$H$84:$H$99,MATCH(Emissions!$D69,EF!$D$84:$D$99,0))*INDEX(EF!$H$100:$H$115,MATCH(Emissions!$D69,EF!$D$100:$D$115,0))*INDEX(EF!$H$116:$H$131,MATCH(Emissions!$D69,EF!$D$116:$D$131,0))*kgtoGg</f>
        <v>0</v>
      </c>
      <c r="N69" s="22">
        <f>INDEX('Activity data'!N$24:N$39,MATCH(Emissions!$D69,'Activity data'!$D$24:$D$39,0))*INDEX(EF!$H$84:$H$99,MATCH(Emissions!$D69,EF!$D$84:$D$99,0))*INDEX(EF!$H$100:$H$115,MATCH(Emissions!$D69,EF!$D$100:$D$115,0))*INDEX(EF!$H$116:$H$131,MATCH(Emissions!$D69,EF!$D$116:$D$131,0))*kgtoGg</f>
        <v>0</v>
      </c>
      <c r="O69" s="22">
        <f>INDEX('Activity data'!O$24:O$39,MATCH(Emissions!$D69,'Activity data'!$D$24:$D$39,0))*INDEX(EF!$H$84:$H$99,MATCH(Emissions!$D69,EF!$D$84:$D$99,0))*INDEX(EF!$H$100:$H$115,MATCH(Emissions!$D69,EF!$D$100:$D$115,0))*INDEX(EF!$H$116:$H$131,MATCH(Emissions!$D69,EF!$D$116:$D$131,0))*kgtoGg</f>
        <v>0</v>
      </c>
      <c r="P69" s="22">
        <f>INDEX('Activity data'!P$24:P$39,MATCH(Emissions!$D69,'Activity data'!$D$24:$D$39,0))*INDEX(EF!$H$84:$H$99,MATCH(Emissions!$D69,EF!$D$84:$D$99,0))*INDEX(EF!$H$100:$H$115,MATCH(Emissions!$D69,EF!$D$100:$D$115,0))*INDEX(EF!$H$116:$H$131,MATCH(Emissions!$D69,EF!$D$116:$D$131,0))*kgtoGg</f>
        <v>0</v>
      </c>
      <c r="Q69" s="22">
        <f>INDEX('Activity data'!Q$24:Q$39,MATCH(Emissions!$D69,'Activity data'!$D$24:$D$39,0))*INDEX(EF!$H$84:$H$99,MATCH(Emissions!$D69,EF!$D$84:$D$99,0))*INDEX(EF!$H$100:$H$115,MATCH(Emissions!$D69,EF!$D$100:$D$115,0))*INDEX(EF!$H$116:$H$131,MATCH(Emissions!$D69,EF!$D$116:$D$131,0))*kgtoGg</f>
        <v>0</v>
      </c>
      <c r="R69" s="22">
        <f>INDEX('Activity data'!R$24:R$39,MATCH(Emissions!$D69,'Activity data'!$D$24:$D$39,0))*INDEX(EF!$H$84:$H$99,MATCH(Emissions!$D69,EF!$D$84:$D$99,0))*INDEX(EF!$H$100:$H$115,MATCH(Emissions!$D69,EF!$D$100:$D$115,0))*INDEX(EF!$H$116:$H$131,MATCH(Emissions!$D69,EF!$D$116:$D$131,0))*kgtoGg</f>
        <v>0</v>
      </c>
      <c r="S69" s="22">
        <f>INDEX('Activity data'!S$24:S$39,MATCH(Emissions!$D69,'Activity data'!$D$24:$D$39,0))*INDEX(EF!$H$84:$H$99,MATCH(Emissions!$D69,EF!$D$84:$D$99,0))*INDEX(EF!$H$100:$H$115,MATCH(Emissions!$D69,EF!$D$100:$D$115,0))*INDEX(EF!$H$116:$H$131,MATCH(Emissions!$D69,EF!$D$116:$D$131,0))*kgtoGg</f>
        <v>0</v>
      </c>
      <c r="T69" s="22">
        <f>INDEX('Activity data'!T$24:T$39,MATCH(Emissions!$D69,'Activity data'!$D$24:$D$39,0))*INDEX(EF!$H$84:$H$99,MATCH(Emissions!$D69,EF!$D$84:$D$99,0))*INDEX(EF!$H$100:$H$115,MATCH(Emissions!$D69,EF!$D$100:$D$115,0))*INDEX(EF!$H$116:$H$131,MATCH(Emissions!$D69,EF!$D$116:$D$131,0))*kgtoGg</f>
        <v>0</v>
      </c>
      <c r="U69" s="22">
        <f>INDEX('Activity data'!U$24:U$39,MATCH(Emissions!$D69,'Activity data'!$D$24:$D$39,0))*INDEX(EF!$H$84:$H$99,MATCH(Emissions!$D69,EF!$D$84:$D$99,0))*INDEX(EF!$H$100:$H$115,MATCH(Emissions!$D69,EF!$D$100:$D$115,0))*INDEX(EF!$H$116:$H$131,MATCH(Emissions!$D69,EF!$D$116:$D$131,0))*kgtoGg</f>
        <v>0</v>
      </c>
      <c r="V69" s="22">
        <f>INDEX('Activity data'!V$24:V$39,MATCH(Emissions!$D69,'Activity data'!$D$24:$D$39,0))*INDEX(EF!$H$84:$H$99,MATCH(Emissions!$D69,EF!$D$84:$D$99,0))*INDEX(EF!$H$100:$H$115,MATCH(Emissions!$D69,EF!$D$100:$D$115,0))*INDEX(EF!$H$116:$H$131,MATCH(Emissions!$D69,EF!$D$116:$D$131,0))*kgtoGg</f>
        <v>0</v>
      </c>
      <c r="W69" s="22">
        <f>INDEX('Activity data'!W$24:W$39,MATCH(Emissions!$D69,'Activity data'!$D$24:$D$39,0))*INDEX(EF!$H$84:$H$99,MATCH(Emissions!$D69,EF!$D$84:$D$99,0))*INDEX(EF!$H$100:$H$115,MATCH(Emissions!$D69,EF!$D$100:$D$115,0))*INDEX(EF!$H$116:$H$131,MATCH(Emissions!$D69,EF!$D$116:$D$131,0))*kgtoGg</f>
        <v>0</v>
      </c>
      <c r="X69" s="22">
        <f>INDEX('Activity data'!X$24:X$39,MATCH(Emissions!$D69,'Activity data'!$D$24:$D$39,0))*INDEX(EF!$H$84:$H$99,MATCH(Emissions!$D69,EF!$D$84:$D$99,0))*INDEX(EF!$H$100:$H$115,MATCH(Emissions!$D69,EF!$D$100:$D$115,0))*INDEX(EF!$H$116:$H$131,MATCH(Emissions!$D69,EF!$D$116:$D$131,0))*kgtoGg</f>
        <v>0</v>
      </c>
      <c r="Y69" s="22">
        <f>INDEX('Activity data'!Y$24:Y$39,MATCH(Emissions!$D69,'Activity data'!$D$24:$D$39,0))*INDEX(EF!$H$84:$H$99,MATCH(Emissions!$D69,EF!$D$84:$D$99,0))*INDEX(EF!$H$100:$H$115,MATCH(Emissions!$D69,EF!$D$100:$D$115,0))*INDEX(EF!$H$116:$H$131,MATCH(Emissions!$D69,EF!$D$116:$D$131,0))*kgtoGg</f>
        <v>0</v>
      </c>
      <c r="Z69" s="22">
        <f>INDEX('Activity data'!Z$24:Z$39,MATCH(Emissions!$D69,'Activity data'!$D$24:$D$39,0))*INDEX(EF!$H$84:$H$99,MATCH(Emissions!$D69,EF!$D$84:$D$99,0))*INDEX(EF!$H$100:$H$115,MATCH(Emissions!$D69,EF!$D$100:$D$115,0))*INDEX(EF!$H$116:$H$131,MATCH(Emissions!$D69,EF!$D$116:$D$131,0))*kgtoGg</f>
        <v>0</v>
      </c>
      <c r="AA69" s="22">
        <f>INDEX('Activity data'!AA$24:AA$39,MATCH(Emissions!$D69,'Activity data'!$D$24:$D$39,0))*INDEX(EF!$H$84:$H$99,MATCH(Emissions!$D69,EF!$D$84:$D$99,0))*INDEX(EF!$H$100:$H$115,MATCH(Emissions!$D69,EF!$D$100:$D$115,0))*INDEX(EF!$H$116:$H$131,MATCH(Emissions!$D69,EF!$D$116:$D$131,0))*kgtoGg</f>
        <v>0</v>
      </c>
      <c r="AB69" s="22">
        <f>INDEX('Activity data'!AB$24:AB$39,MATCH(Emissions!$D69,'Activity data'!$D$24:$D$39,0))*INDEX(EF!$H$84:$H$99,MATCH(Emissions!$D69,EF!$D$84:$D$99,0))*INDEX(EF!$H$100:$H$115,MATCH(Emissions!$D69,EF!$D$100:$D$115,0))*INDEX(EF!$H$116:$H$131,MATCH(Emissions!$D69,EF!$D$116:$D$131,0))*kgtoGg</f>
        <v>0</v>
      </c>
      <c r="AC69" s="22">
        <f>INDEX('Activity data'!AC$24:AC$39,MATCH(Emissions!$D69,'Activity data'!$D$24:$D$39,0))*INDEX(EF!$H$84:$H$99,MATCH(Emissions!$D69,EF!$D$84:$D$99,0))*INDEX(EF!$H$100:$H$115,MATCH(Emissions!$D69,EF!$D$100:$D$115,0))*INDEX(EF!$H$116:$H$131,MATCH(Emissions!$D69,EF!$D$116:$D$131,0))*kgtoGg</f>
        <v>0</v>
      </c>
      <c r="AD69" s="22">
        <f>INDEX('Activity data'!AD$24:AD$39,MATCH(Emissions!$D69,'Activity data'!$D$24:$D$39,0))*INDEX(EF!$H$84:$H$99,MATCH(Emissions!$D69,EF!$D$84:$D$99,0))*INDEX(EF!$H$100:$H$115,MATCH(Emissions!$D69,EF!$D$100:$D$115,0))*INDEX(EF!$H$116:$H$131,MATCH(Emissions!$D69,EF!$D$116:$D$131,0))*kgtoGg</f>
        <v>0</v>
      </c>
      <c r="AE69" s="22">
        <f>INDEX('Activity data'!AE$24:AE$39,MATCH(Emissions!$D69,'Activity data'!$D$24:$D$39,0))*INDEX(EF!$H$84:$H$99,MATCH(Emissions!$D69,EF!$D$84:$D$99,0))*INDEX(EF!$H$100:$H$115,MATCH(Emissions!$D69,EF!$D$100:$D$115,0))*INDEX(EF!$H$116:$H$131,MATCH(Emissions!$D69,EF!$D$116:$D$131,0))*kgtoGg</f>
        <v>0</v>
      </c>
      <c r="AF69" s="22">
        <f>INDEX('Activity data'!AF$24:AF$39,MATCH(Emissions!$D69,'Activity data'!$D$24:$D$39,0))*INDEX(EF!$H$84:$H$99,MATCH(Emissions!$D69,EF!$D$84:$D$99,0))*INDEX(EF!$H$100:$H$115,MATCH(Emissions!$D69,EF!$D$100:$D$115,0))*INDEX(EF!$H$116:$H$131,MATCH(Emissions!$D69,EF!$D$116:$D$131,0))*kgtoGg</f>
        <v>0</v>
      </c>
      <c r="AG69" s="22">
        <f>INDEX('Activity data'!AG$24:AG$39,MATCH(Emissions!$D69,'Activity data'!$D$24:$D$39,0))*INDEX(EF!$H$84:$H$99,MATCH(Emissions!$D69,EF!$D$84:$D$99,0))*INDEX(EF!$H$100:$H$115,MATCH(Emissions!$D69,EF!$D$100:$D$115,0))*INDEX(EF!$H$116:$H$131,MATCH(Emissions!$D69,EF!$D$116:$D$131,0))*kgtoGg</f>
        <v>0</v>
      </c>
      <c r="AH69" s="22">
        <f>INDEX('Activity data'!AH$24:AH$39,MATCH(Emissions!$D69,'Activity data'!$D$24:$D$39,0))*INDEX(EF!$H$84:$H$99,MATCH(Emissions!$D69,EF!$D$84:$D$99,0))*INDEX(EF!$H$100:$H$115,MATCH(Emissions!$D69,EF!$D$100:$D$115,0))*INDEX(EF!$H$116:$H$131,MATCH(Emissions!$D69,EF!$D$116:$D$131,0))*kgtoGg</f>
        <v>0</v>
      </c>
      <c r="AI69" s="22">
        <f>INDEX('Activity data'!AI$24:AI$39,MATCH(Emissions!$D69,'Activity data'!$D$24:$D$39,0))*INDEX(EF!$H$84:$H$99,MATCH(Emissions!$D69,EF!$D$84:$D$99,0))*INDEX(EF!$H$100:$H$115,MATCH(Emissions!$D69,EF!$D$100:$D$115,0))*INDEX(EF!$H$116:$H$131,MATCH(Emissions!$D69,EF!$D$116:$D$131,0))*kgtoGg</f>
        <v>0</v>
      </c>
      <c r="AJ69" s="22">
        <f>INDEX('Activity data'!AJ$24:AJ$39,MATCH(Emissions!$D69,'Activity data'!$D$24:$D$39,0))*INDEX(EF!$H$84:$H$99,MATCH(Emissions!$D69,EF!$D$84:$D$99,0))*INDEX(EF!$H$100:$H$115,MATCH(Emissions!$D69,EF!$D$100:$D$115,0))*INDEX(EF!$H$116:$H$131,MATCH(Emissions!$D69,EF!$D$116:$D$131,0))*kgtoGg</f>
        <v>0</v>
      </c>
      <c r="AK69" s="22">
        <f>INDEX('Activity data'!AK$24:AK$39,MATCH(Emissions!$D69,'Activity data'!$D$24:$D$39,0))*INDEX(EF!$H$84:$H$99,MATCH(Emissions!$D69,EF!$D$84:$D$99,0))*INDEX(EF!$H$100:$H$115,MATCH(Emissions!$D69,EF!$D$100:$D$115,0))*INDEX(EF!$H$116:$H$131,MATCH(Emissions!$D69,EF!$D$116:$D$131,0))*kgtoGg</f>
        <v>0</v>
      </c>
      <c r="AL69" s="22">
        <f>INDEX('Activity data'!AL$24:AL$39,MATCH(Emissions!$D69,'Activity data'!$D$24:$D$39,0))*INDEX(EF!$H$84:$H$99,MATCH(Emissions!$D69,EF!$D$84:$D$99,0))*INDEX(EF!$H$100:$H$115,MATCH(Emissions!$D69,EF!$D$100:$D$115,0))*INDEX(EF!$H$116:$H$131,MATCH(Emissions!$D69,EF!$D$116:$D$131,0))*kgtoGg</f>
        <v>0</v>
      </c>
      <c r="AM69" s="22">
        <f>INDEX('Activity data'!AM$24:AM$39,MATCH(Emissions!$D69,'Activity data'!$D$24:$D$39,0))*INDEX(EF!$H$84:$H$99,MATCH(Emissions!$D69,EF!$D$84:$D$99,0))*INDEX(EF!$H$100:$H$115,MATCH(Emissions!$D69,EF!$D$100:$D$115,0))*INDEX(EF!$H$116:$H$131,MATCH(Emissions!$D69,EF!$D$116:$D$131,0))*kgtoGg</f>
        <v>0</v>
      </c>
      <c r="AN69" s="22">
        <f>INDEX('Activity data'!AN$24:AN$39,MATCH(Emissions!$D69,'Activity data'!$D$24:$D$39,0))*INDEX(EF!$H$84:$H$99,MATCH(Emissions!$D69,EF!$D$84:$D$99,0))*INDEX(EF!$H$100:$H$115,MATCH(Emissions!$D69,EF!$D$100:$D$115,0))*INDEX(EF!$H$116:$H$131,MATCH(Emissions!$D69,EF!$D$116:$D$131,0))*kgtoGg</f>
        <v>0</v>
      </c>
      <c r="AO69" s="22">
        <f>INDEX('Activity data'!AO$24:AO$39,MATCH(Emissions!$D69,'Activity data'!$D$24:$D$39,0))*INDEX(EF!$H$84:$H$99,MATCH(Emissions!$D69,EF!$D$84:$D$99,0))*INDEX(EF!$H$100:$H$115,MATCH(Emissions!$D69,EF!$D$100:$D$115,0))*INDEX(EF!$H$116:$H$131,MATCH(Emissions!$D69,EF!$D$116:$D$131,0))*kgtoGg</f>
        <v>0</v>
      </c>
      <c r="AP69" s="22">
        <f>INDEX('Activity data'!AP$24:AP$39,MATCH(Emissions!$D69,'Activity data'!$D$24:$D$39,0))*INDEX(EF!$H$84:$H$99,MATCH(Emissions!$D69,EF!$D$84:$D$99,0))*INDEX(EF!$H$100:$H$115,MATCH(Emissions!$D69,EF!$D$100:$D$115,0))*INDEX(EF!$H$116:$H$131,MATCH(Emissions!$D69,EF!$D$116:$D$131,0))*kgtoGg</f>
        <v>0</v>
      </c>
      <c r="AQ69" s="22">
        <f>INDEX('Activity data'!AQ$24:AQ$39,MATCH(Emissions!$D69,'Activity data'!$D$24:$D$39,0))*INDEX(EF!$H$84:$H$99,MATCH(Emissions!$D69,EF!$D$84:$D$99,0))*INDEX(EF!$H$100:$H$115,MATCH(Emissions!$D69,EF!$D$100:$D$115,0))*INDEX(EF!$H$116:$H$131,MATCH(Emissions!$D69,EF!$D$116:$D$131,0))*kgtoGg</f>
        <v>0</v>
      </c>
      <c r="AR69" s="22">
        <f>INDEX('Activity data'!AR$24:AR$39,MATCH(Emissions!$D69,'Activity data'!$D$24:$D$39,0))*INDEX(EF!$H$84:$H$99,MATCH(Emissions!$D69,EF!$D$84:$D$99,0))*INDEX(EF!$H$100:$H$115,MATCH(Emissions!$D69,EF!$D$100:$D$115,0))*INDEX(EF!$H$116:$H$131,MATCH(Emissions!$D69,EF!$D$116:$D$131,0))*kgtoGg</f>
        <v>0</v>
      </c>
      <c r="AS69" s="22">
        <f>INDEX('Activity data'!AS$24:AS$39,MATCH(Emissions!$D69,'Activity data'!$D$24:$D$39,0))*INDEX(EF!$H$84:$H$99,MATCH(Emissions!$D69,EF!$D$84:$D$99,0))*INDEX(EF!$H$100:$H$115,MATCH(Emissions!$D69,EF!$D$100:$D$115,0))*INDEX(EF!$H$116:$H$131,MATCH(Emissions!$D69,EF!$D$116:$D$131,0))*kgtoGg</f>
        <v>0</v>
      </c>
      <c r="AT69" s="22">
        <f>INDEX('Activity data'!AT$24:AT$39,MATCH(Emissions!$D69,'Activity data'!$D$24:$D$39,0))*INDEX(EF!$H$84:$H$99,MATCH(Emissions!$D69,EF!$D$84:$D$99,0))*INDEX(EF!$H$100:$H$115,MATCH(Emissions!$D69,EF!$D$100:$D$115,0))*INDEX(EF!$H$116:$H$131,MATCH(Emissions!$D69,EF!$D$116:$D$131,0))*kgtoGg</f>
        <v>0</v>
      </c>
      <c r="AU69" s="22">
        <f>INDEX('Activity data'!AU$24:AU$39,MATCH(Emissions!$D69,'Activity data'!$D$24:$D$39,0))*INDEX(EF!$H$84:$H$99,MATCH(Emissions!$D69,EF!$D$84:$D$99,0))*INDEX(EF!$H$100:$H$115,MATCH(Emissions!$D69,EF!$D$100:$D$115,0))*INDEX(EF!$H$116:$H$131,MATCH(Emissions!$D69,EF!$D$116:$D$131,0))*kgtoGg</f>
        <v>0</v>
      </c>
      <c r="AV69" s="22">
        <f>INDEX('Activity data'!AV$24:AV$39,MATCH(Emissions!$D69,'Activity data'!$D$24:$D$39,0))*INDEX(EF!$H$84:$H$99,MATCH(Emissions!$D69,EF!$D$84:$D$99,0))*INDEX(EF!$H$100:$H$115,MATCH(Emissions!$D69,EF!$D$100:$D$115,0))*INDEX(EF!$H$116:$H$131,MATCH(Emissions!$D69,EF!$D$116:$D$131,0))*kgtoGg</f>
        <v>0</v>
      </c>
      <c r="AW69" s="22">
        <f>INDEX('Activity data'!AW$24:AW$39,MATCH(Emissions!$D69,'Activity data'!$D$24:$D$39,0))*INDEX(EF!$H$84:$H$99,MATCH(Emissions!$D69,EF!$D$84:$D$99,0))*INDEX(EF!$H$100:$H$115,MATCH(Emissions!$D69,EF!$D$100:$D$115,0))*INDEX(EF!$H$116:$H$131,MATCH(Emissions!$D69,EF!$D$116:$D$131,0))*kgtoGg</f>
        <v>0</v>
      </c>
      <c r="AX69" s="22">
        <f>INDEX('Activity data'!AX$24:AX$39,MATCH(Emissions!$D69,'Activity data'!$D$24:$D$39,0))*INDEX(EF!$H$84:$H$99,MATCH(Emissions!$D69,EF!$D$84:$D$99,0))*INDEX(EF!$H$100:$H$115,MATCH(Emissions!$D69,EF!$D$100:$D$115,0))*INDEX(EF!$H$116:$H$131,MATCH(Emissions!$D69,EF!$D$116:$D$131,0))*kgtoGg</f>
        <v>0</v>
      </c>
      <c r="AY69" s="22">
        <f>INDEX('Activity data'!AY$24:AY$39,MATCH(Emissions!$D69,'Activity data'!$D$24:$D$39,0))*INDEX(EF!$H$84:$H$99,MATCH(Emissions!$D69,EF!$D$84:$D$99,0))*INDEX(EF!$H$100:$H$115,MATCH(Emissions!$D69,EF!$D$100:$D$115,0))*INDEX(EF!$H$116:$H$131,MATCH(Emissions!$D69,EF!$D$116:$D$131,0))*kgtoGg</f>
        <v>0</v>
      </c>
      <c r="AZ69" s="22">
        <f>INDEX('Activity data'!AZ$24:AZ$39,MATCH(Emissions!$D69,'Activity data'!$D$24:$D$39,0))*INDEX(EF!$H$84:$H$99,MATCH(Emissions!$D69,EF!$D$84:$D$99,0))*INDEX(EF!$H$100:$H$115,MATCH(Emissions!$D69,EF!$D$100:$D$115,0))*INDEX(EF!$H$116:$H$131,MATCH(Emissions!$D69,EF!$D$116:$D$131,0))*kgtoGg</f>
        <v>0</v>
      </c>
      <c r="BA69" s="22">
        <f>INDEX('Activity data'!BA$24:BA$39,MATCH(Emissions!$D69,'Activity data'!$D$24:$D$39,0))*INDEX(EF!$H$84:$H$99,MATCH(Emissions!$D69,EF!$D$84:$D$99,0))*INDEX(EF!$H$100:$H$115,MATCH(Emissions!$D69,EF!$D$100:$D$115,0))*INDEX(EF!$H$116:$H$131,MATCH(Emissions!$D69,EF!$D$116:$D$131,0))*kgtoGg</f>
        <v>0</v>
      </c>
      <c r="BB69" s="22">
        <f>INDEX('Activity data'!BB$24:BB$39,MATCH(Emissions!$D69,'Activity data'!$D$24:$D$39,0))*INDEX(EF!$H$84:$H$99,MATCH(Emissions!$D69,EF!$D$84:$D$99,0))*INDEX(EF!$H$100:$H$115,MATCH(Emissions!$D69,EF!$D$100:$D$115,0))*INDEX(EF!$H$116:$H$131,MATCH(Emissions!$D69,EF!$D$116:$D$131,0))*kgtoGg</f>
        <v>0</v>
      </c>
      <c r="BC69" s="22">
        <f>INDEX('Activity data'!BC$24:BC$39,MATCH(Emissions!$D69,'Activity data'!$D$24:$D$39,0))*INDEX(EF!$H$84:$H$99,MATCH(Emissions!$D69,EF!$D$84:$D$99,0))*INDEX(EF!$H$100:$H$115,MATCH(Emissions!$D69,EF!$D$100:$D$115,0))*INDEX(EF!$H$116:$H$131,MATCH(Emissions!$D69,EF!$D$116:$D$131,0))*kgtoGg</f>
        <v>0</v>
      </c>
      <c r="BD69" s="22">
        <f>INDEX('Activity data'!BD$24:BD$39,MATCH(Emissions!$D69,'Activity data'!$D$24:$D$39,0))*INDEX(EF!$H$84:$H$99,MATCH(Emissions!$D69,EF!$D$84:$D$99,0))*INDEX(EF!$H$100:$H$115,MATCH(Emissions!$D69,EF!$D$100:$D$115,0))*INDEX(EF!$H$116:$H$131,MATCH(Emissions!$D69,EF!$D$116:$D$131,0))*kgtoGg</f>
        <v>0</v>
      </c>
      <c r="BE69" s="22">
        <f>INDEX('Activity data'!BE$24:BE$39,MATCH(Emissions!$D69,'Activity data'!$D$24:$D$39,0))*INDEX(EF!$H$84:$H$99,MATCH(Emissions!$D69,EF!$D$84:$D$99,0))*INDEX(EF!$H$100:$H$115,MATCH(Emissions!$D69,EF!$D$100:$D$115,0))*INDEX(EF!$H$116:$H$131,MATCH(Emissions!$D69,EF!$D$116:$D$131,0))*kgtoGg</f>
        <v>0</v>
      </c>
      <c r="BF69" s="22">
        <f>INDEX('Activity data'!BF$24:BF$39,MATCH(Emissions!$D69,'Activity data'!$D$24:$D$39,0))*INDEX(EF!$H$84:$H$99,MATCH(Emissions!$D69,EF!$D$84:$D$99,0))*INDEX(EF!$H$100:$H$115,MATCH(Emissions!$D69,EF!$D$100:$D$115,0))*INDEX(EF!$H$116:$H$131,MATCH(Emissions!$D69,EF!$D$116:$D$131,0))*kgtoGg</f>
        <v>0</v>
      </c>
      <c r="BG69" s="22">
        <f>INDEX('Activity data'!BG$24:BG$39,MATCH(Emissions!$D69,'Activity data'!$D$24:$D$39,0))*INDEX(EF!$H$84:$H$99,MATCH(Emissions!$D69,EF!$D$84:$D$99,0))*INDEX(EF!$H$100:$H$115,MATCH(Emissions!$D69,EF!$D$100:$D$115,0))*INDEX(EF!$H$116:$H$131,MATCH(Emissions!$D69,EF!$D$116:$D$131,0))*kgtoGg</f>
        <v>0</v>
      </c>
      <c r="BH69" s="22">
        <f>INDEX('Activity data'!BH$24:BH$39,MATCH(Emissions!$D69,'Activity data'!$D$24:$D$39,0))*INDEX(EF!$H$84:$H$99,MATCH(Emissions!$D69,EF!$D$84:$D$99,0))*INDEX(EF!$H$100:$H$115,MATCH(Emissions!$D69,EF!$D$100:$D$115,0))*INDEX(EF!$H$116:$H$131,MATCH(Emissions!$D69,EF!$D$116:$D$131,0))*kgtoGg</f>
        <v>0</v>
      </c>
      <c r="BI69" s="22">
        <f>INDEX('Activity data'!BI$24:BI$39,MATCH(Emissions!$D69,'Activity data'!$D$24:$D$39,0))*INDEX(EF!$H$84:$H$99,MATCH(Emissions!$D69,EF!$D$84:$D$99,0))*INDEX(EF!$H$100:$H$115,MATCH(Emissions!$D69,EF!$D$100:$D$115,0))*INDEX(EF!$H$116:$H$131,MATCH(Emissions!$D69,EF!$D$116:$D$131,0))*kgtoGg</f>
        <v>0</v>
      </c>
      <c r="BJ69" s="22">
        <f>INDEX('Activity data'!BJ$24:BJ$39,MATCH(Emissions!$D69,'Activity data'!$D$24:$D$39,0))*INDEX(EF!$H$84:$H$99,MATCH(Emissions!$D69,EF!$D$84:$D$99,0))*INDEX(EF!$H$100:$H$115,MATCH(Emissions!$D69,EF!$D$100:$D$115,0))*INDEX(EF!$H$116:$H$131,MATCH(Emissions!$D69,EF!$D$116:$D$131,0))*kgtoGg</f>
        <v>0</v>
      </c>
      <c r="BK69" s="22">
        <f>INDEX('Activity data'!BK$24:BK$39,MATCH(Emissions!$D69,'Activity data'!$D$24:$D$39,0))*INDEX(EF!$H$84:$H$99,MATCH(Emissions!$D69,EF!$D$84:$D$99,0))*INDEX(EF!$H$100:$H$115,MATCH(Emissions!$D69,EF!$D$100:$D$115,0))*INDEX(EF!$H$116:$H$131,MATCH(Emissions!$D69,EF!$D$116:$D$131,0))*kgtoGg</f>
        <v>0</v>
      </c>
      <c r="BL69" s="22">
        <f>INDEX('Activity data'!BL$24:BL$39,MATCH(Emissions!$D69,'Activity data'!$D$24:$D$39,0))*INDEX(EF!$H$84:$H$99,MATCH(Emissions!$D69,EF!$D$84:$D$99,0))*INDEX(EF!$H$100:$H$115,MATCH(Emissions!$D69,EF!$D$100:$D$115,0))*INDEX(EF!$H$116:$H$131,MATCH(Emissions!$D69,EF!$D$116:$D$131,0))*kgtoGg</f>
        <v>0</v>
      </c>
      <c r="BM69" s="22">
        <f>INDEX('Activity data'!BM$24:BM$39,MATCH(Emissions!$D69,'Activity data'!$D$24:$D$39,0))*INDEX(EF!$H$84:$H$99,MATCH(Emissions!$D69,EF!$D$84:$D$99,0))*INDEX(EF!$H$100:$H$115,MATCH(Emissions!$D69,EF!$D$100:$D$115,0))*INDEX(EF!$H$116:$H$131,MATCH(Emissions!$D69,EF!$D$116:$D$131,0))*kgtoGg</f>
        <v>0</v>
      </c>
      <c r="BN69" s="22">
        <f>INDEX('Activity data'!BN$24:BN$39,MATCH(Emissions!$D69,'Activity data'!$D$24:$D$39,0))*INDEX(EF!$H$84:$H$99,MATCH(Emissions!$D69,EF!$D$84:$D$99,0))*INDEX(EF!$H$100:$H$115,MATCH(Emissions!$D69,EF!$D$100:$D$115,0))*INDEX(EF!$H$116:$H$131,MATCH(Emissions!$D69,EF!$D$116:$D$131,0))*kgtoGg</f>
        <v>0</v>
      </c>
      <c r="BO69" s="22">
        <f>INDEX('Activity data'!BO$24:BO$39,MATCH(Emissions!$D69,'Activity data'!$D$24:$D$39,0))*INDEX(EF!$H$84:$H$99,MATCH(Emissions!$D69,EF!$D$84:$D$99,0))*INDEX(EF!$H$100:$H$115,MATCH(Emissions!$D69,EF!$D$100:$D$115,0))*INDEX(EF!$H$116:$H$131,MATCH(Emissions!$D69,EF!$D$116:$D$131,0))*kgtoGg</f>
        <v>0</v>
      </c>
      <c r="BP69" s="22">
        <f>INDEX('Activity data'!BP$24:BP$39,MATCH(Emissions!$D69,'Activity data'!$D$24:$D$39,0))*INDEX(EF!$H$84:$H$99,MATCH(Emissions!$D69,EF!$D$84:$D$99,0))*INDEX(EF!$H$100:$H$115,MATCH(Emissions!$D69,EF!$D$100:$D$115,0))*INDEX(EF!$H$116:$H$131,MATCH(Emissions!$D69,EF!$D$116:$D$131,0))*kgtoGg</f>
        <v>0</v>
      </c>
    </row>
    <row r="70" spans="1:68" x14ac:dyDescent="0.25">
      <c r="A70" t="str">
        <f t="shared" si="19"/>
        <v>3C Aggregated and non-CO2 emissions on land</v>
      </c>
      <c r="B70" t="str">
        <f>'IPCC Categories'!B65</f>
        <v>3C1 Biomass burning (N2O)</v>
      </c>
      <c r="C70" t="str">
        <f>C54</f>
        <v>3C1a Biomass burning in forest land</v>
      </c>
      <c r="D70" t="str">
        <f>EF!D100</f>
        <v>Indigenous forests</v>
      </c>
      <c r="E70" t="s">
        <v>640</v>
      </c>
      <c r="F70" t="s">
        <v>139</v>
      </c>
      <c r="G70" t="s">
        <v>287</v>
      </c>
      <c r="H70" s="22">
        <f>INDEX('Activity data'!H$24:H$39,MATCH(Emissions!$D70,'Activity data'!$D$24:$D$39,0))*INDEX(EF!$H$84:$H$99,MATCH(Emissions!$D70,EF!$D$84:$D$99,0))*INDEX(EF!$H$100:$H$115,MATCH(Emissions!$D70,EF!$D$100:$D$115,0))*INDEX(EF!$H$132:$H$147,MATCH(Emissions!$D70,EF!$D$132:$D$147,0))*kgtoGg</f>
        <v>7.1698949255307107E-2</v>
      </c>
      <c r="I70" s="22">
        <f>INDEX('Activity data'!I$24:I$39,MATCH(Emissions!$D70,'Activity data'!$D$24:$D$39,0))*INDEX(EF!$H$84:$H$99,MATCH(Emissions!$D70,EF!$D$84:$D$99,0))*INDEX(EF!$H$100:$H$115,MATCH(Emissions!$D70,EF!$D$100:$D$115,0))*INDEX(EF!$H$132:$H$147,MATCH(Emissions!$D70,EF!$D$132:$D$147,0))*kgtoGg</f>
        <v>7.1698949255307107E-2</v>
      </c>
      <c r="J70" s="22">
        <f>INDEX('Activity data'!J$24:J$39,MATCH(Emissions!$D70,'Activity data'!$D$24:$D$39,0))*INDEX(EF!$H$84:$H$99,MATCH(Emissions!$D70,EF!$D$84:$D$99,0))*INDEX(EF!$H$100:$H$115,MATCH(Emissions!$D70,EF!$D$100:$D$115,0))*INDEX(EF!$H$132:$H$147,MATCH(Emissions!$D70,EF!$D$132:$D$147,0))*kgtoGg</f>
        <v>7.1698949255307107E-2</v>
      </c>
      <c r="K70" s="22">
        <f>INDEX('Activity data'!K$24:K$39,MATCH(Emissions!$D70,'Activity data'!$D$24:$D$39,0))*INDEX(EF!$H$84:$H$99,MATCH(Emissions!$D70,EF!$D$84:$D$99,0))*INDEX(EF!$H$100:$H$115,MATCH(Emissions!$D70,EF!$D$100:$D$115,0))*INDEX(EF!$H$132:$H$147,MATCH(Emissions!$D70,EF!$D$132:$D$147,0))*kgtoGg</f>
        <v>7.1698949255307107E-2</v>
      </c>
      <c r="L70" s="22">
        <f>INDEX('Activity data'!L$24:L$39,MATCH(Emissions!$D70,'Activity data'!$D$24:$D$39,0))*INDEX(EF!$H$84:$H$99,MATCH(Emissions!$D70,EF!$D$84:$D$99,0))*INDEX(EF!$H$100:$H$115,MATCH(Emissions!$D70,EF!$D$100:$D$115,0))*INDEX(EF!$H$132:$H$147,MATCH(Emissions!$D70,EF!$D$132:$D$147,0))*kgtoGg</f>
        <v>7.1698949255307107E-2</v>
      </c>
      <c r="M70" s="22">
        <f>INDEX('Activity data'!M$24:M$39,MATCH(Emissions!$D70,'Activity data'!$D$24:$D$39,0))*INDEX(EF!$H$84:$H$99,MATCH(Emissions!$D70,EF!$D$84:$D$99,0))*INDEX(EF!$H$100:$H$115,MATCH(Emissions!$D70,EF!$D$100:$D$115,0))*INDEX(EF!$H$132:$H$147,MATCH(Emissions!$D70,EF!$D$132:$D$147,0))*kgtoGg</f>
        <v>7.1698949255307107E-2</v>
      </c>
      <c r="N70" s="22">
        <f>INDEX('Activity data'!N$24:N$39,MATCH(Emissions!$D70,'Activity data'!$D$24:$D$39,0))*INDEX(EF!$H$84:$H$99,MATCH(Emissions!$D70,EF!$D$84:$D$99,0))*INDEX(EF!$H$100:$H$115,MATCH(Emissions!$D70,EF!$D$100:$D$115,0))*INDEX(EF!$H$132:$H$147,MATCH(Emissions!$D70,EF!$D$132:$D$147,0))*kgtoGg</f>
        <v>7.1698949255307107E-2</v>
      </c>
      <c r="O70" s="22">
        <f>INDEX('Activity data'!O$24:O$39,MATCH(Emissions!$D70,'Activity data'!$D$24:$D$39,0))*INDEX(EF!$H$84:$H$99,MATCH(Emissions!$D70,EF!$D$84:$D$99,0))*INDEX(EF!$H$100:$H$115,MATCH(Emissions!$D70,EF!$D$100:$D$115,0))*INDEX(EF!$H$132:$H$147,MATCH(Emissions!$D70,EF!$D$132:$D$147,0))*kgtoGg</f>
        <v>7.1698949255307107E-2</v>
      </c>
      <c r="P70" s="22">
        <f>INDEX('Activity data'!P$24:P$39,MATCH(Emissions!$D70,'Activity data'!$D$24:$D$39,0))*INDEX(EF!$H$84:$H$99,MATCH(Emissions!$D70,EF!$D$84:$D$99,0))*INDEX(EF!$H$100:$H$115,MATCH(Emissions!$D70,EF!$D$100:$D$115,0))*INDEX(EF!$H$132:$H$147,MATCH(Emissions!$D70,EF!$D$132:$D$147,0))*kgtoGg</f>
        <v>7.1698949255307107E-2</v>
      </c>
      <c r="Q70" s="22">
        <f>INDEX('Activity data'!Q$24:Q$39,MATCH(Emissions!$D70,'Activity data'!$D$24:$D$39,0))*INDEX(EF!$H$84:$H$99,MATCH(Emissions!$D70,EF!$D$84:$D$99,0))*INDEX(EF!$H$100:$H$115,MATCH(Emissions!$D70,EF!$D$100:$D$115,0))*INDEX(EF!$H$132:$H$147,MATCH(Emissions!$D70,EF!$D$132:$D$147,0))*kgtoGg</f>
        <v>7.1698949255307107E-2</v>
      </c>
      <c r="R70" s="22">
        <f>INDEX('Activity data'!R$24:R$39,MATCH(Emissions!$D70,'Activity data'!$D$24:$D$39,0))*INDEX(EF!$H$84:$H$99,MATCH(Emissions!$D70,EF!$D$84:$D$99,0))*INDEX(EF!$H$100:$H$115,MATCH(Emissions!$D70,EF!$D$100:$D$115,0))*INDEX(EF!$H$132:$H$147,MATCH(Emissions!$D70,EF!$D$132:$D$147,0))*kgtoGg</f>
        <v>6.6163543298883465E-2</v>
      </c>
      <c r="S70" s="22">
        <f>INDEX('Activity data'!S$24:S$39,MATCH(Emissions!$D70,'Activity data'!$D$24:$D$39,0))*INDEX(EF!$H$84:$H$99,MATCH(Emissions!$D70,EF!$D$84:$D$99,0))*INDEX(EF!$H$100:$H$115,MATCH(Emissions!$D70,EF!$D$100:$D$115,0))*INDEX(EF!$H$132:$H$147,MATCH(Emissions!$D70,EF!$D$132:$D$147,0))*kgtoGg</f>
        <v>7.3647032038254498E-2</v>
      </c>
      <c r="T70" s="22">
        <f>INDEX('Activity data'!T$24:T$39,MATCH(Emissions!$D70,'Activity data'!$D$24:$D$39,0))*INDEX(EF!$H$84:$H$99,MATCH(Emissions!$D70,EF!$D$84:$D$99,0))*INDEX(EF!$H$100:$H$115,MATCH(Emissions!$D70,EF!$D$100:$D$115,0))*INDEX(EF!$H$132:$H$147,MATCH(Emissions!$D70,EF!$D$132:$D$147,0))*kgtoGg</f>
        <v>6.7351398654339173E-2</v>
      </c>
      <c r="U70" s="22">
        <f>INDEX('Activity data'!U$24:U$39,MATCH(Emissions!$D70,'Activity data'!$D$24:$D$39,0))*INDEX(EF!$H$84:$H$99,MATCH(Emissions!$D70,EF!$D$84:$D$99,0))*INDEX(EF!$H$100:$H$115,MATCH(Emissions!$D70,EF!$D$100:$D$115,0))*INDEX(EF!$H$132:$H$147,MATCH(Emissions!$D70,EF!$D$132:$D$147,0))*kgtoGg</f>
        <v>8.4931657915083808E-2</v>
      </c>
      <c r="V70" s="22">
        <f>INDEX('Activity data'!V$24:V$39,MATCH(Emissions!$D70,'Activity data'!$D$24:$D$39,0))*INDEX(EF!$H$84:$H$99,MATCH(Emissions!$D70,EF!$D$84:$D$99,0))*INDEX(EF!$H$100:$H$115,MATCH(Emissions!$D70,EF!$D$100:$D$115,0))*INDEX(EF!$H$132:$H$147,MATCH(Emissions!$D70,EF!$D$132:$D$147,0))*kgtoGg</f>
        <v>6.6401114369974604E-2</v>
      </c>
      <c r="W70" s="22">
        <f>INDEX('Activity data'!W$24:W$39,MATCH(Emissions!$D70,'Activity data'!$D$24:$D$39,0))*INDEX(EF!$H$84:$H$99,MATCH(Emissions!$D70,EF!$D$84:$D$99,0))*INDEX(EF!$H$100:$H$115,MATCH(Emissions!$D70,EF!$D$100:$D$115,0))*INDEX(EF!$H$132:$H$147,MATCH(Emissions!$D70,EF!$D$132:$D$147,0))*kgtoGg</f>
        <v>8.7307368625995224E-2</v>
      </c>
      <c r="X70" s="22">
        <f>INDEX('Activity data'!X$24:X$39,MATCH(Emissions!$D70,'Activity data'!$D$24:$D$39,0))*INDEX(EF!$H$84:$H$99,MATCH(Emissions!$D70,EF!$D$84:$D$99,0))*INDEX(EF!$H$100:$H$115,MATCH(Emissions!$D70,EF!$D$100:$D$115,0))*INDEX(EF!$H$132:$H$147,MATCH(Emissions!$D70,EF!$D$132:$D$147,0))*kgtoGg</f>
        <v>7.7923311317895039E-2</v>
      </c>
      <c r="Y70" s="22">
        <f>INDEX('Activity data'!Y$24:Y$39,MATCH(Emissions!$D70,'Activity data'!$D$24:$D$39,0))*INDEX(EF!$H$84:$H$99,MATCH(Emissions!$D70,EF!$D$84:$D$99,0))*INDEX(EF!$H$100:$H$115,MATCH(Emissions!$D70,EF!$D$100:$D$115,0))*INDEX(EF!$H$132:$H$147,MATCH(Emissions!$D70,EF!$D$132:$D$147,0))*kgtoGg</f>
        <v>0.10191798949810055</v>
      </c>
      <c r="Z70" s="22">
        <f>INDEX('Activity data'!Z$24:Z$39,MATCH(Emissions!$D70,'Activity data'!$D$24:$D$39,0))*INDEX(EF!$H$84:$H$99,MATCH(Emissions!$D70,EF!$D$84:$D$99,0))*INDEX(EF!$H$100:$H$115,MATCH(Emissions!$D70,EF!$D$100:$D$115,0))*INDEX(EF!$H$132:$H$147,MATCH(Emissions!$D70,EF!$D$132:$D$147,0))*kgtoGg</f>
        <v>8.5288014521720509E-2</v>
      </c>
      <c r="AA70" s="22">
        <f>INDEX('Activity data'!AA$24:AA$39,MATCH(Emissions!$D70,'Activity data'!$D$24:$D$39,0))*INDEX(EF!$H$84:$H$99,MATCH(Emissions!$D70,EF!$D$84:$D$99,0))*INDEX(EF!$H$100:$H$115,MATCH(Emissions!$D70,EF!$D$100:$D$115,0))*INDEX(EF!$H$132:$H$147,MATCH(Emissions!$D70,EF!$D$132:$D$147,0))*kgtoGg</f>
        <v>8.4100159166264801E-2</v>
      </c>
      <c r="AB70" s="22">
        <f>INDEX('Activity data'!AB$24:AB$39,MATCH(Emissions!$D70,'Activity data'!$D$24:$D$39,0))*INDEX(EF!$H$84:$H$99,MATCH(Emissions!$D70,EF!$D$84:$D$99,0))*INDEX(EF!$H$100:$H$115,MATCH(Emissions!$D70,EF!$D$100:$D$115,0))*INDEX(EF!$H$132:$H$147,MATCH(Emissions!$D70,EF!$D$132:$D$147,0))*kgtoGg</f>
        <v>6.8956842239999996E-2</v>
      </c>
      <c r="AC70" s="22">
        <f>INDEX('Activity data'!AC$24:AC$39,MATCH(Emissions!$D70,'Activity data'!$D$24:$D$39,0))*INDEX(EF!$H$84:$H$99,MATCH(Emissions!$D70,EF!$D$84:$D$99,0))*INDEX(EF!$H$100:$H$115,MATCH(Emissions!$D70,EF!$D$100:$D$115,0))*INDEX(EF!$H$132:$H$147,MATCH(Emissions!$D70,EF!$D$132:$D$147,0))*kgtoGg</f>
        <v>5.1697708920000009E-2</v>
      </c>
      <c r="AD70" s="22">
        <f>INDEX('Activity data'!AD$24:AD$39,MATCH(Emissions!$D70,'Activity data'!$D$24:$D$39,0))*INDEX(EF!$H$84:$H$99,MATCH(Emissions!$D70,EF!$D$84:$D$99,0))*INDEX(EF!$H$100:$H$115,MATCH(Emissions!$D70,EF!$D$100:$D$115,0))*INDEX(EF!$H$132:$H$147,MATCH(Emissions!$D70,EF!$D$132:$D$147,0))*kgtoGg</f>
        <v>6.9999126484672408E-2</v>
      </c>
      <c r="AE70" s="22">
        <f>INDEX('Activity data'!AE$24:AE$39,MATCH(Emissions!$D70,'Activity data'!$D$24:$D$39,0))*INDEX(EF!$H$84:$H$99,MATCH(Emissions!$D70,EF!$D$84:$D$99,0))*INDEX(EF!$H$100:$H$115,MATCH(Emissions!$D70,EF!$D$100:$D$115,0))*INDEX(EF!$H$132:$H$147,MATCH(Emissions!$D70,EF!$D$132:$D$147,0))*kgtoGg</f>
        <v>6.9969256669183813E-2</v>
      </c>
      <c r="AF70" s="22">
        <f>INDEX('Activity data'!AF$24:AF$39,MATCH(Emissions!$D70,'Activity data'!$D$24:$D$39,0))*INDEX(EF!$H$84:$H$99,MATCH(Emissions!$D70,EF!$D$84:$D$99,0))*INDEX(EF!$H$100:$H$115,MATCH(Emissions!$D70,EF!$D$100:$D$115,0))*INDEX(EF!$H$132:$H$147,MATCH(Emissions!$D70,EF!$D$132:$D$147,0))*kgtoGg</f>
        <v>6.9939386853695204E-2</v>
      </c>
      <c r="AG70" s="22">
        <f>INDEX('Activity data'!AG$24:AG$39,MATCH(Emissions!$D70,'Activity data'!$D$24:$D$39,0))*INDEX(EF!$H$84:$H$99,MATCH(Emissions!$D70,EF!$D$84:$D$99,0))*INDEX(EF!$H$100:$H$115,MATCH(Emissions!$D70,EF!$D$100:$D$115,0))*INDEX(EF!$H$132:$H$147,MATCH(Emissions!$D70,EF!$D$132:$D$147,0))*kgtoGg</f>
        <v>6.9909517038206595E-2</v>
      </c>
      <c r="AH70" s="22">
        <f>INDEX('Activity data'!AH$24:AH$39,MATCH(Emissions!$D70,'Activity data'!$D$24:$D$39,0))*INDEX(EF!$H$84:$H$99,MATCH(Emissions!$D70,EF!$D$84:$D$99,0))*INDEX(EF!$H$100:$H$115,MATCH(Emissions!$D70,EF!$D$100:$D$115,0))*INDEX(EF!$H$132:$H$147,MATCH(Emissions!$D70,EF!$D$132:$D$147,0))*kgtoGg</f>
        <v>6.9879647222718E-2</v>
      </c>
      <c r="AI70" s="22">
        <f>INDEX('Activity data'!AI$24:AI$39,MATCH(Emissions!$D70,'Activity data'!$D$24:$D$39,0))*INDEX(EF!$H$84:$H$99,MATCH(Emissions!$D70,EF!$D$84:$D$99,0))*INDEX(EF!$H$100:$H$115,MATCH(Emissions!$D70,EF!$D$100:$D$115,0))*INDEX(EF!$H$132:$H$147,MATCH(Emissions!$D70,EF!$D$132:$D$147,0))*kgtoGg</f>
        <v>6.9849777407229377E-2</v>
      </c>
      <c r="AJ70" s="22">
        <f>INDEX('Activity data'!AJ$24:AJ$39,MATCH(Emissions!$D70,'Activity data'!$D$24:$D$39,0))*INDEX(EF!$H$84:$H$99,MATCH(Emissions!$D70,EF!$D$84:$D$99,0))*INDEX(EF!$H$100:$H$115,MATCH(Emissions!$D70,EF!$D$100:$D$115,0))*INDEX(EF!$H$132:$H$147,MATCH(Emissions!$D70,EF!$D$132:$D$147,0))*kgtoGg</f>
        <v>6.9819907591740768E-2</v>
      </c>
      <c r="AK70" s="22">
        <f>INDEX('Activity data'!AK$24:AK$39,MATCH(Emissions!$D70,'Activity data'!$D$24:$D$39,0))*INDEX(EF!$H$84:$H$99,MATCH(Emissions!$D70,EF!$D$84:$D$99,0))*INDEX(EF!$H$100:$H$115,MATCH(Emissions!$D70,EF!$D$100:$D$115,0))*INDEX(EF!$H$132:$H$147,MATCH(Emissions!$D70,EF!$D$132:$D$147,0))*kgtoGg</f>
        <v>6.9790037776252159E-2</v>
      </c>
      <c r="AL70" s="22">
        <f>INDEX('Activity data'!AL$24:AL$39,MATCH(Emissions!$D70,'Activity data'!$D$24:$D$39,0))*INDEX(EF!$H$84:$H$99,MATCH(Emissions!$D70,EF!$D$84:$D$99,0))*INDEX(EF!$H$100:$H$115,MATCH(Emissions!$D70,EF!$D$100:$D$115,0))*INDEX(EF!$H$132:$H$147,MATCH(Emissions!$D70,EF!$D$132:$D$147,0))*kgtoGg</f>
        <v>6.9760167960763578E-2</v>
      </c>
      <c r="AM70" s="22">
        <f>INDEX('Activity data'!AM$24:AM$39,MATCH(Emissions!$D70,'Activity data'!$D$24:$D$39,0))*INDEX(EF!$H$84:$H$99,MATCH(Emissions!$D70,EF!$D$84:$D$99,0))*INDEX(EF!$H$100:$H$115,MATCH(Emissions!$D70,EF!$D$100:$D$115,0))*INDEX(EF!$H$132:$H$147,MATCH(Emissions!$D70,EF!$D$132:$D$147,0))*kgtoGg</f>
        <v>6.9730298145274969E-2</v>
      </c>
      <c r="AN70" s="22">
        <f>INDEX('Activity data'!AN$24:AN$39,MATCH(Emissions!$D70,'Activity data'!$D$24:$D$39,0))*INDEX(EF!$H$84:$H$99,MATCH(Emissions!$D70,EF!$D$84:$D$99,0))*INDEX(EF!$H$100:$H$115,MATCH(Emissions!$D70,EF!$D$100:$D$115,0))*INDEX(EF!$H$132:$H$147,MATCH(Emissions!$D70,EF!$D$132:$D$147,0))*kgtoGg</f>
        <v>6.9700428329786346E-2</v>
      </c>
      <c r="AO70" s="22">
        <f>INDEX('Activity data'!AO$24:AO$39,MATCH(Emissions!$D70,'Activity data'!$D$24:$D$39,0))*INDEX(EF!$H$84:$H$99,MATCH(Emissions!$D70,EF!$D$84:$D$99,0))*INDEX(EF!$H$100:$H$115,MATCH(Emissions!$D70,EF!$D$100:$D$115,0))*INDEX(EF!$H$132:$H$147,MATCH(Emissions!$D70,EF!$D$132:$D$147,0))*kgtoGg</f>
        <v>6.9670558514297751E-2</v>
      </c>
      <c r="AP70" s="22">
        <f>INDEX('Activity data'!AP$24:AP$39,MATCH(Emissions!$D70,'Activity data'!$D$24:$D$39,0))*INDEX(EF!$H$84:$H$99,MATCH(Emissions!$D70,EF!$D$84:$D$99,0))*INDEX(EF!$H$100:$H$115,MATCH(Emissions!$D70,EF!$D$100:$D$115,0))*INDEX(EF!$H$132:$H$147,MATCH(Emissions!$D70,EF!$D$132:$D$147,0))*kgtoGg</f>
        <v>6.9640688698809156E-2</v>
      </c>
      <c r="AQ70" s="22">
        <f>INDEX('Activity data'!AQ$24:AQ$39,MATCH(Emissions!$D70,'Activity data'!$D$24:$D$39,0))*INDEX(EF!$H$84:$H$99,MATCH(Emissions!$D70,EF!$D$84:$D$99,0))*INDEX(EF!$H$100:$H$115,MATCH(Emissions!$D70,EF!$D$100:$D$115,0))*INDEX(EF!$H$132:$H$147,MATCH(Emissions!$D70,EF!$D$132:$D$147,0))*kgtoGg</f>
        <v>6.9610818883320533E-2</v>
      </c>
      <c r="AR70" s="22">
        <f>INDEX('Activity data'!AR$24:AR$39,MATCH(Emissions!$D70,'Activity data'!$D$24:$D$39,0))*INDEX(EF!$H$84:$H$99,MATCH(Emissions!$D70,EF!$D$84:$D$99,0))*INDEX(EF!$H$100:$H$115,MATCH(Emissions!$D70,EF!$D$100:$D$115,0))*INDEX(EF!$H$132:$H$147,MATCH(Emissions!$D70,EF!$D$132:$D$147,0))*kgtoGg</f>
        <v>6.9580949067831938E-2</v>
      </c>
      <c r="AS70" s="22">
        <f>INDEX('Activity data'!AS$24:AS$39,MATCH(Emissions!$D70,'Activity data'!$D$24:$D$39,0))*INDEX(EF!$H$84:$H$99,MATCH(Emissions!$D70,EF!$D$84:$D$99,0))*INDEX(EF!$H$100:$H$115,MATCH(Emissions!$D70,EF!$D$100:$D$115,0))*INDEX(EF!$H$132:$H$147,MATCH(Emissions!$D70,EF!$D$132:$D$147,0))*kgtoGg</f>
        <v>6.9551079252343315E-2</v>
      </c>
      <c r="AT70" s="22">
        <f>INDEX('Activity data'!AT$24:AT$39,MATCH(Emissions!$D70,'Activity data'!$D$24:$D$39,0))*INDEX(EF!$H$84:$H$99,MATCH(Emissions!$D70,EF!$D$84:$D$99,0))*INDEX(EF!$H$100:$H$115,MATCH(Emissions!$D70,EF!$D$100:$D$115,0))*INDEX(EF!$H$132:$H$147,MATCH(Emissions!$D70,EF!$D$132:$D$147,0))*kgtoGg</f>
        <v>6.9521209436854706E-2</v>
      </c>
      <c r="AU70" s="22">
        <f>INDEX('Activity data'!AU$24:AU$39,MATCH(Emissions!$D70,'Activity data'!$D$24:$D$39,0))*INDEX(EF!$H$84:$H$99,MATCH(Emissions!$D70,EF!$D$84:$D$99,0))*INDEX(EF!$H$100:$H$115,MATCH(Emissions!$D70,EF!$D$100:$D$115,0))*INDEX(EF!$H$132:$H$147,MATCH(Emissions!$D70,EF!$D$132:$D$147,0))*kgtoGg</f>
        <v>6.9491339621366111E-2</v>
      </c>
      <c r="AV70" s="22">
        <f>INDEX('Activity data'!AV$24:AV$39,MATCH(Emissions!$D70,'Activity data'!$D$24:$D$39,0))*INDEX(EF!$H$84:$H$99,MATCH(Emissions!$D70,EF!$D$84:$D$99,0))*INDEX(EF!$H$100:$H$115,MATCH(Emissions!$D70,EF!$D$100:$D$115,0))*INDEX(EF!$H$132:$H$147,MATCH(Emissions!$D70,EF!$D$132:$D$147,0))*kgtoGg</f>
        <v>6.9461469805877502E-2</v>
      </c>
      <c r="AW70" s="22">
        <f>INDEX('Activity data'!AW$24:AW$39,MATCH(Emissions!$D70,'Activity data'!$D$24:$D$39,0))*INDEX(EF!$H$84:$H$99,MATCH(Emissions!$D70,EF!$D$84:$D$99,0))*INDEX(EF!$H$100:$H$115,MATCH(Emissions!$D70,EF!$D$100:$D$115,0))*INDEX(EF!$H$132:$H$147,MATCH(Emissions!$D70,EF!$D$132:$D$147,0))*kgtoGg</f>
        <v>6.9431599990388893E-2</v>
      </c>
      <c r="AX70" s="22">
        <f>INDEX('Activity data'!AX$24:AX$39,MATCH(Emissions!$D70,'Activity data'!$D$24:$D$39,0))*INDEX(EF!$H$84:$H$99,MATCH(Emissions!$D70,EF!$D$84:$D$99,0))*INDEX(EF!$H$100:$H$115,MATCH(Emissions!$D70,EF!$D$100:$D$115,0))*INDEX(EF!$H$132:$H$147,MATCH(Emissions!$D70,EF!$D$132:$D$147,0))*kgtoGg</f>
        <v>6.9401730174900297E-2</v>
      </c>
      <c r="AY70" s="22">
        <f>INDEX('Activity data'!AY$24:AY$39,MATCH(Emissions!$D70,'Activity data'!$D$24:$D$39,0))*INDEX(EF!$H$84:$H$99,MATCH(Emissions!$D70,EF!$D$84:$D$99,0))*INDEX(EF!$H$100:$H$115,MATCH(Emissions!$D70,EF!$D$100:$D$115,0))*INDEX(EF!$H$132:$H$147,MATCH(Emissions!$D70,EF!$D$132:$D$147,0))*kgtoGg</f>
        <v>6.9371860359411688E-2</v>
      </c>
      <c r="AZ70" s="22">
        <f>INDEX('Activity data'!AZ$24:AZ$39,MATCH(Emissions!$D70,'Activity data'!$D$24:$D$39,0))*INDEX(EF!$H$84:$H$99,MATCH(Emissions!$D70,EF!$D$84:$D$99,0))*INDEX(EF!$H$100:$H$115,MATCH(Emissions!$D70,EF!$D$100:$D$115,0))*INDEX(EF!$H$132:$H$147,MATCH(Emissions!$D70,EF!$D$132:$D$147,0))*kgtoGg</f>
        <v>6.9341990543923093E-2</v>
      </c>
      <c r="BA70" s="22">
        <f>INDEX('Activity data'!BA$24:BA$39,MATCH(Emissions!$D70,'Activity data'!$D$24:$D$39,0))*INDEX(EF!$H$84:$H$99,MATCH(Emissions!$D70,EF!$D$84:$D$99,0))*INDEX(EF!$H$100:$H$115,MATCH(Emissions!$D70,EF!$D$100:$D$115,0))*INDEX(EF!$H$132:$H$147,MATCH(Emissions!$D70,EF!$D$132:$D$147,0))*kgtoGg</f>
        <v>6.931212072843447E-2</v>
      </c>
      <c r="BB70" s="22">
        <f>INDEX('Activity data'!BB$24:BB$39,MATCH(Emissions!$D70,'Activity data'!$D$24:$D$39,0))*INDEX(EF!$H$84:$H$99,MATCH(Emissions!$D70,EF!$D$84:$D$99,0))*INDEX(EF!$H$100:$H$115,MATCH(Emissions!$D70,EF!$D$100:$D$115,0))*INDEX(EF!$H$132:$H$147,MATCH(Emissions!$D70,EF!$D$132:$D$147,0))*kgtoGg</f>
        <v>6.9282250912945875E-2</v>
      </c>
      <c r="BC70" s="22">
        <f>INDEX('Activity data'!BC$24:BC$39,MATCH(Emissions!$D70,'Activity data'!$D$24:$D$39,0))*INDEX(EF!$H$84:$H$99,MATCH(Emissions!$D70,EF!$D$84:$D$99,0))*INDEX(EF!$H$100:$H$115,MATCH(Emissions!$D70,EF!$D$100:$D$115,0))*INDEX(EF!$H$132:$H$147,MATCH(Emissions!$D70,EF!$D$132:$D$147,0))*kgtoGg</f>
        <v>6.9252381097457266E-2</v>
      </c>
      <c r="BD70" s="22">
        <f>INDEX('Activity data'!BD$24:BD$39,MATCH(Emissions!$D70,'Activity data'!$D$24:$D$39,0))*INDEX(EF!$H$84:$H$99,MATCH(Emissions!$D70,EF!$D$84:$D$99,0))*INDEX(EF!$H$100:$H$115,MATCH(Emissions!$D70,EF!$D$100:$D$115,0))*INDEX(EF!$H$132:$H$147,MATCH(Emissions!$D70,EF!$D$132:$D$147,0))*kgtoGg</f>
        <v>6.9222511281968643E-2</v>
      </c>
      <c r="BE70" s="22">
        <f>INDEX('Activity data'!BE$24:BE$39,MATCH(Emissions!$D70,'Activity data'!$D$24:$D$39,0))*INDEX(EF!$H$84:$H$99,MATCH(Emissions!$D70,EF!$D$84:$D$99,0))*INDEX(EF!$H$100:$H$115,MATCH(Emissions!$D70,EF!$D$100:$D$115,0))*INDEX(EF!$H$132:$H$147,MATCH(Emissions!$D70,EF!$D$132:$D$147,0))*kgtoGg</f>
        <v>6.9192641466480048E-2</v>
      </c>
      <c r="BF70" s="22">
        <f>INDEX('Activity data'!BF$24:BF$39,MATCH(Emissions!$D70,'Activity data'!$D$24:$D$39,0))*INDEX(EF!$H$84:$H$99,MATCH(Emissions!$D70,EF!$D$84:$D$99,0))*INDEX(EF!$H$100:$H$115,MATCH(Emissions!$D70,EF!$D$100:$D$115,0))*INDEX(EF!$H$132:$H$147,MATCH(Emissions!$D70,EF!$D$132:$D$147,0))*kgtoGg</f>
        <v>6.9162771650991453E-2</v>
      </c>
      <c r="BG70" s="22">
        <f>INDEX('Activity data'!BG$24:BG$39,MATCH(Emissions!$D70,'Activity data'!$D$24:$D$39,0))*INDEX(EF!$H$84:$H$99,MATCH(Emissions!$D70,EF!$D$84:$D$99,0))*INDEX(EF!$H$100:$H$115,MATCH(Emissions!$D70,EF!$D$100:$D$115,0))*INDEX(EF!$H$132:$H$147,MATCH(Emissions!$D70,EF!$D$132:$D$147,0))*kgtoGg</f>
        <v>6.913290183550283E-2</v>
      </c>
      <c r="BH70" s="22">
        <f>INDEX('Activity data'!BH$24:BH$39,MATCH(Emissions!$D70,'Activity data'!$D$24:$D$39,0))*INDEX(EF!$H$84:$H$99,MATCH(Emissions!$D70,EF!$D$84:$D$99,0))*INDEX(EF!$H$100:$H$115,MATCH(Emissions!$D70,EF!$D$100:$D$115,0))*INDEX(EF!$H$132:$H$147,MATCH(Emissions!$D70,EF!$D$132:$D$147,0))*kgtoGg</f>
        <v>6.9103032020014235E-2</v>
      </c>
      <c r="BI70" s="22">
        <f>INDEX('Activity data'!BI$24:BI$39,MATCH(Emissions!$D70,'Activity data'!$D$24:$D$39,0))*INDEX(EF!$H$84:$H$99,MATCH(Emissions!$D70,EF!$D$84:$D$99,0))*INDEX(EF!$H$100:$H$115,MATCH(Emissions!$D70,EF!$D$100:$D$115,0))*INDEX(EF!$H$132:$H$147,MATCH(Emissions!$D70,EF!$D$132:$D$147,0))*kgtoGg</f>
        <v>6.9073162204525626E-2</v>
      </c>
      <c r="BJ70" s="22">
        <f>INDEX('Activity data'!BJ$24:BJ$39,MATCH(Emissions!$D70,'Activity data'!$D$24:$D$39,0))*INDEX(EF!$H$84:$H$99,MATCH(Emissions!$D70,EF!$D$84:$D$99,0))*INDEX(EF!$H$100:$H$115,MATCH(Emissions!$D70,EF!$D$100:$D$115,0))*INDEX(EF!$H$132:$H$147,MATCH(Emissions!$D70,EF!$D$132:$D$147,0))*kgtoGg</f>
        <v>6.9043292389037031E-2</v>
      </c>
      <c r="BK70" s="22">
        <f>INDEX('Activity data'!BK$24:BK$39,MATCH(Emissions!$D70,'Activity data'!$D$24:$D$39,0))*INDEX(EF!$H$84:$H$99,MATCH(Emissions!$D70,EF!$D$84:$D$99,0))*INDEX(EF!$H$100:$H$115,MATCH(Emissions!$D70,EF!$D$100:$D$115,0))*INDEX(EF!$H$132:$H$147,MATCH(Emissions!$D70,EF!$D$132:$D$147,0))*kgtoGg</f>
        <v>6.9013422573548422E-2</v>
      </c>
      <c r="BL70" s="22">
        <f>INDEX('Activity data'!BL$24:BL$39,MATCH(Emissions!$D70,'Activity data'!$D$24:$D$39,0))*INDEX(EF!$H$84:$H$99,MATCH(Emissions!$D70,EF!$D$84:$D$99,0))*INDEX(EF!$H$100:$H$115,MATCH(Emissions!$D70,EF!$D$100:$D$115,0))*INDEX(EF!$H$132:$H$147,MATCH(Emissions!$D70,EF!$D$132:$D$147,0))*kgtoGg</f>
        <v>6.8983552758059813E-2</v>
      </c>
      <c r="BM70" s="22">
        <f>INDEX('Activity data'!BM$24:BM$39,MATCH(Emissions!$D70,'Activity data'!$D$24:$D$39,0))*INDEX(EF!$H$84:$H$99,MATCH(Emissions!$D70,EF!$D$84:$D$99,0))*INDEX(EF!$H$100:$H$115,MATCH(Emissions!$D70,EF!$D$100:$D$115,0))*INDEX(EF!$H$132:$H$147,MATCH(Emissions!$D70,EF!$D$132:$D$147,0))*kgtoGg</f>
        <v>6.8953682942571204E-2</v>
      </c>
      <c r="BN70" s="22">
        <f>INDEX('Activity data'!BN$24:BN$39,MATCH(Emissions!$D70,'Activity data'!$D$24:$D$39,0))*INDEX(EF!$H$84:$H$99,MATCH(Emissions!$D70,EF!$D$84:$D$99,0))*INDEX(EF!$H$100:$H$115,MATCH(Emissions!$D70,EF!$D$100:$D$115,0))*INDEX(EF!$H$132:$H$147,MATCH(Emissions!$D70,EF!$D$132:$D$147,0))*kgtoGg</f>
        <v>6.8923813127082581E-2</v>
      </c>
      <c r="BO70" s="22">
        <f>INDEX('Activity data'!BO$24:BO$39,MATCH(Emissions!$D70,'Activity data'!$D$24:$D$39,0))*INDEX(EF!$H$84:$H$99,MATCH(Emissions!$D70,EF!$D$84:$D$99,0))*INDEX(EF!$H$100:$H$115,MATCH(Emissions!$D70,EF!$D$100:$D$115,0))*INDEX(EF!$H$132:$H$147,MATCH(Emissions!$D70,EF!$D$132:$D$147,0))*kgtoGg</f>
        <v>6.8893943311593986E-2</v>
      </c>
      <c r="BP70" s="22">
        <f>INDEX('Activity data'!BP$24:BP$39,MATCH(Emissions!$D70,'Activity data'!$D$24:$D$39,0))*INDEX(EF!$H$84:$H$99,MATCH(Emissions!$D70,EF!$D$84:$D$99,0))*INDEX(EF!$H$100:$H$115,MATCH(Emissions!$D70,EF!$D$100:$D$115,0))*INDEX(EF!$H$132:$H$147,MATCH(Emissions!$D70,EF!$D$132:$D$147,0))*kgtoGg</f>
        <v>6.8864073496105391E-2</v>
      </c>
    </row>
    <row r="71" spans="1:68" x14ac:dyDescent="0.25">
      <c r="A71" t="str">
        <f t="shared" si="19"/>
        <v>3C Aggregated and non-CO2 emissions on land</v>
      </c>
      <c r="B71" t="str">
        <f>B70</f>
        <v>3C1 Biomass burning (N2O)</v>
      </c>
      <c r="C71" t="str">
        <f t="shared" ref="C71:C85" si="25">C55</f>
        <v>3C1a Biomass burning in forest land</v>
      </c>
      <c r="D71" t="str">
        <f>EF!D101</f>
        <v>Thickets</v>
      </c>
      <c r="E71" t="s">
        <v>642</v>
      </c>
      <c r="F71" t="str">
        <f>F70</f>
        <v>N2O</v>
      </c>
      <c r="G71" t="str">
        <f>G70</f>
        <v>Gg N2O</v>
      </c>
      <c r="H71" s="22">
        <f>INDEX('Activity data'!H$24:H$39,MATCH(Emissions!$D71,'Activity data'!$D$24:$D$39,0))*INDEX(EF!$H$84:$H$99,MATCH(Emissions!$D71,EF!$D$84:$D$99,0))*INDEX(EF!$H$100:$H$115,MATCH(Emissions!$D71,EF!$D$100:$D$115,0))*INDEX(EF!$H$132:$H$147,MATCH(Emissions!$D71,EF!$D$132:$D$147,0))*kgtoGg</f>
        <v>0.1386787051643949</v>
      </c>
      <c r="I71" s="22">
        <f>INDEX('Activity data'!I$24:I$39,MATCH(Emissions!$D71,'Activity data'!$D$24:$D$39,0))*INDEX(EF!$H$84:$H$99,MATCH(Emissions!$D71,EF!$D$84:$D$99,0))*INDEX(EF!$H$100:$H$115,MATCH(Emissions!$D71,EF!$D$100:$D$115,0))*INDEX(EF!$H$132:$H$147,MATCH(Emissions!$D71,EF!$D$132:$D$147,0))*kgtoGg</f>
        <v>0.1386787051643949</v>
      </c>
      <c r="J71" s="22">
        <f>INDEX('Activity data'!J$24:J$39,MATCH(Emissions!$D71,'Activity data'!$D$24:$D$39,0))*INDEX(EF!$H$84:$H$99,MATCH(Emissions!$D71,EF!$D$84:$D$99,0))*INDEX(EF!$H$100:$H$115,MATCH(Emissions!$D71,EF!$D$100:$D$115,0))*INDEX(EF!$H$132:$H$147,MATCH(Emissions!$D71,EF!$D$132:$D$147,0))*kgtoGg</f>
        <v>0.1386787051643949</v>
      </c>
      <c r="K71" s="22">
        <f>INDEX('Activity data'!K$24:K$39,MATCH(Emissions!$D71,'Activity data'!$D$24:$D$39,0))*INDEX(EF!$H$84:$H$99,MATCH(Emissions!$D71,EF!$D$84:$D$99,0))*INDEX(EF!$H$100:$H$115,MATCH(Emissions!$D71,EF!$D$100:$D$115,0))*INDEX(EF!$H$132:$H$147,MATCH(Emissions!$D71,EF!$D$132:$D$147,0))*kgtoGg</f>
        <v>0.1386787051643949</v>
      </c>
      <c r="L71" s="22">
        <f>INDEX('Activity data'!L$24:L$39,MATCH(Emissions!$D71,'Activity data'!$D$24:$D$39,0))*INDEX(EF!$H$84:$H$99,MATCH(Emissions!$D71,EF!$D$84:$D$99,0))*INDEX(EF!$H$100:$H$115,MATCH(Emissions!$D71,EF!$D$100:$D$115,0))*INDEX(EF!$H$132:$H$147,MATCH(Emissions!$D71,EF!$D$132:$D$147,0))*kgtoGg</f>
        <v>0.1386787051643949</v>
      </c>
      <c r="M71" s="22">
        <f>INDEX('Activity data'!M$24:M$39,MATCH(Emissions!$D71,'Activity data'!$D$24:$D$39,0))*INDEX(EF!$H$84:$H$99,MATCH(Emissions!$D71,EF!$D$84:$D$99,0))*INDEX(EF!$H$100:$H$115,MATCH(Emissions!$D71,EF!$D$100:$D$115,0))*INDEX(EF!$H$132:$H$147,MATCH(Emissions!$D71,EF!$D$132:$D$147,0))*kgtoGg</f>
        <v>0.1386787051643949</v>
      </c>
      <c r="N71" s="22">
        <f>INDEX('Activity data'!N$24:N$39,MATCH(Emissions!$D71,'Activity data'!$D$24:$D$39,0))*INDEX(EF!$H$84:$H$99,MATCH(Emissions!$D71,EF!$D$84:$D$99,0))*INDEX(EF!$H$100:$H$115,MATCH(Emissions!$D71,EF!$D$100:$D$115,0))*INDEX(EF!$H$132:$H$147,MATCH(Emissions!$D71,EF!$D$132:$D$147,0))*kgtoGg</f>
        <v>0.1386787051643949</v>
      </c>
      <c r="O71" s="22">
        <f>INDEX('Activity data'!O$24:O$39,MATCH(Emissions!$D71,'Activity data'!$D$24:$D$39,0))*INDEX(EF!$H$84:$H$99,MATCH(Emissions!$D71,EF!$D$84:$D$99,0))*INDEX(EF!$H$100:$H$115,MATCH(Emissions!$D71,EF!$D$100:$D$115,0))*INDEX(EF!$H$132:$H$147,MATCH(Emissions!$D71,EF!$D$132:$D$147,0))*kgtoGg</f>
        <v>0.1386787051643949</v>
      </c>
      <c r="P71" s="22">
        <f>INDEX('Activity data'!P$24:P$39,MATCH(Emissions!$D71,'Activity data'!$D$24:$D$39,0))*INDEX(EF!$H$84:$H$99,MATCH(Emissions!$D71,EF!$D$84:$D$99,0))*INDEX(EF!$H$100:$H$115,MATCH(Emissions!$D71,EF!$D$100:$D$115,0))*INDEX(EF!$H$132:$H$147,MATCH(Emissions!$D71,EF!$D$132:$D$147,0))*kgtoGg</f>
        <v>0.1386787051643949</v>
      </c>
      <c r="Q71" s="22">
        <f>INDEX('Activity data'!Q$24:Q$39,MATCH(Emissions!$D71,'Activity data'!$D$24:$D$39,0))*INDEX(EF!$H$84:$H$99,MATCH(Emissions!$D71,EF!$D$84:$D$99,0))*INDEX(EF!$H$100:$H$115,MATCH(Emissions!$D71,EF!$D$100:$D$115,0))*INDEX(EF!$H$132:$H$147,MATCH(Emissions!$D71,EF!$D$132:$D$147,0))*kgtoGg</f>
        <v>0.1386787051643949</v>
      </c>
      <c r="R71" s="22">
        <f>INDEX('Activity data'!R$24:R$39,MATCH(Emissions!$D71,'Activity data'!$D$24:$D$39,0))*INDEX(EF!$H$84:$H$99,MATCH(Emissions!$D71,EF!$D$84:$D$99,0))*INDEX(EF!$H$100:$H$115,MATCH(Emissions!$D71,EF!$D$100:$D$115,0))*INDEX(EF!$H$132:$H$147,MATCH(Emissions!$D71,EF!$D$132:$D$147,0))*kgtoGg</f>
        <v>0.14239374078639105</v>
      </c>
      <c r="S71" s="22">
        <f>INDEX('Activity data'!S$24:S$39,MATCH(Emissions!$D71,'Activity data'!$D$24:$D$39,0))*INDEX(EF!$H$84:$H$99,MATCH(Emissions!$D71,EF!$D$84:$D$99,0))*INDEX(EF!$H$100:$H$115,MATCH(Emissions!$D71,EF!$D$100:$D$115,0))*INDEX(EF!$H$132:$H$147,MATCH(Emissions!$D71,EF!$D$132:$D$147,0))*kgtoGg</f>
        <v>0.18074095126601653</v>
      </c>
      <c r="T71" s="22">
        <f>INDEX('Activity data'!T$24:T$39,MATCH(Emissions!$D71,'Activity data'!$D$24:$D$39,0))*INDEX(EF!$H$84:$H$99,MATCH(Emissions!$D71,EF!$D$84:$D$99,0))*INDEX(EF!$H$100:$H$115,MATCH(Emissions!$D71,EF!$D$100:$D$115,0))*INDEX(EF!$H$132:$H$147,MATCH(Emissions!$D71,EF!$D$132:$D$147,0))*kgtoGg</f>
        <v>0.16683350476872413</v>
      </c>
      <c r="U71" s="22">
        <f>INDEX('Activity data'!U$24:U$39,MATCH(Emissions!$D71,'Activity data'!$D$24:$D$39,0))*INDEX(EF!$H$84:$H$99,MATCH(Emissions!$D71,EF!$D$84:$D$99,0))*INDEX(EF!$H$100:$H$115,MATCH(Emissions!$D71,EF!$D$100:$D$115,0))*INDEX(EF!$H$132:$H$147,MATCH(Emissions!$D71,EF!$D$132:$D$147,0))*kgtoGg</f>
        <v>0.10026447084622828</v>
      </c>
      <c r="V71" s="22">
        <f>INDEX('Activity data'!V$24:V$39,MATCH(Emissions!$D71,'Activity data'!$D$24:$D$39,0))*INDEX(EF!$H$84:$H$99,MATCH(Emissions!$D71,EF!$D$84:$D$99,0))*INDEX(EF!$H$100:$H$115,MATCH(Emissions!$D71,EF!$D$100:$D$115,0))*INDEX(EF!$H$132:$H$147,MATCH(Emissions!$D71,EF!$D$132:$D$147,0))*kgtoGg</f>
        <v>0.10316085815461448</v>
      </c>
      <c r="W71" s="22">
        <f>INDEX('Activity data'!W$24:W$39,MATCH(Emissions!$D71,'Activity data'!$D$24:$D$39,0))*INDEX(EF!$H$84:$H$99,MATCH(Emissions!$D71,EF!$D$84:$D$99,0))*INDEX(EF!$H$100:$H$115,MATCH(Emissions!$D71,EF!$D$100:$D$115,0))*INDEX(EF!$H$132:$H$147,MATCH(Emissions!$D71,EF!$D$132:$D$147,0))*kgtoGg</f>
        <v>0.17717432557221868</v>
      </c>
      <c r="X71" s="22">
        <f>INDEX('Activity data'!X$24:X$39,MATCH(Emissions!$D71,'Activity data'!$D$24:$D$39,0))*INDEX(EF!$H$84:$H$99,MATCH(Emissions!$D71,EF!$D$84:$D$99,0))*INDEX(EF!$H$100:$H$115,MATCH(Emissions!$D71,EF!$D$100:$D$115,0))*INDEX(EF!$H$132:$H$147,MATCH(Emissions!$D71,EF!$D$132:$D$147,0))*kgtoGg</f>
        <v>0.14152402669103542</v>
      </c>
      <c r="Y71" s="22">
        <f>INDEX('Activity data'!Y$24:Y$39,MATCH(Emissions!$D71,'Activity data'!$D$24:$D$39,0))*INDEX(EF!$H$84:$H$99,MATCH(Emissions!$D71,EF!$D$84:$D$99,0))*INDEX(EF!$H$100:$H$115,MATCH(Emissions!$D71,EF!$D$100:$D$115,0))*INDEX(EF!$H$132:$H$147,MATCH(Emissions!$D71,EF!$D$132:$D$147,0))*kgtoGg</f>
        <v>0.16523769908917249</v>
      </c>
      <c r="Z71" s="22">
        <f>INDEX('Activity data'!Z$24:Z$39,MATCH(Emissions!$D71,'Activity data'!$D$24:$D$39,0))*INDEX(EF!$H$84:$H$99,MATCH(Emissions!$D71,EF!$D$84:$D$99,0))*INDEX(EF!$H$100:$H$115,MATCH(Emissions!$D71,EF!$D$100:$D$115,0))*INDEX(EF!$H$132:$H$147,MATCH(Emissions!$D71,EF!$D$132:$D$147,0))*kgtoGg</f>
        <v>0.18179418301452055</v>
      </c>
      <c r="AA71" s="22">
        <f>INDEX('Activity data'!AA$24:AA$39,MATCH(Emissions!$D71,'Activity data'!$D$24:$D$39,0))*INDEX(EF!$H$84:$H$99,MATCH(Emissions!$D71,EF!$D$84:$D$99,0))*INDEX(EF!$H$100:$H$115,MATCH(Emissions!$D71,EF!$D$100:$D$115,0))*INDEX(EF!$H$132:$H$147,MATCH(Emissions!$D71,EF!$D$132:$D$147,0))*kgtoGg</f>
        <v>0.13219654249405621</v>
      </c>
      <c r="AB71" s="22">
        <f>INDEX('Activity data'!AB$24:AB$39,MATCH(Emissions!$D71,'Activity data'!$D$24:$D$39,0))*INDEX(EF!$H$84:$H$99,MATCH(Emissions!$D71,EF!$D$84:$D$99,0))*INDEX(EF!$H$100:$H$115,MATCH(Emissions!$D71,EF!$D$100:$D$115,0))*INDEX(EF!$H$132:$H$147,MATCH(Emissions!$D71,EF!$D$132:$D$147,0))*kgtoGg</f>
        <v>0.16154291134799995</v>
      </c>
      <c r="AC71" s="22">
        <f>INDEX('Activity data'!AC$24:AC$39,MATCH(Emissions!$D71,'Activity data'!$D$24:$D$39,0))*INDEX(EF!$H$84:$H$99,MATCH(Emissions!$D71,EF!$D$84:$D$99,0))*INDEX(EF!$H$100:$H$115,MATCH(Emissions!$D71,EF!$D$100:$D$115,0))*INDEX(EF!$H$132:$H$147,MATCH(Emissions!$D71,EF!$D$132:$D$147,0))*kgtoGg</f>
        <v>0.12862987137000001</v>
      </c>
      <c r="AD71" s="22">
        <f>INDEX('Activity data'!AD$24:AD$39,MATCH(Emissions!$D71,'Activity data'!$D$24:$D$39,0))*INDEX(EF!$H$84:$H$99,MATCH(Emissions!$D71,EF!$D$84:$D$99,0))*INDEX(EF!$H$100:$H$115,MATCH(Emissions!$D71,EF!$D$100:$D$115,0))*INDEX(EF!$H$132:$H$147,MATCH(Emissions!$D71,EF!$D$132:$D$147,0))*kgtoGg</f>
        <v>0.1362211465996048</v>
      </c>
      <c r="AE71" s="22">
        <f>INDEX('Activity data'!AE$24:AE$39,MATCH(Emissions!$D71,'Activity data'!$D$24:$D$39,0))*INDEX(EF!$H$84:$H$99,MATCH(Emissions!$D71,EF!$D$84:$D$99,0))*INDEX(EF!$H$100:$H$115,MATCH(Emissions!$D71,EF!$D$100:$D$115,0))*INDEX(EF!$H$132:$H$147,MATCH(Emissions!$D71,EF!$D$132:$D$147,0))*kgtoGg</f>
        <v>0.13600546655871854</v>
      </c>
      <c r="AF71" s="22">
        <f>INDEX('Activity data'!AF$24:AF$39,MATCH(Emissions!$D71,'Activity data'!$D$24:$D$39,0))*INDEX(EF!$H$84:$H$99,MATCH(Emissions!$D71,EF!$D$84:$D$99,0))*INDEX(EF!$H$100:$H$115,MATCH(Emissions!$D71,EF!$D$100:$D$115,0))*INDEX(EF!$H$132:$H$147,MATCH(Emissions!$D71,EF!$D$132:$D$147,0))*kgtoGg</f>
        <v>0.13578978651783222</v>
      </c>
      <c r="AG71" s="22">
        <f>INDEX('Activity data'!AG$24:AG$39,MATCH(Emissions!$D71,'Activity data'!$D$24:$D$39,0))*INDEX(EF!$H$84:$H$99,MATCH(Emissions!$D71,EF!$D$84:$D$99,0))*INDEX(EF!$H$100:$H$115,MATCH(Emissions!$D71,EF!$D$100:$D$115,0))*INDEX(EF!$H$132:$H$147,MATCH(Emissions!$D71,EF!$D$132:$D$147,0))*kgtoGg</f>
        <v>0.13557410647694595</v>
      </c>
      <c r="AH71" s="22">
        <f>INDEX('Activity data'!AH$24:AH$39,MATCH(Emissions!$D71,'Activity data'!$D$24:$D$39,0))*INDEX(EF!$H$84:$H$99,MATCH(Emissions!$D71,EF!$D$84:$D$99,0))*INDEX(EF!$H$100:$H$115,MATCH(Emissions!$D71,EF!$D$100:$D$115,0))*INDEX(EF!$H$132:$H$147,MATCH(Emissions!$D71,EF!$D$132:$D$147,0))*kgtoGg</f>
        <v>0.13535842643605966</v>
      </c>
      <c r="AI71" s="22">
        <f>INDEX('Activity data'!AI$24:AI$39,MATCH(Emissions!$D71,'Activity data'!$D$24:$D$39,0))*INDEX(EF!$H$84:$H$99,MATCH(Emissions!$D71,EF!$D$84:$D$99,0))*INDEX(EF!$H$100:$H$115,MATCH(Emissions!$D71,EF!$D$100:$D$115,0))*INDEX(EF!$H$132:$H$147,MATCH(Emissions!$D71,EF!$D$132:$D$147,0))*kgtoGg</f>
        <v>0.13514274639517335</v>
      </c>
      <c r="AJ71" s="22">
        <f>INDEX('Activity data'!AJ$24:AJ$39,MATCH(Emissions!$D71,'Activity data'!$D$24:$D$39,0))*INDEX(EF!$H$84:$H$99,MATCH(Emissions!$D71,EF!$D$84:$D$99,0))*INDEX(EF!$H$100:$H$115,MATCH(Emissions!$D71,EF!$D$100:$D$115,0))*INDEX(EF!$H$132:$H$147,MATCH(Emissions!$D71,EF!$D$132:$D$147,0))*kgtoGg</f>
        <v>0.13492706635428708</v>
      </c>
      <c r="AK71" s="22">
        <f>INDEX('Activity data'!AK$24:AK$39,MATCH(Emissions!$D71,'Activity data'!$D$24:$D$39,0))*INDEX(EF!$H$84:$H$99,MATCH(Emissions!$D71,EF!$D$84:$D$99,0))*INDEX(EF!$H$100:$H$115,MATCH(Emissions!$D71,EF!$D$100:$D$115,0))*INDEX(EF!$H$132:$H$147,MATCH(Emissions!$D71,EF!$D$132:$D$147,0))*kgtoGg</f>
        <v>0.13471138631340079</v>
      </c>
      <c r="AL71" s="22">
        <f>INDEX('Activity data'!AL$24:AL$39,MATCH(Emissions!$D71,'Activity data'!$D$24:$D$39,0))*INDEX(EF!$H$84:$H$99,MATCH(Emissions!$D71,EF!$D$84:$D$99,0))*INDEX(EF!$H$100:$H$115,MATCH(Emissions!$D71,EF!$D$100:$D$115,0))*INDEX(EF!$H$132:$H$147,MATCH(Emissions!$D71,EF!$D$132:$D$147,0))*kgtoGg</f>
        <v>0.13449570627251453</v>
      </c>
      <c r="AM71" s="22">
        <f>INDEX('Activity data'!AM$24:AM$39,MATCH(Emissions!$D71,'Activity data'!$D$24:$D$39,0))*INDEX(EF!$H$84:$H$99,MATCH(Emissions!$D71,EF!$D$84:$D$99,0))*INDEX(EF!$H$100:$H$115,MATCH(Emissions!$D71,EF!$D$100:$D$115,0))*INDEX(EF!$H$132:$H$147,MATCH(Emissions!$D71,EF!$D$132:$D$147,0))*kgtoGg</f>
        <v>0.13428002623162824</v>
      </c>
      <c r="AN71" s="22">
        <f>INDEX('Activity data'!AN$24:AN$39,MATCH(Emissions!$D71,'Activity data'!$D$24:$D$39,0))*INDEX(EF!$H$84:$H$99,MATCH(Emissions!$D71,EF!$D$84:$D$99,0))*INDEX(EF!$H$100:$H$115,MATCH(Emissions!$D71,EF!$D$100:$D$115,0))*INDEX(EF!$H$132:$H$147,MATCH(Emissions!$D71,EF!$D$132:$D$147,0))*kgtoGg</f>
        <v>0.13406434619074192</v>
      </c>
      <c r="AO71" s="22">
        <f>INDEX('Activity data'!AO$24:AO$39,MATCH(Emissions!$D71,'Activity data'!$D$24:$D$39,0))*INDEX(EF!$H$84:$H$99,MATCH(Emissions!$D71,EF!$D$84:$D$99,0))*INDEX(EF!$H$100:$H$115,MATCH(Emissions!$D71,EF!$D$100:$D$115,0))*INDEX(EF!$H$132:$H$147,MATCH(Emissions!$D71,EF!$D$132:$D$147,0))*kgtoGg</f>
        <v>0.13384866614985566</v>
      </c>
      <c r="AP71" s="22">
        <f>INDEX('Activity data'!AP$24:AP$39,MATCH(Emissions!$D71,'Activity data'!$D$24:$D$39,0))*INDEX(EF!$H$84:$H$99,MATCH(Emissions!$D71,EF!$D$84:$D$99,0))*INDEX(EF!$H$100:$H$115,MATCH(Emissions!$D71,EF!$D$100:$D$115,0))*INDEX(EF!$H$132:$H$147,MATCH(Emissions!$D71,EF!$D$132:$D$147,0))*kgtoGg</f>
        <v>0.1336329861089694</v>
      </c>
      <c r="AQ71" s="22">
        <f>INDEX('Activity data'!AQ$24:AQ$39,MATCH(Emissions!$D71,'Activity data'!$D$24:$D$39,0))*INDEX(EF!$H$84:$H$99,MATCH(Emissions!$D71,EF!$D$84:$D$99,0))*INDEX(EF!$H$100:$H$115,MATCH(Emissions!$D71,EF!$D$100:$D$115,0))*INDEX(EF!$H$132:$H$147,MATCH(Emissions!$D71,EF!$D$132:$D$147,0))*kgtoGg</f>
        <v>0.13341730606808308</v>
      </c>
      <c r="AR71" s="22">
        <f>INDEX('Activity data'!AR$24:AR$39,MATCH(Emissions!$D71,'Activity data'!$D$24:$D$39,0))*INDEX(EF!$H$84:$H$99,MATCH(Emissions!$D71,EF!$D$84:$D$99,0))*INDEX(EF!$H$100:$H$115,MATCH(Emissions!$D71,EF!$D$100:$D$115,0))*INDEX(EF!$H$132:$H$147,MATCH(Emissions!$D71,EF!$D$132:$D$147,0))*kgtoGg</f>
        <v>0.13320162602719682</v>
      </c>
      <c r="AS71" s="22">
        <f>INDEX('Activity data'!AS$24:AS$39,MATCH(Emissions!$D71,'Activity data'!$D$24:$D$39,0))*INDEX(EF!$H$84:$H$99,MATCH(Emissions!$D71,EF!$D$84:$D$99,0))*INDEX(EF!$H$100:$H$115,MATCH(Emissions!$D71,EF!$D$100:$D$115,0))*INDEX(EF!$H$132:$H$147,MATCH(Emissions!$D71,EF!$D$132:$D$147,0))*kgtoGg</f>
        <v>0.1329859459863105</v>
      </c>
      <c r="AT71" s="22">
        <f>INDEX('Activity data'!AT$24:AT$39,MATCH(Emissions!$D71,'Activity data'!$D$24:$D$39,0))*INDEX(EF!$H$84:$H$99,MATCH(Emissions!$D71,EF!$D$84:$D$99,0))*INDEX(EF!$H$100:$H$115,MATCH(Emissions!$D71,EF!$D$100:$D$115,0))*INDEX(EF!$H$132:$H$147,MATCH(Emissions!$D71,EF!$D$132:$D$147,0))*kgtoGg</f>
        <v>0.13277026594542424</v>
      </c>
      <c r="AU71" s="22">
        <f>INDEX('Activity data'!AU$24:AU$39,MATCH(Emissions!$D71,'Activity data'!$D$24:$D$39,0))*INDEX(EF!$H$84:$H$99,MATCH(Emissions!$D71,EF!$D$84:$D$99,0))*INDEX(EF!$H$100:$H$115,MATCH(Emissions!$D71,EF!$D$100:$D$115,0))*INDEX(EF!$H$132:$H$147,MATCH(Emissions!$D71,EF!$D$132:$D$147,0))*kgtoGg</f>
        <v>0.13255458590453795</v>
      </c>
      <c r="AV71" s="22">
        <f>INDEX('Activity data'!AV$24:AV$39,MATCH(Emissions!$D71,'Activity data'!$D$24:$D$39,0))*INDEX(EF!$H$84:$H$99,MATCH(Emissions!$D71,EF!$D$84:$D$99,0))*INDEX(EF!$H$100:$H$115,MATCH(Emissions!$D71,EF!$D$100:$D$115,0))*INDEX(EF!$H$132:$H$147,MATCH(Emissions!$D71,EF!$D$132:$D$147,0))*kgtoGg</f>
        <v>0.13233890586365168</v>
      </c>
      <c r="AW71" s="22">
        <f>INDEX('Activity data'!AW$24:AW$39,MATCH(Emissions!$D71,'Activity data'!$D$24:$D$39,0))*INDEX(EF!$H$84:$H$99,MATCH(Emissions!$D71,EF!$D$84:$D$99,0))*INDEX(EF!$H$100:$H$115,MATCH(Emissions!$D71,EF!$D$100:$D$115,0))*INDEX(EF!$H$132:$H$147,MATCH(Emissions!$D71,EF!$D$132:$D$147,0))*kgtoGg</f>
        <v>0.13212322582276539</v>
      </c>
      <c r="AX71" s="22">
        <f>INDEX('Activity data'!AX$24:AX$39,MATCH(Emissions!$D71,'Activity data'!$D$24:$D$39,0))*INDEX(EF!$H$84:$H$99,MATCH(Emissions!$D71,EF!$D$84:$D$99,0))*INDEX(EF!$H$100:$H$115,MATCH(Emissions!$D71,EF!$D$100:$D$115,0))*INDEX(EF!$H$132:$H$147,MATCH(Emissions!$D71,EF!$D$132:$D$147,0))*kgtoGg</f>
        <v>0.1319075457818791</v>
      </c>
      <c r="AY71" s="22">
        <f>INDEX('Activity data'!AY$24:AY$39,MATCH(Emissions!$D71,'Activity data'!$D$24:$D$39,0))*INDEX(EF!$H$84:$H$99,MATCH(Emissions!$D71,EF!$D$84:$D$99,0))*INDEX(EF!$H$100:$H$115,MATCH(Emissions!$D71,EF!$D$100:$D$115,0))*INDEX(EF!$H$132:$H$147,MATCH(Emissions!$D71,EF!$D$132:$D$147,0))*kgtoGg</f>
        <v>0.13169186574099281</v>
      </c>
      <c r="AZ71" s="22">
        <f>INDEX('Activity data'!AZ$24:AZ$39,MATCH(Emissions!$D71,'Activity data'!$D$24:$D$39,0))*INDEX(EF!$H$84:$H$99,MATCH(Emissions!$D71,EF!$D$84:$D$99,0))*INDEX(EF!$H$100:$H$115,MATCH(Emissions!$D71,EF!$D$100:$D$115,0))*INDEX(EF!$H$132:$H$147,MATCH(Emissions!$D71,EF!$D$132:$D$147,0))*kgtoGg</f>
        <v>0.13147618570010652</v>
      </c>
      <c r="BA71" s="22">
        <f>INDEX('Activity data'!BA$24:BA$39,MATCH(Emissions!$D71,'Activity data'!$D$24:$D$39,0))*INDEX(EF!$H$84:$H$99,MATCH(Emissions!$D71,EF!$D$84:$D$99,0))*INDEX(EF!$H$100:$H$115,MATCH(Emissions!$D71,EF!$D$100:$D$115,0))*INDEX(EF!$H$132:$H$147,MATCH(Emissions!$D71,EF!$D$132:$D$147,0))*kgtoGg</f>
        <v>0.13126050565922026</v>
      </c>
      <c r="BB71" s="22">
        <f>INDEX('Activity data'!BB$24:BB$39,MATCH(Emissions!$D71,'Activity data'!$D$24:$D$39,0))*INDEX(EF!$H$84:$H$99,MATCH(Emissions!$D71,EF!$D$84:$D$99,0))*INDEX(EF!$H$100:$H$115,MATCH(Emissions!$D71,EF!$D$100:$D$115,0))*INDEX(EF!$H$132:$H$147,MATCH(Emissions!$D71,EF!$D$132:$D$147,0))*kgtoGg</f>
        <v>0.13104482561833397</v>
      </c>
      <c r="BC71" s="22">
        <f>INDEX('Activity data'!BC$24:BC$39,MATCH(Emissions!$D71,'Activity data'!$D$24:$D$39,0))*INDEX(EF!$H$84:$H$99,MATCH(Emissions!$D71,EF!$D$84:$D$99,0))*INDEX(EF!$H$100:$H$115,MATCH(Emissions!$D71,EF!$D$100:$D$115,0))*INDEX(EF!$H$132:$H$147,MATCH(Emissions!$D71,EF!$D$132:$D$147,0))*kgtoGg</f>
        <v>0.13082914557744768</v>
      </c>
      <c r="BD71" s="22">
        <f>INDEX('Activity data'!BD$24:BD$39,MATCH(Emissions!$D71,'Activity data'!$D$24:$D$39,0))*INDEX(EF!$H$84:$H$99,MATCH(Emissions!$D71,EF!$D$84:$D$99,0))*INDEX(EF!$H$100:$H$115,MATCH(Emissions!$D71,EF!$D$100:$D$115,0))*INDEX(EF!$H$132:$H$147,MATCH(Emissions!$D71,EF!$D$132:$D$147,0))*kgtoGg</f>
        <v>0.13061346553656142</v>
      </c>
      <c r="BE71" s="22">
        <f>INDEX('Activity data'!BE$24:BE$39,MATCH(Emissions!$D71,'Activity data'!$D$24:$D$39,0))*INDEX(EF!$H$84:$H$99,MATCH(Emissions!$D71,EF!$D$84:$D$99,0))*INDEX(EF!$H$100:$H$115,MATCH(Emissions!$D71,EF!$D$100:$D$115,0))*INDEX(EF!$H$132:$H$147,MATCH(Emissions!$D71,EF!$D$132:$D$147,0))*kgtoGg</f>
        <v>0.13039778549567513</v>
      </c>
      <c r="BF71" s="22">
        <f>INDEX('Activity data'!BF$24:BF$39,MATCH(Emissions!$D71,'Activity data'!$D$24:$D$39,0))*INDEX(EF!$H$84:$H$99,MATCH(Emissions!$D71,EF!$D$84:$D$99,0))*INDEX(EF!$H$100:$H$115,MATCH(Emissions!$D71,EF!$D$100:$D$115,0))*INDEX(EF!$H$132:$H$147,MATCH(Emissions!$D71,EF!$D$132:$D$147,0))*kgtoGg</f>
        <v>0.13018210545478884</v>
      </c>
      <c r="BG71" s="22">
        <f>INDEX('Activity data'!BG$24:BG$39,MATCH(Emissions!$D71,'Activity data'!$D$24:$D$39,0))*INDEX(EF!$H$84:$H$99,MATCH(Emissions!$D71,EF!$D$84:$D$99,0))*INDEX(EF!$H$100:$H$115,MATCH(Emissions!$D71,EF!$D$100:$D$115,0))*INDEX(EF!$H$132:$H$147,MATCH(Emissions!$D71,EF!$D$132:$D$147,0))*kgtoGg</f>
        <v>0.12996642541390255</v>
      </c>
      <c r="BH71" s="22">
        <f>INDEX('Activity data'!BH$24:BH$39,MATCH(Emissions!$D71,'Activity data'!$D$24:$D$39,0))*INDEX(EF!$H$84:$H$99,MATCH(Emissions!$D71,EF!$D$84:$D$99,0))*INDEX(EF!$H$100:$H$115,MATCH(Emissions!$D71,EF!$D$100:$D$115,0))*INDEX(EF!$H$132:$H$147,MATCH(Emissions!$D71,EF!$D$132:$D$147,0))*kgtoGg</f>
        <v>0.12975074537301626</v>
      </c>
      <c r="BI71" s="22">
        <f>INDEX('Activity data'!BI$24:BI$39,MATCH(Emissions!$D71,'Activity data'!$D$24:$D$39,0))*INDEX(EF!$H$84:$H$99,MATCH(Emissions!$D71,EF!$D$84:$D$99,0))*INDEX(EF!$H$100:$H$115,MATCH(Emissions!$D71,EF!$D$100:$D$115,0))*INDEX(EF!$H$132:$H$147,MATCH(Emissions!$D71,EF!$D$132:$D$147,0))*kgtoGg</f>
        <v>0.12953506533212999</v>
      </c>
      <c r="BJ71" s="22">
        <f>INDEX('Activity data'!BJ$24:BJ$39,MATCH(Emissions!$D71,'Activity data'!$D$24:$D$39,0))*INDEX(EF!$H$84:$H$99,MATCH(Emissions!$D71,EF!$D$84:$D$99,0))*INDEX(EF!$H$100:$H$115,MATCH(Emissions!$D71,EF!$D$100:$D$115,0))*INDEX(EF!$H$132:$H$147,MATCH(Emissions!$D71,EF!$D$132:$D$147,0))*kgtoGg</f>
        <v>0.12931938529124368</v>
      </c>
      <c r="BK71" s="22">
        <f>INDEX('Activity data'!BK$24:BK$39,MATCH(Emissions!$D71,'Activity data'!$D$24:$D$39,0))*INDEX(EF!$H$84:$H$99,MATCH(Emissions!$D71,EF!$D$84:$D$99,0))*INDEX(EF!$H$100:$H$115,MATCH(Emissions!$D71,EF!$D$100:$D$115,0))*INDEX(EF!$H$132:$H$147,MATCH(Emissions!$D71,EF!$D$132:$D$147,0))*kgtoGg</f>
        <v>0.12910370525035741</v>
      </c>
      <c r="BL71" s="22">
        <f>INDEX('Activity data'!BL$24:BL$39,MATCH(Emissions!$D71,'Activity data'!$D$24:$D$39,0))*INDEX(EF!$H$84:$H$99,MATCH(Emissions!$D71,EF!$D$84:$D$99,0))*INDEX(EF!$H$100:$H$115,MATCH(Emissions!$D71,EF!$D$100:$D$115,0))*INDEX(EF!$H$132:$H$147,MATCH(Emissions!$D71,EF!$D$132:$D$147,0))*kgtoGg</f>
        <v>0.12888802520947112</v>
      </c>
      <c r="BM71" s="22">
        <f>INDEX('Activity data'!BM$24:BM$39,MATCH(Emissions!$D71,'Activity data'!$D$24:$D$39,0))*INDEX(EF!$H$84:$H$99,MATCH(Emissions!$D71,EF!$D$84:$D$99,0))*INDEX(EF!$H$100:$H$115,MATCH(Emissions!$D71,EF!$D$100:$D$115,0))*INDEX(EF!$H$132:$H$147,MATCH(Emissions!$D71,EF!$D$132:$D$147,0))*kgtoGg</f>
        <v>0.12867234516858483</v>
      </c>
      <c r="BN71" s="22">
        <f>INDEX('Activity data'!BN$24:BN$39,MATCH(Emissions!$D71,'Activity data'!$D$24:$D$39,0))*INDEX(EF!$H$84:$H$99,MATCH(Emissions!$D71,EF!$D$84:$D$99,0))*INDEX(EF!$H$100:$H$115,MATCH(Emissions!$D71,EF!$D$100:$D$115,0))*INDEX(EF!$H$132:$H$147,MATCH(Emissions!$D71,EF!$D$132:$D$147,0))*kgtoGg</f>
        <v>0.12845666512769857</v>
      </c>
      <c r="BO71" s="22">
        <f>INDEX('Activity data'!BO$24:BO$39,MATCH(Emissions!$D71,'Activity data'!$D$24:$D$39,0))*INDEX(EF!$H$84:$H$99,MATCH(Emissions!$D71,EF!$D$84:$D$99,0))*INDEX(EF!$H$100:$H$115,MATCH(Emissions!$D71,EF!$D$100:$D$115,0))*INDEX(EF!$H$132:$H$147,MATCH(Emissions!$D71,EF!$D$132:$D$147,0))*kgtoGg</f>
        <v>0.12824098508681228</v>
      </c>
      <c r="BP71" s="22">
        <f>INDEX('Activity data'!BP$24:BP$39,MATCH(Emissions!$D71,'Activity data'!$D$24:$D$39,0))*INDEX(EF!$H$84:$H$99,MATCH(Emissions!$D71,EF!$D$84:$D$99,0))*INDEX(EF!$H$100:$H$115,MATCH(Emissions!$D71,EF!$D$100:$D$115,0))*INDEX(EF!$H$132:$H$147,MATCH(Emissions!$D71,EF!$D$132:$D$147,0))*kgtoGg</f>
        <v>0.12802530504592599</v>
      </c>
    </row>
    <row r="72" spans="1:68" x14ac:dyDescent="0.25">
      <c r="A72" t="str">
        <f t="shared" si="19"/>
        <v>3C Aggregated and non-CO2 emissions on land</v>
      </c>
      <c r="B72" t="str">
        <f t="shared" ref="B72:B85" si="26">B71</f>
        <v>3C1 Biomass burning (N2O)</v>
      </c>
      <c r="C72" t="str">
        <f t="shared" si="25"/>
        <v>3C1a Biomass burning in forest land</v>
      </c>
      <c r="D72" t="str">
        <f>EF!D102</f>
        <v>Woodlands</v>
      </c>
      <c r="E72" t="s">
        <v>643</v>
      </c>
      <c r="F72" t="str">
        <f t="shared" ref="F72:F85" si="27">F71</f>
        <v>N2O</v>
      </c>
      <c r="G72" t="str">
        <f t="shared" ref="G72:G85" si="28">G71</f>
        <v>Gg N2O</v>
      </c>
      <c r="H72" s="22">
        <f>INDEX('Activity data'!H$24:H$39,MATCH(Emissions!$D72,'Activity data'!$D$24:$D$39,0))*INDEX(EF!$H$84:$H$99,MATCH(Emissions!$D72,EF!$D$84:$D$99,0))*INDEX(EF!$H$100:$H$115,MATCH(Emissions!$D72,EF!$D$100:$D$115,0))*INDEX(EF!$H$132:$H$147,MATCH(Emissions!$D72,EF!$D$132:$D$147,0))*kgtoGg</f>
        <v>0.51615689922073593</v>
      </c>
      <c r="I72" s="22">
        <f>INDEX('Activity data'!I$24:I$39,MATCH(Emissions!$D72,'Activity data'!$D$24:$D$39,0))*INDEX(EF!$H$84:$H$99,MATCH(Emissions!$D72,EF!$D$84:$D$99,0))*INDEX(EF!$H$100:$H$115,MATCH(Emissions!$D72,EF!$D$100:$D$115,0))*INDEX(EF!$H$132:$H$147,MATCH(Emissions!$D72,EF!$D$132:$D$147,0))*kgtoGg</f>
        <v>0.51615689922073593</v>
      </c>
      <c r="J72" s="22">
        <f>INDEX('Activity data'!J$24:J$39,MATCH(Emissions!$D72,'Activity data'!$D$24:$D$39,0))*INDEX(EF!$H$84:$H$99,MATCH(Emissions!$D72,EF!$D$84:$D$99,0))*INDEX(EF!$H$100:$H$115,MATCH(Emissions!$D72,EF!$D$100:$D$115,0))*INDEX(EF!$H$132:$H$147,MATCH(Emissions!$D72,EF!$D$132:$D$147,0))*kgtoGg</f>
        <v>0.51615689922073593</v>
      </c>
      <c r="K72" s="22">
        <f>INDEX('Activity data'!K$24:K$39,MATCH(Emissions!$D72,'Activity data'!$D$24:$D$39,0))*INDEX(EF!$H$84:$H$99,MATCH(Emissions!$D72,EF!$D$84:$D$99,0))*INDEX(EF!$H$100:$H$115,MATCH(Emissions!$D72,EF!$D$100:$D$115,0))*INDEX(EF!$H$132:$H$147,MATCH(Emissions!$D72,EF!$D$132:$D$147,0))*kgtoGg</f>
        <v>0.51615689922073593</v>
      </c>
      <c r="L72" s="22">
        <f>INDEX('Activity data'!L$24:L$39,MATCH(Emissions!$D72,'Activity data'!$D$24:$D$39,0))*INDEX(EF!$H$84:$H$99,MATCH(Emissions!$D72,EF!$D$84:$D$99,0))*INDEX(EF!$H$100:$H$115,MATCH(Emissions!$D72,EF!$D$100:$D$115,0))*INDEX(EF!$H$132:$H$147,MATCH(Emissions!$D72,EF!$D$132:$D$147,0))*kgtoGg</f>
        <v>0.51615689922073593</v>
      </c>
      <c r="M72" s="22">
        <f>INDEX('Activity data'!M$24:M$39,MATCH(Emissions!$D72,'Activity data'!$D$24:$D$39,0))*INDEX(EF!$H$84:$H$99,MATCH(Emissions!$D72,EF!$D$84:$D$99,0))*INDEX(EF!$H$100:$H$115,MATCH(Emissions!$D72,EF!$D$100:$D$115,0))*INDEX(EF!$H$132:$H$147,MATCH(Emissions!$D72,EF!$D$132:$D$147,0))*kgtoGg</f>
        <v>0.51615689922073593</v>
      </c>
      <c r="N72" s="22">
        <f>INDEX('Activity data'!N$24:N$39,MATCH(Emissions!$D72,'Activity data'!$D$24:$D$39,0))*INDEX(EF!$H$84:$H$99,MATCH(Emissions!$D72,EF!$D$84:$D$99,0))*INDEX(EF!$H$100:$H$115,MATCH(Emissions!$D72,EF!$D$100:$D$115,0))*INDEX(EF!$H$132:$H$147,MATCH(Emissions!$D72,EF!$D$132:$D$147,0))*kgtoGg</f>
        <v>0.51615689922073593</v>
      </c>
      <c r="O72" s="22">
        <f>INDEX('Activity data'!O$24:O$39,MATCH(Emissions!$D72,'Activity data'!$D$24:$D$39,0))*INDEX(EF!$H$84:$H$99,MATCH(Emissions!$D72,EF!$D$84:$D$99,0))*INDEX(EF!$H$100:$H$115,MATCH(Emissions!$D72,EF!$D$100:$D$115,0))*INDEX(EF!$H$132:$H$147,MATCH(Emissions!$D72,EF!$D$132:$D$147,0))*kgtoGg</f>
        <v>0.51615689922073593</v>
      </c>
      <c r="P72" s="22">
        <f>INDEX('Activity data'!P$24:P$39,MATCH(Emissions!$D72,'Activity data'!$D$24:$D$39,0))*INDEX(EF!$H$84:$H$99,MATCH(Emissions!$D72,EF!$D$84:$D$99,0))*INDEX(EF!$H$100:$H$115,MATCH(Emissions!$D72,EF!$D$100:$D$115,0))*INDEX(EF!$H$132:$H$147,MATCH(Emissions!$D72,EF!$D$132:$D$147,0))*kgtoGg</f>
        <v>0.51615689922073593</v>
      </c>
      <c r="Q72" s="22">
        <f>INDEX('Activity data'!Q$24:Q$39,MATCH(Emissions!$D72,'Activity data'!$D$24:$D$39,0))*INDEX(EF!$H$84:$H$99,MATCH(Emissions!$D72,EF!$D$84:$D$99,0))*INDEX(EF!$H$100:$H$115,MATCH(Emissions!$D72,EF!$D$100:$D$115,0))*INDEX(EF!$H$132:$H$147,MATCH(Emissions!$D72,EF!$D$132:$D$147,0))*kgtoGg</f>
        <v>0.51615689922073593</v>
      </c>
      <c r="R72" s="22">
        <f>INDEX('Activity data'!R$24:R$39,MATCH(Emissions!$D72,'Activity data'!$D$24:$D$39,0))*INDEX(EF!$H$84:$H$99,MATCH(Emissions!$D72,EF!$D$84:$D$99,0))*INDEX(EF!$H$100:$H$115,MATCH(Emissions!$D72,EF!$D$100:$D$115,0))*INDEX(EF!$H$132:$H$147,MATCH(Emissions!$D72,EF!$D$132:$D$147,0))*kgtoGg</f>
        <v>0.5405338840784204</v>
      </c>
      <c r="S72" s="22">
        <f>INDEX('Activity data'!S$24:S$39,MATCH(Emissions!$D72,'Activity data'!$D$24:$D$39,0))*INDEX(EF!$H$84:$H$99,MATCH(Emissions!$D72,EF!$D$84:$D$99,0))*INDEX(EF!$H$100:$H$115,MATCH(Emissions!$D72,EF!$D$100:$D$115,0))*INDEX(EF!$H$132:$H$147,MATCH(Emissions!$D72,EF!$D$132:$D$147,0))*kgtoGg</f>
        <v>0.77734472774207219</v>
      </c>
      <c r="T72" s="22">
        <f>INDEX('Activity data'!T$24:T$39,MATCH(Emissions!$D72,'Activity data'!$D$24:$D$39,0))*INDEX(EF!$H$84:$H$99,MATCH(Emissions!$D72,EF!$D$84:$D$99,0))*INDEX(EF!$H$100:$H$115,MATCH(Emissions!$D72,EF!$D$100:$D$115,0))*INDEX(EF!$H$132:$H$147,MATCH(Emissions!$D72,EF!$D$132:$D$147,0))*kgtoGg</f>
        <v>0.60115227491539969</v>
      </c>
      <c r="U72" s="22">
        <f>INDEX('Activity data'!U$24:U$39,MATCH(Emissions!$D72,'Activity data'!$D$24:$D$39,0))*INDEX(EF!$H$84:$H$99,MATCH(Emissions!$D72,EF!$D$84:$D$99,0))*INDEX(EF!$H$100:$H$115,MATCH(Emissions!$D72,EF!$D$100:$D$115,0))*INDEX(EF!$H$132:$H$147,MATCH(Emissions!$D72,EF!$D$132:$D$147,0))*kgtoGg</f>
        <v>0.23051703774951418</v>
      </c>
      <c r="V72" s="22">
        <f>INDEX('Activity data'!V$24:V$39,MATCH(Emissions!$D72,'Activity data'!$D$24:$D$39,0))*INDEX(EF!$H$84:$H$99,MATCH(Emissions!$D72,EF!$D$84:$D$99,0))*INDEX(EF!$H$100:$H$115,MATCH(Emissions!$D72,EF!$D$100:$D$115,0))*INDEX(EF!$H$132:$H$147,MATCH(Emissions!$D72,EF!$D$132:$D$147,0))*kgtoGg</f>
        <v>0.43123657161827345</v>
      </c>
      <c r="W72" s="22">
        <f>INDEX('Activity data'!W$24:W$39,MATCH(Emissions!$D72,'Activity data'!$D$24:$D$39,0))*INDEX(EF!$H$84:$H$99,MATCH(Emissions!$D72,EF!$D$84:$D$99,0))*INDEX(EF!$H$100:$H$115,MATCH(Emissions!$D72,EF!$D$100:$D$115,0))*INDEX(EF!$H$132:$H$147,MATCH(Emissions!$D72,EF!$D$132:$D$147,0))*kgtoGg</f>
        <v>0.72810294542739629</v>
      </c>
      <c r="X72" s="22">
        <f>INDEX('Activity data'!X$24:X$39,MATCH(Emissions!$D72,'Activity data'!$D$24:$D$39,0))*INDEX(EF!$H$84:$H$99,MATCH(Emissions!$D72,EF!$D$84:$D$99,0))*INDEX(EF!$H$100:$H$115,MATCH(Emissions!$D72,EF!$D$100:$D$115,0))*INDEX(EF!$H$132:$H$147,MATCH(Emissions!$D72,EF!$D$132:$D$147,0))*kgtoGg</f>
        <v>0.63168320333357431</v>
      </c>
      <c r="Y72" s="22">
        <f>INDEX('Activity data'!Y$24:Y$39,MATCH(Emissions!$D72,'Activity data'!$D$24:$D$39,0))*INDEX(EF!$H$84:$H$99,MATCH(Emissions!$D72,EF!$D$84:$D$99,0))*INDEX(EF!$H$100:$H$115,MATCH(Emissions!$D72,EF!$D$100:$D$115,0))*INDEX(EF!$H$132:$H$147,MATCH(Emissions!$D72,EF!$D$132:$D$147,0))*kgtoGg</f>
        <v>0.3634715556375987</v>
      </c>
      <c r="Z72" s="22">
        <f>INDEX('Activity data'!Z$24:Z$39,MATCH(Emissions!$D72,'Activity data'!$D$24:$D$39,0))*INDEX(EF!$H$84:$H$99,MATCH(Emissions!$D72,EF!$D$84:$D$99,0))*INDEX(EF!$H$100:$H$115,MATCH(Emissions!$D72,EF!$D$100:$D$115,0))*INDEX(EF!$H$132:$H$147,MATCH(Emissions!$D72,EF!$D$132:$D$147,0))*kgtoGg</f>
        <v>0.65636379183698135</v>
      </c>
      <c r="AA72" s="22">
        <f>INDEX('Activity data'!AA$24:AA$39,MATCH(Emissions!$D72,'Activity data'!$D$24:$D$39,0))*INDEX(EF!$H$84:$H$99,MATCH(Emissions!$D72,EF!$D$84:$D$99,0))*INDEX(EF!$H$100:$H$115,MATCH(Emissions!$D72,EF!$D$100:$D$115,0))*INDEX(EF!$H$132:$H$147,MATCH(Emissions!$D72,EF!$D$132:$D$147,0))*kgtoGg</f>
        <v>0.43249874407801925</v>
      </c>
      <c r="AB72" s="22">
        <f>INDEX('Activity data'!AB$24:AB$39,MATCH(Emissions!$D72,'Activity data'!$D$24:$D$39,0))*INDEX(EF!$H$84:$H$99,MATCH(Emissions!$D72,EF!$D$84:$D$99,0))*INDEX(EF!$H$100:$H$115,MATCH(Emissions!$D72,EF!$D$100:$D$115,0))*INDEX(EF!$H$132:$H$147,MATCH(Emissions!$D72,EF!$D$132:$D$147,0))*kgtoGg</f>
        <v>0.60930467136000011</v>
      </c>
      <c r="AC72" s="22">
        <f>INDEX('Activity data'!AC$24:AC$39,MATCH(Emissions!$D72,'Activity data'!$D$24:$D$39,0))*INDEX(EF!$H$84:$H$99,MATCH(Emissions!$D72,EF!$D$84:$D$99,0))*INDEX(EF!$H$100:$H$115,MATCH(Emissions!$D72,EF!$D$100:$D$115,0))*INDEX(EF!$H$132:$H$147,MATCH(Emissions!$D72,EF!$D$132:$D$147,0))*kgtoGg</f>
        <v>0.55754395804799994</v>
      </c>
      <c r="AD72" s="22">
        <f>INDEX('Activity data'!AD$24:AD$39,MATCH(Emissions!$D72,'Activity data'!$D$24:$D$39,0))*INDEX(EF!$H$84:$H$99,MATCH(Emissions!$D72,EF!$D$84:$D$99,0))*INDEX(EF!$H$100:$H$115,MATCH(Emissions!$D72,EF!$D$100:$D$115,0))*INDEX(EF!$H$132:$H$147,MATCH(Emissions!$D72,EF!$D$132:$D$147,0))*kgtoGg</f>
        <v>0.49109158898115401</v>
      </c>
      <c r="AE72" s="22">
        <f>INDEX('Activity data'!AE$24:AE$39,MATCH(Emissions!$D72,'Activity data'!$D$24:$D$39,0))*INDEX(EF!$H$84:$H$99,MATCH(Emissions!$D72,EF!$D$84:$D$99,0))*INDEX(EF!$H$100:$H$115,MATCH(Emissions!$D72,EF!$D$100:$D$115,0))*INDEX(EF!$H$132:$H$147,MATCH(Emissions!$D72,EF!$D$132:$D$147,0))*kgtoGg</f>
        <v>0.49195173492320404</v>
      </c>
      <c r="AF72" s="22">
        <f>INDEX('Activity data'!AF$24:AF$39,MATCH(Emissions!$D72,'Activity data'!$D$24:$D$39,0))*INDEX(EF!$H$84:$H$99,MATCH(Emissions!$D72,EF!$D$84:$D$99,0))*INDEX(EF!$H$100:$H$115,MATCH(Emissions!$D72,EF!$D$100:$D$115,0))*INDEX(EF!$H$132:$H$147,MATCH(Emissions!$D72,EF!$D$132:$D$147,0))*kgtoGg</f>
        <v>0.49281188086525413</v>
      </c>
      <c r="AG72" s="22">
        <f>INDEX('Activity data'!AG$24:AG$39,MATCH(Emissions!$D72,'Activity data'!$D$24:$D$39,0))*INDEX(EF!$H$84:$H$99,MATCH(Emissions!$D72,EF!$D$84:$D$99,0))*INDEX(EF!$H$100:$H$115,MATCH(Emissions!$D72,EF!$D$100:$D$115,0))*INDEX(EF!$H$132:$H$147,MATCH(Emissions!$D72,EF!$D$132:$D$147,0))*kgtoGg</f>
        <v>0.49367202680730427</v>
      </c>
      <c r="AH72" s="22">
        <f>INDEX('Activity data'!AH$24:AH$39,MATCH(Emissions!$D72,'Activity data'!$D$24:$D$39,0))*INDEX(EF!$H$84:$H$99,MATCH(Emissions!$D72,EF!$D$84:$D$99,0))*INDEX(EF!$H$100:$H$115,MATCH(Emissions!$D72,EF!$D$100:$D$115,0))*INDEX(EF!$H$132:$H$147,MATCH(Emissions!$D72,EF!$D$132:$D$147,0))*kgtoGg</f>
        <v>0.49453217274935435</v>
      </c>
      <c r="AI72" s="22">
        <f>INDEX('Activity data'!AI$24:AI$39,MATCH(Emissions!$D72,'Activity data'!$D$24:$D$39,0))*INDEX(EF!$H$84:$H$99,MATCH(Emissions!$D72,EF!$D$84:$D$99,0))*INDEX(EF!$H$100:$H$115,MATCH(Emissions!$D72,EF!$D$100:$D$115,0))*INDEX(EF!$H$132:$H$147,MATCH(Emissions!$D72,EF!$D$132:$D$147,0))*kgtoGg</f>
        <v>0.49539231869140443</v>
      </c>
      <c r="AJ72" s="22">
        <f>INDEX('Activity data'!AJ$24:AJ$39,MATCH(Emissions!$D72,'Activity data'!$D$24:$D$39,0))*INDEX(EF!$H$84:$H$99,MATCH(Emissions!$D72,EF!$D$84:$D$99,0))*INDEX(EF!$H$100:$H$115,MATCH(Emissions!$D72,EF!$D$100:$D$115,0))*INDEX(EF!$H$132:$H$147,MATCH(Emissions!$D72,EF!$D$132:$D$147,0))*kgtoGg</f>
        <v>0.49625246463345457</v>
      </c>
      <c r="AK72" s="22">
        <f>INDEX('Activity data'!AK$24:AK$39,MATCH(Emissions!$D72,'Activity data'!$D$24:$D$39,0))*INDEX(EF!$H$84:$H$99,MATCH(Emissions!$D72,EF!$D$84:$D$99,0))*INDEX(EF!$H$100:$H$115,MATCH(Emissions!$D72,EF!$D$100:$D$115,0))*INDEX(EF!$H$132:$H$147,MATCH(Emissions!$D72,EF!$D$132:$D$147,0))*kgtoGg</f>
        <v>0.49279385642925139</v>
      </c>
      <c r="AL72" s="22">
        <f>INDEX('Activity data'!AL$24:AL$39,MATCH(Emissions!$D72,'Activity data'!$D$24:$D$39,0))*INDEX(EF!$H$84:$H$99,MATCH(Emissions!$D72,EF!$D$84:$D$99,0))*INDEX(EF!$H$100:$H$115,MATCH(Emissions!$D72,EF!$D$100:$D$115,0))*INDEX(EF!$H$132:$H$147,MATCH(Emissions!$D72,EF!$D$132:$D$147,0))*kgtoGg</f>
        <v>0.48933524822504815</v>
      </c>
      <c r="AM72" s="22">
        <f>INDEX('Activity data'!AM$24:AM$39,MATCH(Emissions!$D72,'Activity data'!$D$24:$D$39,0))*INDEX(EF!$H$84:$H$99,MATCH(Emissions!$D72,EF!$D$84:$D$99,0))*INDEX(EF!$H$100:$H$115,MATCH(Emissions!$D72,EF!$D$100:$D$115,0))*INDEX(EF!$H$132:$H$147,MATCH(Emissions!$D72,EF!$D$132:$D$147,0))*kgtoGg</f>
        <v>0.48587664002084496</v>
      </c>
      <c r="AN72" s="22">
        <f>INDEX('Activity data'!AN$24:AN$39,MATCH(Emissions!$D72,'Activity data'!$D$24:$D$39,0))*INDEX(EF!$H$84:$H$99,MATCH(Emissions!$D72,EF!$D$84:$D$99,0))*INDEX(EF!$H$100:$H$115,MATCH(Emissions!$D72,EF!$D$100:$D$115,0))*INDEX(EF!$H$132:$H$147,MATCH(Emissions!$D72,EF!$D$132:$D$147,0))*kgtoGg</f>
        <v>0.48241803181664178</v>
      </c>
      <c r="AO72" s="22">
        <f>INDEX('Activity data'!AO$24:AO$39,MATCH(Emissions!$D72,'Activity data'!$D$24:$D$39,0))*INDEX(EF!$H$84:$H$99,MATCH(Emissions!$D72,EF!$D$84:$D$99,0))*INDEX(EF!$H$100:$H$115,MATCH(Emissions!$D72,EF!$D$100:$D$115,0))*INDEX(EF!$H$132:$H$147,MATCH(Emissions!$D72,EF!$D$132:$D$147,0))*kgtoGg</f>
        <v>0.47895942361243865</v>
      </c>
      <c r="AP72" s="22">
        <f>INDEX('Activity data'!AP$24:AP$39,MATCH(Emissions!$D72,'Activity data'!$D$24:$D$39,0))*INDEX(EF!$H$84:$H$99,MATCH(Emissions!$D72,EF!$D$84:$D$99,0))*INDEX(EF!$H$100:$H$115,MATCH(Emissions!$D72,EF!$D$100:$D$115,0))*INDEX(EF!$H$132:$H$147,MATCH(Emissions!$D72,EF!$D$132:$D$147,0))*kgtoGg</f>
        <v>0.47550081540823552</v>
      </c>
      <c r="AQ72" s="22">
        <f>INDEX('Activity data'!AQ$24:AQ$39,MATCH(Emissions!$D72,'Activity data'!$D$24:$D$39,0))*INDEX(EF!$H$84:$H$99,MATCH(Emissions!$D72,EF!$D$84:$D$99,0))*INDEX(EF!$H$100:$H$115,MATCH(Emissions!$D72,EF!$D$100:$D$115,0))*INDEX(EF!$H$132:$H$147,MATCH(Emissions!$D72,EF!$D$132:$D$147,0))*kgtoGg</f>
        <v>0.47204220720403234</v>
      </c>
      <c r="AR72" s="22">
        <f>INDEX('Activity data'!AR$24:AR$39,MATCH(Emissions!$D72,'Activity data'!$D$24:$D$39,0))*INDEX(EF!$H$84:$H$99,MATCH(Emissions!$D72,EF!$D$84:$D$99,0))*INDEX(EF!$H$100:$H$115,MATCH(Emissions!$D72,EF!$D$100:$D$115,0))*INDEX(EF!$H$132:$H$147,MATCH(Emissions!$D72,EF!$D$132:$D$147,0))*kgtoGg</f>
        <v>0.46858359899982904</v>
      </c>
      <c r="AS72" s="22">
        <f>INDEX('Activity data'!AS$24:AS$39,MATCH(Emissions!$D72,'Activity data'!$D$24:$D$39,0))*INDEX(EF!$H$84:$H$99,MATCH(Emissions!$D72,EF!$D$84:$D$99,0))*INDEX(EF!$H$100:$H$115,MATCH(Emissions!$D72,EF!$D$100:$D$115,0))*INDEX(EF!$H$132:$H$147,MATCH(Emissions!$D72,EF!$D$132:$D$147,0))*kgtoGg</f>
        <v>0.46512499079562586</v>
      </c>
      <c r="AT72" s="22">
        <f>INDEX('Activity data'!AT$24:AT$39,MATCH(Emissions!$D72,'Activity data'!$D$24:$D$39,0))*INDEX(EF!$H$84:$H$99,MATCH(Emissions!$D72,EF!$D$84:$D$99,0))*INDEX(EF!$H$100:$H$115,MATCH(Emissions!$D72,EF!$D$100:$D$115,0))*INDEX(EF!$H$132:$H$147,MATCH(Emissions!$D72,EF!$D$132:$D$147,0))*kgtoGg</f>
        <v>0.46166638259142267</v>
      </c>
      <c r="AU72" s="22">
        <f>INDEX('Activity data'!AU$24:AU$39,MATCH(Emissions!$D72,'Activity data'!$D$24:$D$39,0))*INDEX(EF!$H$84:$H$99,MATCH(Emissions!$D72,EF!$D$84:$D$99,0))*INDEX(EF!$H$100:$H$115,MATCH(Emissions!$D72,EF!$D$100:$D$115,0))*INDEX(EF!$H$132:$H$147,MATCH(Emissions!$D72,EF!$D$132:$D$147,0))*kgtoGg</f>
        <v>0.45820777438721955</v>
      </c>
      <c r="AV72" s="22">
        <f>INDEX('Activity data'!AV$24:AV$39,MATCH(Emissions!$D72,'Activity data'!$D$24:$D$39,0))*INDEX(EF!$H$84:$H$99,MATCH(Emissions!$D72,EF!$D$84:$D$99,0))*INDEX(EF!$H$100:$H$115,MATCH(Emissions!$D72,EF!$D$100:$D$115,0))*INDEX(EF!$H$132:$H$147,MATCH(Emissions!$D72,EF!$D$132:$D$147,0))*kgtoGg</f>
        <v>0.45474916618301631</v>
      </c>
      <c r="AW72" s="22">
        <f>INDEX('Activity data'!AW$24:AW$39,MATCH(Emissions!$D72,'Activity data'!$D$24:$D$39,0))*INDEX(EF!$H$84:$H$99,MATCH(Emissions!$D72,EF!$D$84:$D$99,0))*INDEX(EF!$H$100:$H$115,MATCH(Emissions!$D72,EF!$D$100:$D$115,0))*INDEX(EF!$H$132:$H$147,MATCH(Emissions!$D72,EF!$D$132:$D$147,0))*kgtoGg</f>
        <v>0.45129055797881312</v>
      </c>
      <c r="AX72" s="22">
        <f>INDEX('Activity data'!AX$24:AX$39,MATCH(Emissions!$D72,'Activity data'!$D$24:$D$39,0))*INDEX(EF!$H$84:$H$99,MATCH(Emissions!$D72,EF!$D$84:$D$99,0))*INDEX(EF!$H$100:$H$115,MATCH(Emissions!$D72,EF!$D$100:$D$115,0))*INDEX(EF!$H$132:$H$147,MATCH(Emissions!$D72,EF!$D$132:$D$147,0))*kgtoGg</f>
        <v>0.44783194977460994</v>
      </c>
      <c r="AY72" s="22">
        <f>INDEX('Activity data'!AY$24:AY$39,MATCH(Emissions!$D72,'Activity data'!$D$24:$D$39,0))*INDEX(EF!$H$84:$H$99,MATCH(Emissions!$D72,EF!$D$84:$D$99,0))*INDEX(EF!$H$100:$H$115,MATCH(Emissions!$D72,EF!$D$100:$D$115,0))*INDEX(EF!$H$132:$H$147,MATCH(Emissions!$D72,EF!$D$132:$D$147,0))*kgtoGg</f>
        <v>0.44437334157040664</v>
      </c>
      <c r="AZ72" s="22">
        <f>INDEX('Activity data'!AZ$24:AZ$39,MATCH(Emissions!$D72,'Activity data'!$D$24:$D$39,0))*INDEX(EF!$H$84:$H$99,MATCH(Emissions!$D72,EF!$D$84:$D$99,0))*INDEX(EF!$H$100:$H$115,MATCH(Emissions!$D72,EF!$D$100:$D$115,0))*INDEX(EF!$H$132:$H$147,MATCH(Emissions!$D72,EF!$D$132:$D$147,0))*kgtoGg</f>
        <v>0.44091473336620357</v>
      </c>
      <c r="BA72" s="22">
        <f>INDEX('Activity data'!BA$24:BA$39,MATCH(Emissions!$D72,'Activity data'!$D$24:$D$39,0))*INDEX(EF!$H$84:$H$99,MATCH(Emissions!$D72,EF!$D$84:$D$99,0))*INDEX(EF!$H$100:$H$115,MATCH(Emissions!$D72,EF!$D$100:$D$115,0))*INDEX(EF!$H$132:$H$147,MATCH(Emissions!$D72,EF!$D$132:$D$147,0))*kgtoGg</f>
        <v>0.43745612516200039</v>
      </c>
      <c r="BB72" s="22">
        <f>INDEX('Activity data'!BB$24:BB$39,MATCH(Emissions!$D72,'Activity data'!$D$24:$D$39,0))*INDEX(EF!$H$84:$H$99,MATCH(Emissions!$D72,EF!$D$84:$D$99,0))*INDEX(EF!$H$100:$H$115,MATCH(Emissions!$D72,EF!$D$100:$D$115,0))*INDEX(EF!$H$132:$H$147,MATCH(Emissions!$D72,EF!$D$132:$D$147,0))*kgtoGg</f>
        <v>0.4339975169577972</v>
      </c>
      <c r="BC72" s="22">
        <f>INDEX('Activity data'!BC$24:BC$39,MATCH(Emissions!$D72,'Activity data'!$D$24:$D$39,0))*INDEX(EF!$H$84:$H$99,MATCH(Emissions!$D72,EF!$D$84:$D$99,0))*INDEX(EF!$H$100:$H$115,MATCH(Emissions!$D72,EF!$D$100:$D$115,0))*INDEX(EF!$H$132:$H$147,MATCH(Emissions!$D72,EF!$D$132:$D$147,0))*kgtoGg</f>
        <v>0.43053890875359402</v>
      </c>
      <c r="BD72" s="22">
        <f>INDEX('Activity data'!BD$24:BD$39,MATCH(Emissions!$D72,'Activity data'!$D$24:$D$39,0))*INDEX(EF!$H$84:$H$99,MATCH(Emissions!$D72,EF!$D$84:$D$99,0))*INDEX(EF!$H$100:$H$115,MATCH(Emissions!$D72,EF!$D$100:$D$115,0))*INDEX(EF!$H$132:$H$147,MATCH(Emissions!$D72,EF!$D$132:$D$147,0))*kgtoGg</f>
        <v>0.42708030054939083</v>
      </c>
      <c r="BE72" s="22">
        <f>INDEX('Activity data'!BE$24:BE$39,MATCH(Emissions!$D72,'Activity data'!$D$24:$D$39,0))*INDEX(EF!$H$84:$H$99,MATCH(Emissions!$D72,EF!$D$84:$D$99,0))*INDEX(EF!$H$100:$H$115,MATCH(Emissions!$D72,EF!$D$100:$D$115,0))*INDEX(EF!$H$132:$H$147,MATCH(Emissions!$D72,EF!$D$132:$D$147,0))*kgtoGg</f>
        <v>0.42362169234518765</v>
      </c>
      <c r="BF72" s="22">
        <f>INDEX('Activity data'!BF$24:BF$39,MATCH(Emissions!$D72,'Activity data'!$D$24:$D$39,0))*INDEX(EF!$H$84:$H$99,MATCH(Emissions!$D72,EF!$D$84:$D$99,0))*INDEX(EF!$H$100:$H$115,MATCH(Emissions!$D72,EF!$D$100:$D$115,0))*INDEX(EF!$H$132:$H$147,MATCH(Emissions!$D72,EF!$D$132:$D$147,0))*kgtoGg</f>
        <v>0.42016308414098436</v>
      </c>
      <c r="BG72" s="22">
        <f>INDEX('Activity data'!BG$24:BG$39,MATCH(Emissions!$D72,'Activity data'!$D$24:$D$39,0))*INDEX(EF!$H$84:$H$99,MATCH(Emissions!$D72,EF!$D$84:$D$99,0))*INDEX(EF!$H$100:$H$115,MATCH(Emissions!$D72,EF!$D$100:$D$115,0))*INDEX(EF!$H$132:$H$147,MATCH(Emissions!$D72,EF!$D$132:$D$147,0))*kgtoGg</f>
        <v>0.41670447593678112</v>
      </c>
      <c r="BH72" s="22">
        <f>INDEX('Activity data'!BH$24:BH$39,MATCH(Emissions!$D72,'Activity data'!$D$24:$D$39,0))*INDEX(EF!$H$84:$H$99,MATCH(Emissions!$D72,EF!$D$84:$D$99,0))*INDEX(EF!$H$100:$H$115,MATCH(Emissions!$D72,EF!$D$100:$D$115,0))*INDEX(EF!$H$132:$H$147,MATCH(Emissions!$D72,EF!$D$132:$D$147,0))*kgtoGg</f>
        <v>0.41324586773257804</v>
      </c>
      <c r="BI72" s="22">
        <f>INDEX('Activity data'!BI$24:BI$39,MATCH(Emissions!$D72,'Activity data'!$D$24:$D$39,0))*INDEX(EF!$H$84:$H$99,MATCH(Emissions!$D72,EF!$D$84:$D$99,0))*INDEX(EF!$H$100:$H$115,MATCH(Emissions!$D72,EF!$D$100:$D$115,0))*INDEX(EF!$H$132:$H$147,MATCH(Emissions!$D72,EF!$D$132:$D$147,0))*kgtoGg</f>
        <v>0.4097872595283748</v>
      </c>
      <c r="BJ72" s="22">
        <f>INDEX('Activity data'!BJ$24:BJ$39,MATCH(Emissions!$D72,'Activity data'!$D$24:$D$39,0))*INDEX(EF!$H$84:$H$99,MATCH(Emissions!$D72,EF!$D$84:$D$99,0))*INDEX(EF!$H$100:$H$115,MATCH(Emissions!$D72,EF!$D$100:$D$115,0))*INDEX(EF!$H$132:$H$147,MATCH(Emissions!$D72,EF!$D$132:$D$147,0))*kgtoGg</f>
        <v>0.40632865132417167</v>
      </c>
      <c r="BK72" s="22">
        <f>INDEX('Activity data'!BK$24:BK$39,MATCH(Emissions!$D72,'Activity data'!$D$24:$D$39,0))*INDEX(EF!$H$84:$H$99,MATCH(Emissions!$D72,EF!$D$84:$D$99,0))*INDEX(EF!$H$100:$H$115,MATCH(Emissions!$D72,EF!$D$100:$D$115,0))*INDEX(EF!$H$132:$H$147,MATCH(Emissions!$D72,EF!$D$132:$D$147,0))*kgtoGg</f>
        <v>0.40287004311996844</v>
      </c>
      <c r="BL72" s="22">
        <f>INDEX('Activity data'!BL$24:BL$39,MATCH(Emissions!$D72,'Activity data'!$D$24:$D$39,0))*INDEX(EF!$H$84:$H$99,MATCH(Emissions!$D72,EF!$D$84:$D$99,0))*INDEX(EF!$H$100:$H$115,MATCH(Emissions!$D72,EF!$D$100:$D$115,0))*INDEX(EF!$H$132:$H$147,MATCH(Emissions!$D72,EF!$D$132:$D$147,0))*kgtoGg</f>
        <v>0.39941143491576536</v>
      </c>
      <c r="BM72" s="22">
        <f>INDEX('Activity data'!BM$24:BM$39,MATCH(Emissions!$D72,'Activity data'!$D$24:$D$39,0))*INDEX(EF!$H$84:$H$99,MATCH(Emissions!$D72,EF!$D$84:$D$99,0))*INDEX(EF!$H$100:$H$115,MATCH(Emissions!$D72,EF!$D$100:$D$115,0))*INDEX(EF!$H$132:$H$147,MATCH(Emissions!$D72,EF!$D$132:$D$147,0))*kgtoGg</f>
        <v>0.39595282671156223</v>
      </c>
      <c r="BN72" s="22">
        <f>INDEX('Activity data'!BN$24:BN$39,MATCH(Emissions!$D72,'Activity data'!$D$24:$D$39,0))*INDEX(EF!$H$84:$H$99,MATCH(Emissions!$D72,EF!$D$84:$D$99,0))*INDEX(EF!$H$100:$H$115,MATCH(Emissions!$D72,EF!$D$100:$D$115,0))*INDEX(EF!$H$132:$H$147,MATCH(Emissions!$D72,EF!$D$132:$D$147,0))*kgtoGg</f>
        <v>0.3924942185073591</v>
      </c>
      <c r="BO72" s="22">
        <f>INDEX('Activity data'!BO$24:BO$39,MATCH(Emissions!$D72,'Activity data'!$D$24:$D$39,0))*INDEX(EF!$H$84:$H$99,MATCH(Emissions!$D72,EF!$D$84:$D$99,0))*INDEX(EF!$H$100:$H$115,MATCH(Emissions!$D72,EF!$D$100:$D$115,0))*INDEX(EF!$H$132:$H$147,MATCH(Emissions!$D72,EF!$D$132:$D$147,0))*kgtoGg</f>
        <v>0.38903561030315592</v>
      </c>
      <c r="BP72" s="22">
        <f>INDEX('Activity data'!BP$24:BP$39,MATCH(Emissions!$D72,'Activity data'!$D$24:$D$39,0))*INDEX(EF!$H$84:$H$99,MATCH(Emissions!$D72,EF!$D$84:$D$99,0))*INDEX(EF!$H$100:$H$115,MATCH(Emissions!$D72,EF!$D$100:$D$115,0))*INDEX(EF!$H$132:$H$147,MATCH(Emissions!$D72,EF!$D$132:$D$147,0))*kgtoGg</f>
        <v>0.38557700209895263</v>
      </c>
    </row>
    <row r="73" spans="1:68" x14ac:dyDescent="0.25">
      <c r="A73" t="str">
        <f t="shared" si="19"/>
        <v>3C Aggregated and non-CO2 emissions on land</v>
      </c>
      <c r="B73" t="str">
        <f t="shared" si="26"/>
        <v>3C1 Biomass burning (N2O)</v>
      </c>
      <c r="C73" t="str">
        <f t="shared" si="25"/>
        <v>3C1a Biomass burning in forest land</v>
      </c>
      <c r="D73" t="str">
        <f>EF!D103</f>
        <v>Plantations</v>
      </c>
      <c r="E73" t="s">
        <v>644</v>
      </c>
      <c r="F73" t="str">
        <f t="shared" si="27"/>
        <v>N2O</v>
      </c>
      <c r="G73" t="str">
        <f t="shared" si="28"/>
        <v>Gg N2O</v>
      </c>
      <c r="H73" s="22">
        <f>INDEX('Activity data'!H$24:H$39,MATCH(Emissions!$D73,'Activity data'!$D$24:$D$39,0))*INDEX(EF!$H$84:$H$99,MATCH(Emissions!$D73,EF!$D$84:$D$99,0))*INDEX(EF!$H$100:$H$115,MATCH(Emissions!$D73,EF!$D$100:$D$115,0))*INDEX(EF!$H$132:$H$147,MATCH(Emissions!$D73,EF!$D$132:$D$147,0))*kgtoGg</f>
        <v>0.41734182049814844</v>
      </c>
      <c r="I73" s="22">
        <f>INDEX('Activity data'!I$24:I$39,MATCH(Emissions!$D73,'Activity data'!$D$24:$D$39,0))*INDEX(EF!$H$84:$H$99,MATCH(Emissions!$D73,EF!$D$84:$D$99,0))*INDEX(EF!$H$100:$H$115,MATCH(Emissions!$D73,EF!$D$100:$D$115,0))*INDEX(EF!$H$132:$H$147,MATCH(Emissions!$D73,EF!$D$132:$D$147,0))*kgtoGg</f>
        <v>0.41734182049814844</v>
      </c>
      <c r="J73" s="22">
        <f>INDEX('Activity data'!J$24:J$39,MATCH(Emissions!$D73,'Activity data'!$D$24:$D$39,0))*INDEX(EF!$H$84:$H$99,MATCH(Emissions!$D73,EF!$D$84:$D$99,0))*INDEX(EF!$H$100:$H$115,MATCH(Emissions!$D73,EF!$D$100:$D$115,0))*INDEX(EF!$H$132:$H$147,MATCH(Emissions!$D73,EF!$D$132:$D$147,0))*kgtoGg</f>
        <v>0.41734182049814844</v>
      </c>
      <c r="K73" s="22">
        <f>INDEX('Activity data'!K$24:K$39,MATCH(Emissions!$D73,'Activity data'!$D$24:$D$39,0))*INDEX(EF!$H$84:$H$99,MATCH(Emissions!$D73,EF!$D$84:$D$99,0))*INDEX(EF!$H$100:$H$115,MATCH(Emissions!$D73,EF!$D$100:$D$115,0))*INDEX(EF!$H$132:$H$147,MATCH(Emissions!$D73,EF!$D$132:$D$147,0))*kgtoGg</f>
        <v>0.41734182049814844</v>
      </c>
      <c r="L73" s="22">
        <f>INDEX('Activity data'!L$24:L$39,MATCH(Emissions!$D73,'Activity data'!$D$24:$D$39,0))*INDEX(EF!$H$84:$H$99,MATCH(Emissions!$D73,EF!$D$84:$D$99,0))*INDEX(EF!$H$100:$H$115,MATCH(Emissions!$D73,EF!$D$100:$D$115,0))*INDEX(EF!$H$132:$H$147,MATCH(Emissions!$D73,EF!$D$132:$D$147,0))*kgtoGg</f>
        <v>0.41734182049814844</v>
      </c>
      <c r="M73" s="22">
        <f>INDEX('Activity data'!M$24:M$39,MATCH(Emissions!$D73,'Activity data'!$D$24:$D$39,0))*INDEX(EF!$H$84:$H$99,MATCH(Emissions!$D73,EF!$D$84:$D$99,0))*INDEX(EF!$H$100:$H$115,MATCH(Emissions!$D73,EF!$D$100:$D$115,0))*INDEX(EF!$H$132:$H$147,MATCH(Emissions!$D73,EF!$D$132:$D$147,0))*kgtoGg</f>
        <v>0.41734182049814844</v>
      </c>
      <c r="N73" s="22">
        <f>INDEX('Activity data'!N$24:N$39,MATCH(Emissions!$D73,'Activity data'!$D$24:$D$39,0))*INDEX(EF!$H$84:$H$99,MATCH(Emissions!$D73,EF!$D$84:$D$99,0))*INDEX(EF!$H$100:$H$115,MATCH(Emissions!$D73,EF!$D$100:$D$115,0))*INDEX(EF!$H$132:$H$147,MATCH(Emissions!$D73,EF!$D$132:$D$147,0))*kgtoGg</f>
        <v>0.41734182049814844</v>
      </c>
      <c r="O73" s="22">
        <f>INDEX('Activity data'!O$24:O$39,MATCH(Emissions!$D73,'Activity data'!$D$24:$D$39,0))*INDEX(EF!$H$84:$H$99,MATCH(Emissions!$D73,EF!$D$84:$D$99,0))*INDEX(EF!$H$100:$H$115,MATCH(Emissions!$D73,EF!$D$100:$D$115,0))*INDEX(EF!$H$132:$H$147,MATCH(Emissions!$D73,EF!$D$132:$D$147,0))*kgtoGg</f>
        <v>0.41734182049814844</v>
      </c>
      <c r="P73" s="22">
        <f>INDEX('Activity data'!P$24:P$39,MATCH(Emissions!$D73,'Activity data'!$D$24:$D$39,0))*INDEX(EF!$H$84:$H$99,MATCH(Emissions!$D73,EF!$D$84:$D$99,0))*INDEX(EF!$H$100:$H$115,MATCH(Emissions!$D73,EF!$D$100:$D$115,0))*INDEX(EF!$H$132:$H$147,MATCH(Emissions!$D73,EF!$D$132:$D$147,0))*kgtoGg</f>
        <v>0.41734182049814844</v>
      </c>
      <c r="Q73" s="22">
        <f>INDEX('Activity data'!Q$24:Q$39,MATCH(Emissions!$D73,'Activity data'!$D$24:$D$39,0))*INDEX(EF!$H$84:$H$99,MATCH(Emissions!$D73,EF!$D$84:$D$99,0))*INDEX(EF!$H$100:$H$115,MATCH(Emissions!$D73,EF!$D$100:$D$115,0))*INDEX(EF!$H$132:$H$147,MATCH(Emissions!$D73,EF!$D$132:$D$147,0))*kgtoGg</f>
        <v>0.41734182049814844</v>
      </c>
      <c r="R73" s="22">
        <f>INDEX('Activity data'!R$24:R$39,MATCH(Emissions!$D73,'Activity data'!$D$24:$D$39,0))*INDEX(EF!$H$84:$H$99,MATCH(Emissions!$D73,EF!$D$84:$D$99,0))*INDEX(EF!$H$100:$H$115,MATCH(Emissions!$D73,EF!$D$100:$D$115,0))*INDEX(EF!$H$132:$H$147,MATCH(Emissions!$D73,EF!$D$132:$D$147,0))*kgtoGg</f>
        <v>0.38057445764127906</v>
      </c>
      <c r="S73" s="22">
        <f>INDEX('Activity data'!S$24:S$39,MATCH(Emissions!$D73,'Activity data'!$D$24:$D$39,0))*INDEX(EF!$H$84:$H$99,MATCH(Emissions!$D73,EF!$D$84:$D$99,0))*INDEX(EF!$H$100:$H$115,MATCH(Emissions!$D73,EF!$D$100:$D$115,0))*INDEX(EF!$H$132:$H$147,MATCH(Emissions!$D73,EF!$D$132:$D$147,0))*kgtoGg</f>
        <v>0.46846135569826935</v>
      </c>
      <c r="T73" s="22">
        <f>INDEX('Activity data'!T$24:T$39,MATCH(Emissions!$D73,'Activity data'!$D$24:$D$39,0))*INDEX(EF!$H$84:$H$99,MATCH(Emissions!$D73,EF!$D$84:$D$99,0))*INDEX(EF!$H$100:$H$115,MATCH(Emissions!$D73,EF!$D$100:$D$115,0))*INDEX(EF!$H$132:$H$147,MATCH(Emissions!$D73,EF!$D$132:$D$147,0))*kgtoGg</f>
        <v>0.41826906758774046</v>
      </c>
      <c r="U73" s="22">
        <f>INDEX('Activity data'!U$24:U$39,MATCH(Emissions!$D73,'Activity data'!$D$24:$D$39,0))*INDEX(EF!$H$84:$H$99,MATCH(Emissions!$D73,EF!$D$84:$D$99,0))*INDEX(EF!$H$100:$H$115,MATCH(Emissions!$D73,EF!$D$100:$D$115,0))*INDEX(EF!$H$132:$H$147,MATCH(Emissions!$D73,EF!$D$132:$D$147,0))*kgtoGg</f>
        <v>0.48559526931029728</v>
      </c>
      <c r="V73" s="22">
        <f>INDEX('Activity data'!V$24:V$39,MATCH(Emissions!$D73,'Activity data'!$D$24:$D$39,0))*INDEX(EF!$H$84:$H$99,MATCH(Emissions!$D73,EF!$D$84:$D$99,0))*INDEX(EF!$H$100:$H$115,MATCH(Emissions!$D73,EF!$D$100:$D$115,0))*INDEX(EF!$H$132:$H$147,MATCH(Emissions!$D73,EF!$D$132:$D$147,0))*kgtoGg</f>
        <v>0.33380895225315582</v>
      </c>
      <c r="W73" s="22">
        <f>INDEX('Activity data'!W$24:W$39,MATCH(Emissions!$D73,'Activity data'!$D$24:$D$39,0))*INDEX(EF!$H$84:$H$99,MATCH(Emissions!$D73,EF!$D$84:$D$99,0))*INDEX(EF!$H$100:$H$115,MATCH(Emissions!$D73,EF!$D$100:$D$115,0))*INDEX(EF!$H$132:$H$147,MATCH(Emissions!$D73,EF!$D$132:$D$147,0))*kgtoGg</f>
        <v>0.48922362748696191</v>
      </c>
      <c r="X73" s="22">
        <f>INDEX('Activity data'!X$24:X$39,MATCH(Emissions!$D73,'Activity data'!$D$24:$D$39,0))*INDEX(EF!$H$84:$H$99,MATCH(Emissions!$D73,EF!$D$84:$D$99,0))*INDEX(EF!$H$100:$H$115,MATCH(Emissions!$D73,EF!$D$100:$D$115,0))*INDEX(EF!$H$132:$H$147,MATCH(Emissions!$D73,EF!$D$132:$D$147,0))*kgtoGg</f>
        <v>0.38238863672961138</v>
      </c>
      <c r="Y73" s="22">
        <f>INDEX('Activity data'!Y$24:Y$39,MATCH(Emissions!$D73,'Activity data'!$D$24:$D$39,0))*INDEX(EF!$H$84:$H$99,MATCH(Emissions!$D73,EF!$D$84:$D$99,0))*INDEX(EF!$H$100:$H$115,MATCH(Emissions!$D73,EF!$D$100:$D$115,0))*INDEX(EF!$H$132:$H$147,MATCH(Emissions!$D73,EF!$D$132:$D$147,0))*kgtoGg</f>
        <v>0.71196450444332493</v>
      </c>
      <c r="Z73" s="22">
        <f>INDEX('Activity data'!Z$24:Z$39,MATCH(Emissions!$D73,'Activity data'!$D$24:$D$39,0))*INDEX(EF!$H$84:$H$99,MATCH(Emissions!$D73,EF!$D$84:$D$99,0))*INDEX(EF!$H$100:$H$115,MATCH(Emissions!$D73,EF!$D$100:$D$115,0))*INDEX(EF!$H$132:$H$147,MATCH(Emissions!$D73,EF!$D$132:$D$147,0))*kgtoGg</f>
        <v>0.45999518661938493</v>
      </c>
      <c r="AA73" s="22">
        <f>INDEX('Activity data'!AA$24:AA$39,MATCH(Emissions!$D73,'Activity data'!$D$24:$D$39,0))*INDEX(EF!$H$84:$H$99,MATCH(Emissions!$D73,EF!$D$84:$D$99,0))*INDEX(EF!$H$100:$H$115,MATCH(Emissions!$D73,EF!$D$100:$D$115,0))*INDEX(EF!$H$132:$H$147,MATCH(Emissions!$D73,EF!$D$132:$D$147,0))*kgtoGg</f>
        <v>0.39186268307979161</v>
      </c>
      <c r="AB73" s="22">
        <f>INDEX('Activity data'!AB$24:AB$39,MATCH(Emissions!$D73,'Activity data'!$D$24:$D$39,0))*INDEX(EF!$H$84:$H$99,MATCH(Emissions!$D73,EF!$D$84:$D$99,0))*INDEX(EF!$H$100:$H$115,MATCH(Emissions!$D73,EF!$D$100:$D$115,0))*INDEX(EF!$H$132:$H$147,MATCH(Emissions!$D73,EF!$D$132:$D$147,0))*kgtoGg</f>
        <v>0.33076409184</v>
      </c>
      <c r="AC73" s="22">
        <f>INDEX('Activity data'!AC$24:AC$39,MATCH(Emissions!$D73,'Activity data'!$D$24:$D$39,0))*INDEX(EF!$H$84:$H$99,MATCH(Emissions!$D73,EF!$D$84:$D$99,0))*INDEX(EF!$H$100:$H$115,MATCH(Emissions!$D73,EF!$D$100:$D$115,0))*INDEX(EF!$H$132:$H$147,MATCH(Emissions!$D73,EF!$D$132:$D$147,0))*kgtoGg</f>
        <v>0.37630311264000005</v>
      </c>
      <c r="AD73" s="22">
        <f>INDEX('Activity data'!AD$24:AD$39,MATCH(Emissions!$D73,'Activity data'!$D$24:$D$39,0))*INDEX(EF!$H$84:$H$99,MATCH(Emissions!$D73,EF!$D$84:$D$99,0))*INDEX(EF!$H$100:$H$115,MATCH(Emissions!$D73,EF!$D$100:$D$115,0))*INDEX(EF!$H$132:$H$147,MATCH(Emissions!$D73,EF!$D$132:$D$147,0))*kgtoGg</f>
        <v>0.11606648834006898</v>
      </c>
      <c r="AE73" s="22">
        <f>INDEX('Activity data'!AE$24:AE$39,MATCH(Emissions!$D73,'Activity data'!$D$24:$D$39,0))*INDEX(EF!$H$84:$H$99,MATCH(Emissions!$D73,EF!$D$84:$D$99,0))*INDEX(EF!$H$100:$H$115,MATCH(Emissions!$D73,EF!$D$100:$D$115,0))*INDEX(EF!$H$132:$H$147,MATCH(Emissions!$D73,EF!$D$132:$D$147,0))*kgtoGg</f>
        <v>0.21826021634006895</v>
      </c>
      <c r="AF73" s="22">
        <f>INDEX('Activity data'!AF$24:AF$39,MATCH(Emissions!$D73,'Activity data'!$D$24:$D$39,0))*INDEX(EF!$H$84:$H$99,MATCH(Emissions!$D73,EF!$D$84:$D$99,0))*INDEX(EF!$H$100:$H$115,MATCH(Emissions!$D73,EF!$D$100:$D$115,0))*INDEX(EF!$H$132:$H$147,MATCH(Emissions!$D73,EF!$D$132:$D$147,0))*kgtoGg</f>
        <v>0.17623132034006897</v>
      </c>
      <c r="AG73" s="22">
        <f>INDEX('Activity data'!AG$24:AG$39,MATCH(Emissions!$D73,'Activity data'!$D$24:$D$39,0))*INDEX(EF!$H$84:$H$99,MATCH(Emissions!$D73,EF!$D$84:$D$99,0))*INDEX(EF!$H$100:$H$115,MATCH(Emissions!$D73,EF!$D$100:$D$115,0))*INDEX(EF!$H$132:$H$147,MATCH(Emissions!$D73,EF!$D$132:$D$147,0))*kgtoGg</f>
        <v>0.13670965634006899</v>
      </c>
      <c r="AH73" s="22">
        <f>INDEX('Activity data'!AH$24:AH$39,MATCH(Emissions!$D73,'Activity data'!$D$24:$D$39,0))*INDEX(EF!$H$84:$H$99,MATCH(Emissions!$D73,EF!$D$84:$D$99,0))*INDEX(EF!$H$100:$H$115,MATCH(Emissions!$D73,EF!$D$100:$D$115,0))*INDEX(EF!$H$132:$H$147,MATCH(Emissions!$D73,EF!$D$132:$D$147,0))*kgtoGg</f>
        <v>0.15645301634006897</v>
      </c>
      <c r="AI73" s="22">
        <f>INDEX('Activity data'!AI$24:AI$39,MATCH(Emissions!$D73,'Activity data'!$D$24:$D$39,0))*INDEX(EF!$H$84:$H$99,MATCH(Emissions!$D73,EF!$D$84:$D$99,0))*INDEX(EF!$H$100:$H$115,MATCH(Emissions!$D73,EF!$D$100:$D$115,0))*INDEX(EF!$H$132:$H$147,MATCH(Emissions!$D73,EF!$D$132:$D$147,0))*kgtoGg</f>
        <v>0.17325234434006898</v>
      </c>
      <c r="AJ73" s="22">
        <f>INDEX('Activity data'!AJ$24:AJ$39,MATCH(Emissions!$D73,'Activity data'!$D$24:$D$39,0))*INDEX(EF!$H$84:$H$99,MATCH(Emissions!$D73,EF!$D$84:$D$99,0))*INDEX(EF!$H$100:$H$115,MATCH(Emissions!$D73,EF!$D$100:$D$115,0))*INDEX(EF!$H$132:$H$147,MATCH(Emissions!$D73,EF!$D$132:$D$147,0))*kgtoGg</f>
        <v>0.17325234434006898</v>
      </c>
      <c r="AK73" s="22">
        <f>INDEX('Activity data'!AK$24:AK$39,MATCH(Emissions!$D73,'Activity data'!$D$24:$D$39,0))*INDEX(EF!$H$84:$H$99,MATCH(Emissions!$D73,EF!$D$84:$D$99,0))*INDEX(EF!$H$100:$H$115,MATCH(Emissions!$D73,EF!$D$100:$D$115,0))*INDEX(EF!$H$132:$H$147,MATCH(Emissions!$D73,EF!$D$132:$D$147,0))*kgtoGg</f>
        <v>0.17400449885772937</v>
      </c>
      <c r="AL73" s="22">
        <f>INDEX('Activity data'!AL$24:AL$39,MATCH(Emissions!$D73,'Activity data'!$D$24:$D$39,0))*INDEX(EF!$H$84:$H$99,MATCH(Emissions!$D73,EF!$D$84:$D$99,0))*INDEX(EF!$H$100:$H$115,MATCH(Emissions!$D73,EF!$D$100:$D$115,0))*INDEX(EF!$H$132:$H$147,MATCH(Emissions!$D73,EF!$D$132:$D$147,0))*kgtoGg</f>
        <v>0.17475665337538968</v>
      </c>
      <c r="AM73" s="22">
        <f>INDEX('Activity data'!AM$24:AM$39,MATCH(Emissions!$D73,'Activity data'!$D$24:$D$39,0))*INDEX(EF!$H$84:$H$99,MATCH(Emissions!$D73,EF!$D$84:$D$99,0))*INDEX(EF!$H$100:$H$115,MATCH(Emissions!$D73,EF!$D$100:$D$115,0))*INDEX(EF!$H$132:$H$147,MATCH(Emissions!$D73,EF!$D$132:$D$147,0))*kgtoGg</f>
        <v>0.17550880789305007</v>
      </c>
      <c r="AN73" s="22">
        <f>INDEX('Activity data'!AN$24:AN$39,MATCH(Emissions!$D73,'Activity data'!$D$24:$D$39,0))*INDEX(EF!$H$84:$H$99,MATCH(Emissions!$D73,EF!$D$84:$D$99,0))*INDEX(EF!$H$100:$H$115,MATCH(Emissions!$D73,EF!$D$100:$D$115,0))*INDEX(EF!$H$132:$H$147,MATCH(Emissions!$D73,EF!$D$132:$D$147,0))*kgtoGg</f>
        <v>0.17626096241071046</v>
      </c>
      <c r="AO73" s="22">
        <f>INDEX('Activity data'!AO$24:AO$39,MATCH(Emissions!$D73,'Activity data'!$D$24:$D$39,0))*INDEX(EF!$H$84:$H$99,MATCH(Emissions!$D73,EF!$D$84:$D$99,0))*INDEX(EF!$H$100:$H$115,MATCH(Emissions!$D73,EF!$D$100:$D$115,0))*INDEX(EF!$H$132:$H$147,MATCH(Emissions!$D73,EF!$D$132:$D$147,0))*kgtoGg</f>
        <v>0.17701311692837082</v>
      </c>
      <c r="AP73" s="22">
        <f>INDEX('Activity data'!AP$24:AP$39,MATCH(Emissions!$D73,'Activity data'!$D$24:$D$39,0))*INDEX(EF!$H$84:$H$99,MATCH(Emissions!$D73,EF!$D$84:$D$99,0))*INDEX(EF!$H$100:$H$115,MATCH(Emissions!$D73,EF!$D$100:$D$115,0))*INDEX(EF!$H$132:$H$147,MATCH(Emissions!$D73,EF!$D$132:$D$147,0))*kgtoGg</f>
        <v>0.17776527144603119</v>
      </c>
      <c r="AQ73" s="22">
        <f>INDEX('Activity data'!AQ$24:AQ$39,MATCH(Emissions!$D73,'Activity data'!$D$24:$D$39,0))*INDEX(EF!$H$84:$H$99,MATCH(Emissions!$D73,EF!$D$84:$D$99,0))*INDEX(EF!$H$100:$H$115,MATCH(Emissions!$D73,EF!$D$100:$D$115,0))*INDEX(EF!$H$132:$H$147,MATCH(Emissions!$D73,EF!$D$132:$D$147,0))*kgtoGg</f>
        <v>0.17851742596369158</v>
      </c>
      <c r="AR73" s="22">
        <f>INDEX('Activity data'!AR$24:AR$39,MATCH(Emissions!$D73,'Activity data'!$D$24:$D$39,0))*INDEX(EF!$H$84:$H$99,MATCH(Emissions!$D73,EF!$D$84:$D$99,0))*INDEX(EF!$H$100:$H$115,MATCH(Emissions!$D73,EF!$D$100:$D$115,0))*INDEX(EF!$H$132:$H$147,MATCH(Emissions!$D73,EF!$D$132:$D$147,0))*kgtoGg</f>
        <v>0.17926958048135197</v>
      </c>
      <c r="AS73" s="22">
        <f>INDEX('Activity data'!AS$24:AS$39,MATCH(Emissions!$D73,'Activity data'!$D$24:$D$39,0))*INDEX(EF!$H$84:$H$99,MATCH(Emissions!$D73,EF!$D$84:$D$99,0))*INDEX(EF!$H$100:$H$115,MATCH(Emissions!$D73,EF!$D$100:$D$115,0))*INDEX(EF!$H$132:$H$147,MATCH(Emissions!$D73,EF!$D$132:$D$147,0))*kgtoGg</f>
        <v>0.18002173499901231</v>
      </c>
      <c r="AT73" s="22">
        <f>INDEX('Activity data'!AT$24:AT$39,MATCH(Emissions!$D73,'Activity data'!$D$24:$D$39,0))*INDEX(EF!$H$84:$H$99,MATCH(Emissions!$D73,EF!$D$84:$D$99,0))*INDEX(EF!$H$100:$H$115,MATCH(Emissions!$D73,EF!$D$100:$D$115,0))*INDEX(EF!$H$132:$H$147,MATCH(Emissions!$D73,EF!$D$132:$D$147,0))*kgtoGg</f>
        <v>0.18077388951667267</v>
      </c>
      <c r="AU73" s="22">
        <f>INDEX('Activity data'!AU$24:AU$39,MATCH(Emissions!$D73,'Activity data'!$D$24:$D$39,0))*INDEX(EF!$H$84:$H$99,MATCH(Emissions!$D73,EF!$D$84:$D$99,0))*INDEX(EF!$H$100:$H$115,MATCH(Emissions!$D73,EF!$D$100:$D$115,0))*INDEX(EF!$H$132:$H$147,MATCH(Emissions!$D73,EF!$D$132:$D$147,0))*kgtoGg</f>
        <v>0.18152604403433303</v>
      </c>
      <c r="AV73" s="22">
        <f>INDEX('Activity data'!AV$24:AV$39,MATCH(Emissions!$D73,'Activity data'!$D$24:$D$39,0))*INDEX(EF!$H$84:$H$99,MATCH(Emissions!$D73,EF!$D$84:$D$99,0))*INDEX(EF!$H$100:$H$115,MATCH(Emissions!$D73,EF!$D$100:$D$115,0))*INDEX(EF!$H$132:$H$147,MATCH(Emissions!$D73,EF!$D$132:$D$147,0))*kgtoGg</f>
        <v>0.18227819855199343</v>
      </c>
      <c r="AW73" s="22">
        <f>INDEX('Activity data'!AW$24:AW$39,MATCH(Emissions!$D73,'Activity data'!$D$24:$D$39,0))*INDEX(EF!$H$84:$H$99,MATCH(Emissions!$D73,EF!$D$84:$D$99,0))*INDEX(EF!$H$100:$H$115,MATCH(Emissions!$D73,EF!$D$100:$D$115,0))*INDEX(EF!$H$132:$H$147,MATCH(Emissions!$D73,EF!$D$132:$D$147,0))*kgtoGg</f>
        <v>0.18227819855199343</v>
      </c>
      <c r="AX73" s="22">
        <f>INDEX('Activity data'!AX$24:AX$39,MATCH(Emissions!$D73,'Activity data'!$D$24:$D$39,0))*INDEX(EF!$H$84:$H$99,MATCH(Emissions!$D73,EF!$D$84:$D$99,0))*INDEX(EF!$H$100:$H$115,MATCH(Emissions!$D73,EF!$D$100:$D$115,0))*INDEX(EF!$H$132:$H$147,MATCH(Emissions!$D73,EF!$D$132:$D$147,0))*kgtoGg</f>
        <v>0.18227819855199343</v>
      </c>
      <c r="AY73" s="22">
        <f>INDEX('Activity data'!AY$24:AY$39,MATCH(Emissions!$D73,'Activity data'!$D$24:$D$39,0))*INDEX(EF!$H$84:$H$99,MATCH(Emissions!$D73,EF!$D$84:$D$99,0))*INDEX(EF!$H$100:$H$115,MATCH(Emissions!$D73,EF!$D$100:$D$115,0))*INDEX(EF!$H$132:$H$147,MATCH(Emissions!$D73,EF!$D$132:$D$147,0))*kgtoGg</f>
        <v>0.18227819855199343</v>
      </c>
      <c r="AZ73" s="22">
        <f>INDEX('Activity data'!AZ$24:AZ$39,MATCH(Emissions!$D73,'Activity data'!$D$24:$D$39,0))*INDEX(EF!$H$84:$H$99,MATCH(Emissions!$D73,EF!$D$84:$D$99,0))*INDEX(EF!$H$100:$H$115,MATCH(Emissions!$D73,EF!$D$100:$D$115,0))*INDEX(EF!$H$132:$H$147,MATCH(Emissions!$D73,EF!$D$132:$D$147,0))*kgtoGg</f>
        <v>0.18227819855199343</v>
      </c>
      <c r="BA73" s="22">
        <f>INDEX('Activity data'!BA$24:BA$39,MATCH(Emissions!$D73,'Activity data'!$D$24:$D$39,0))*INDEX(EF!$H$84:$H$99,MATCH(Emissions!$D73,EF!$D$84:$D$99,0))*INDEX(EF!$H$100:$H$115,MATCH(Emissions!$D73,EF!$D$100:$D$115,0))*INDEX(EF!$H$132:$H$147,MATCH(Emissions!$D73,EF!$D$132:$D$147,0))*kgtoGg</f>
        <v>0.18227819855199343</v>
      </c>
      <c r="BB73" s="22">
        <f>INDEX('Activity data'!BB$24:BB$39,MATCH(Emissions!$D73,'Activity data'!$D$24:$D$39,0))*INDEX(EF!$H$84:$H$99,MATCH(Emissions!$D73,EF!$D$84:$D$99,0))*INDEX(EF!$H$100:$H$115,MATCH(Emissions!$D73,EF!$D$100:$D$115,0))*INDEX(EF!$H$132:$H$147,MATCH(Emissions!$D73,EF!$D$132:$D$147,0))*kgtoGg</f>
        <v>0.18227819855199343</v>
      </c>
      <c r="BC73" s="22">
        <f>INDEX('Activity data'!BC$24:BC$39,MATCH(Emissions!$D73,'Activity data'!$D$24:$D$39,0))*INDEX(EF!$H$84:$H$99,MATCH(Emissions!$D73,EF!$D$84:$D$99,0))*INDEX(EF!$H$100:$H$115,MATCH(Emissions!$D73,EF!$D$100:$D$115,0))*INDEX(EF!$H$132:$H$147,MATCH(Emissions!$D73,EF!$D$132:$D$147,0))*kgtoGg</f>
        <v>0.18227819855199343</v>
      </c>
      <c r="BD73" s="22">
        <f>INDEX('Activity data'!BD$24:BD$39,MATCH(Emissions!$D73,'Activity data'!$D$24:$D$39,0))*INDEX(EF!$H$84:$H$99,MATCH(Emissions!$D73,EF!$D$84:$D$99,0))*INDEX(EF!$H$100:$H$115,MATCH(Emissions!$D73,EF!$D$100:$D$115,0))*INDEX(EF!$H$132:$H$147,MATCH(Emissions!$D73,EF!$D$132:$D$147,0))*kgtoGg</f>
        <v>0.18227819855199343</v>
      </c>
      <c r="BE73" s="22">
        <f>INDEX('Activity data'!BE$24:BE$39,MATCH(Emissions!$D73,'Activity data'!$D$24:$D$39,0))*INDEX(EF!$H$84:$H$99,MATCH(Emissions!$D73,EF!$D$84:$D$99,0))*INDEX(EF!$H$100:$H$115,MATCH(Emissions!$D73,EF!$D$100:$D$115,0))*INDEX(EF!$H$132:$H$147,MATCH(Emissions!$D73,EF!$D$132:$D$147,0))*kgtoGg</f>
        <v>0.18152604403433303</v>
      </c>
      <c r="BF73" s="22">
        <f>INDEX('Activity data'!BF$24:BF$39,MATCH(Emissions!$D73,'Activity data'!$D$24:$D$39,0))*INDEX(EF!$H$84:$H$99,MATCH(Emissions!$D73,EF!$D$84:$D$99,0))*INDEX(EF!$H$100:$H$115,MATCH(Emissions!$D73,EF!$D$100:$D$115,0))*INDEX(EF!$H$132:$H$147,MATCH(Emissions!$D73,EF!$D$132:$D$147,0))*kgtoGg</f>
        <v>0.18077388951667267</v>
      </c>
      <c r="BG73" s="22">
        <f>INDEX('Activity data'!BG$24:BG$39,MATCH(Emissions!$D73,'Activity data'!$D$24:$D$39,0))*INDEX(EF!$H$84:$H$99,MATCH(Emissions!$D73,EF!$D$84:$D$99,0))*INDEX(EF!$H$100:$H$115,MATCH(Emissions!$D73,EF!$D$100:$D$115,0))*INDEX(EF!$H$132:$H$147,MATCH(Emissions!$D73,EF!$D$132:$D$147,0))*kgtoGg</f>
        <v>0.18002173499901231</v>
      </c>
      <c r="BH73" s="22">
        <f>INDEX('Activity data'!BH$24:BH$39,MATCH(Emissions!$D73,'Activity data'!$D$24:$D$39,0))*INDEX(EF!$H$84:$H$99,MATCH(Emissions!$D73,EF!$D$84:$D$99,0))*INDEX(EF!$H$100:$H$115,MATCH(Emissions!$D73,EF!$D$100:$D$115,0))*INDEX(EF!$H$132:$H$147,MATCH(Emissions!$D73,EF!$D$132:$D$147,0))*kgtoGg</f>
        <v>0.17926958048135197</v>
      </c>
      <c r="BI73" s="22">
        <f>INDEX('Activity data'!BI$24:BI$39,MATCH(Emissions!$D73,'Activity data'!$D$24:$D$39,0))*INDEX(EF!$H$84:$H$99,MATCH(Emissions!$D73,EF!$D$84:$D$99,0))*INDEX(EF!$H$100:$H$115,MATCH(Emissions!$D73,EF!$D$100:$D$115,0))*INDEX(EF!$H$132:$H$147,MATCH(Emissions!$D73,EF!$D$132:$D$147,0))*kgtoGg</f>
        <v>0.17851742596369158</v>
      </c>
      <c r="BJ73" s="22">
        <f>INDEX('Activity data'!BJ$24:BJ$39,MATCH(Emissions!$D73,'Activity data'!$D$24:$D$39,0))*INDEX(EF!$H$84:$H$99,MATCH(Emissions!$D73,EF!$D$84:$D$99,0))*INDEX(EF!$H$100:$H$115,MATCH(Emissions!$D73,EF!$D$100:$D$115,0))*INDEX(EF!$H$132:$H$147,MATCH(Emissions!$D73,EF!$D$132:$D$147,0))*kgtoGg</f>
        <v>0.17776527144603119</v>
      </c>
      <c r="BK73" s="22">
        <f>INDEX('Activity data'!BK$24:BK$39,MATCH(Emissions!$D73,'Activity data'!$D$24:$D$39,0))*INDEX(EF!$H$84:$H$99,MATCH(Emissions!$D73,EF!$D$84:$D$99,0))*INDEX(EF!$H$100:$H$115,MATCH(Emissions!$D73,EF!$D$100:$D$115,0))*INDEX(EF!$H$132:$H$147,MATCH(Emissions!$D73,EF!$D$132:$D$147,0))*kgtoGg</f>
        <v>0.17701311692837082</v>
      </c>
      <c r="BL73" s="22">
        <f>INDEX('Activity data'!BL$24:BL$39,MATCH(Emissions!$D73,'Activity data'!$D$24:$D$39,0))*INDEX(EF!$H$84:$H$99,MATCH(Emissions!$D73,EF!$D$84:$D$99,0))*INDEX(EF!$H$100:$H$115,MATCH(Emissions!$D73,EF!$D$100:$D$115,0))*INDEX(EF!$H$132:$H$147,MATCH(Emissions!$D73,EF!$D$132:$D$147,0))*kgtoGg</f>
        <v>0.17626096241071046</v>
      </c>
      <c r="BM73" s="22">
        <f>INDEX('Activity data'!BM$24:BM$39,MATCH(Emissions!$D73,'Activity data'!$D$24:$D$39,0))*INDEX(EF!$H$84:$H$99,MATCH(Emissions!$D73,EF!$D$84:$D$99,0))*INDEX(EF!$H$100:$H$115,MATCH(Emissions!$D73,EF!$D$100:$D$115,0))*INDEX(EF!$H$132:$H$147,MATCH(Emissions!$D73,EF!$D$132:$D$147,0))*kgtoGg</f>
        <v>0.17550880789305007</v>
      </c>
      <c r="BN73" s="22">
        <f>INDEX('Activity data'!BN$24:BN$39,MATCH(Emissions!$D73,'Activity data'!$D$24:$D$39,0))*INDEX(EF!$H$84:$H$99,MATCH(Emissions!$D73,EF!$D$84:$D$99,0))*INDEX(EF!$H$100:$H$115,MATCH(Emissions!$D73,EF!$D$100:$D$115,0))*INDEX(EF!$H$132:$H$147,MATCH(Emissions!$D73,EF!$D$132:$D$147,0))*kgtoGg</f>
        <v>0.17475665337538968</v>
      </c>
      <c r="BO73" s="22">
        <f>INDEX('Activity data'!BO$24:BO$39,MATCH(Emissions!$D73,'Activity data'!$D$24:$D$39,0))*INDEX(EF!$H$84:$H$99,MATCH(Emissions!$D73,EF!$D$84:$D$99,0))*INDEX(EF!$H$100:$H$115,MATCH(Emissions!$D73,EF!$D$100:$D$115,0))*INDEX(EF!$H$132:$H$147,MATCH(Emissions!$D73,EF!$D$132:$D$147,0))*kgtoGg</f>
        <v>0.17400449885772937</v>
      </c>
      <c r="BP73" s="22">
        <f>INDEX('Activity data'!BP$24:BP$39,MATCH(Emissions!$D73,'Activity data'!$D$24:$D$39,0))*INDEX(EF!$H$84:$H$99,MATCH(Emissions!$D73,EF!$D$84:$D$99,0))*INDEX(EF!$H$100:$H$115,MATCH(Emissions!$D73,EF!$D$100:$D$115,0))*INDEX(EF!$H$132:$H$147,MATCH(Emissions!$D73,EF!$D$132:$D$147,0))*kgtoGg</f>
        <v>0.17325234434006898</v>
      </c>
    </row>
    <row r="74" spans="1:68" x14ac:dyDescent="0.25">
      <c r="A74" t="str">
        <f t="shared" si="19"/>
        <v>3C Aggregated and non-CO2 emissions on land</v>
      </c>
      <c r="B74" t="str">
        <f t="shared" si="26"/>
        <v>3C1 Biomass burning (N2O)</v>
      </c>
      <c r="C74" t="str">
        <f t="shared" si="25"/>
        <v>3C1b Biomass burning in Croplands</v>
      </c>
      <c r="D74" t="str">
        <f>EF!D104</f>
        <v>Annual non-pivot</v>
      </c>
      <c r="E74" t="s">
        <v>645</v>
      </c>
      <c r="F74" t="str">
        <f t="shared" si="27"/>
        <v>N2O</v>
      </c>
      <c r="G74" t="str">
        <f t="shared" si="28"/>
        <v>Gg N2O</v>
      </c>
      <c r="H74" s="22">
        <f>INDEX('Activity data'!H$24:H$39,MATCH(Emissions!$D74,'Activity data'!$D$24:$D$39,0))*INDEX(EF!$H$84:$H$99,MATCH(Emissions!$D74,EF!$D$84:$D$99,0))*INDEX(EF!$H$100:$H$115,MATCH(Emissions!$D74,EF!$D$100:$D$115,0))*INDEX(EF!$H$132:$H$147,MATCH(Emissions!$D74,EF!$D$132:$D$147,0))*kgtoGg</f>
        <v>1.4723084100591942E-2</v>
      </c>
      <c r="I74" s="22">
        <f>INDEX('Activity data'!I$24:I$39,MATCH(Emissions!$D74,'Activity data'!$D$24:$D$39,0))*INDEX(EF!$H$84:$H$99,MATCH(Emissions!$D74,EF!$D$84:$D$99,0))*INDEX(EF!$H$100:$H$115,MATCH(Emissions!$D74,EF!$D$100:$D$115,0))*INDEX(EF!$H$132:$H$147,MATCH(Emissions!$D74,EF!$D$132:$D$147,0))*kgtoGg</f>
        <v>1.4723084100591942E-2</v>
      </c>
      <c r="J74" s="22">
        <f>INDEX('Activity data'!J$24:J$39,MATCH(Emissions!$D74,'Activity data'!$D$24:$D$39,0))*INDEX(EF!$H$84:$H$99,MATCH(Emissions!$D74,EF!$D$84:$D$99,0))*INDEX(EF!$H$100:$H$115,MATCH(Emissions!$D74,EF!$D$100:$D$115,0))*INDEX(EF!$H$132:$H$147,MATCH(Emissions!$D74,EF!$D$132:$D$147,0))*kgtoGg</f>
        <v>1.4723084100591942E-2</v>
      </c>
      <c r="K74" s="22">
        <f>INDEX('Activity data'!K$24:K$39,MATCH(Emissions!$D74,'Activity data'!$D$24:$D$39,0))*INDEX(EF!$H$84:$H$99,MATCH(Emissions!$D74,EF!$D$84:$D$99,0))*INDEX(EF!$H$100:$H$115,MATCH(Emissions!$D74,EF!$D$100:$D$115,0))*INDEX(EF!$H$132:$H$147,MATCH(Emissions!$D74,EF!$D$132:$D$147,0))*kgtoGg</f>
        <v>1.4723084100591942E-2</v>
      </c>
      <c r="L74" s="22">
        <f>INDEX('Activity data'!L$24:L$39,MATCH(Emissions!$D74,'Activity data'!$D$24:$D$39,0))*INDEX(EF!$H$84:$H$99,MATCH(Emissions!$D74,EF!$D$84:$D$99,0))*INDEX(EF!$H$100:$H$115,MATCH(Emissions!$D74,EF!$D$100:$D$115,0))*INDEX(EF!$H$132:$H$147,MATCH(Emissions!$D74,EF!$D$132:$D$147,0))*kgtoGg</f>
        <v>1.4723084100591942E-2</v>
      </c>
      <c r="M74" s="22">
        <f>INDEX('Activity data'!M$24:M$39,MATCH(Emissions!$D74,'Activity data'!$D$24:$D$39,0))*INDEX(EF!$H$84:$H$99,MATCH(Emissions!$D74,EF!$D$84:$D$99,0))*INDEX(EF!$H$100:$H$115,MATCH(Emissions!$D74,EF!$D$100:$D$115,0))*INDEX(EF!$H$132:$H$147,MATCH(Emissions!$D74,EF!$D$132:$D$147,0))*kgtoGg</f>
        <v>1.4723084100591942E-2</v>
      </c>
      <c r="N74" s="22">
        <f>INDEX('Activity data'!N$24:N$39,MATCH(Emissions!$D74,'Activity data'!$D$24:$D$39,0))*INDEX(EF!$H$84:$H$99,MATCH(Emissions!$D74,EF!$D$84:$D$99,0))*INDEX(EF!$H$100:$H$115,MATCH(Emissions!$D74,EF!$D$100:$D$115,0))*INDEX(EF!$H$132:$H$147,MATCH(Emissions!$D74,EF!$D$132:$D$147,0))*kgtoGg</f>
        <v>1.4723084100591942E-2</v>
      </c>
      <c r="O74" s="22">
        <f>INDEX('Activity data'!O$24:O$39,MATCH(Emissions!$D74,'Activity data'!$D$24:$D$39,0))*INDEX(EF!$H$84:$H$99,MATCH(Emissions!$D74,EF!$D$84:$D$99,0))*INDEX(EF!$H$100:$H$115,MATCH(Emissions!$D74,EF!$D$100:$D$115,0))*INDEX(EF!$H$132:$H$147,MATCH(Emissions!$D74,EF!$D$132:$D$147,0))*kgtoGg</f>
        <v>1.4723084100591942E-2</v>
      </c>
      <c r="P74" s="22">
        <f>INDEX('Activity data'!P$24:P$39,MATCH(Emissions!$D74,'Activity data'!$D$24:$D$39,0))*INDEX(EF!$H$84:$H$99,MATCH(Emissions!$D74,EF!$D$84:$D$99,0))*INDEX(EF!$H$100:$H$115,MATCH(Emissions!$D74,EF!$D$100:$D$115,0))*INDEX(EF!$H$132:$H$147,MATCH(Emissions!$D74,EF!$D$132:$D$147,0))*kgtoGg</f>
        <v>1.4723084100591942E-2</v>
      </c>
      <c r="Q74" s="22">
        <f>INDEX('Activity data'!Q$24:Q$39,MATCH(Emissions!$D74,'Activity data'!$D$24:$D$39,0))*INDEX(EF!$H$84:$H$99,MATCH(Emissions!$D74,EF!$D$84:$D$99,0))*INDEX(EF!$H$100:$H$115,MATCH(Emissions!$D74,EF!$D$100:$D$115,0))*INDEX(EF!$H$132:$H$147,MATCH(Emissions!$D74,EF!$D$132:$D$147,0))*kgtoGg</f>
        <v>1.4723084100591942E-2</v>
      </c>
      <c r="R74" s="22">
        <f>INDEX('Activity data'!R$24:R$39,MATCH(Emissions!$D74,'Activity data'!$D$24:$D$39,0))*INDEX(EF!$H$84:$H$99,MATCH(Emissions!$D74,EF!$D$84:$D$99,0))*INDEX(EF!$H$100:$H$115,MATCH(Emissions!$D74,EF!$D$100:$D$115,0))*INDEX(EF!$H$132:$H$147,MATCH(Emissions!$D74,EF!$D$132:$D$147,0))*kgtoGg</f>
        <v>1.496956177943767E-2</v>
      </c>
      <c r="S74" s="22">
        <f>INDEX('Activity data'!S$24:S$39,MATCH(Emissions!$D74,'Activity data'!$D$24:$D$39,0))*INDEX(EF!$H$84:$H$99,MATCH(Emissions!$D74,EF!$D$84:$D$99,0))*INDEX(EF!$H$100:$H$115,MATCH(Emissions!$D74,EF!$D$100:$D$115,0))*INDEX(EF!$H$132:$H$147,MATCH(Emissions!$D74,EF!$D$132:$D$147,0))*kgtoGg</f>
        <v>1.1679423956313528E-2</v>
      </c>
      <c r="T74" s="22">
        <f>INDEX('Activity data'!T$24:T$39,MATCH(Emissions!$D74,'Activity data'!$D$24:$D$39,0))*INDEX(EF!$H$84:$H$99,MATCH(Emissions!$D74,EF!$D$84:$D$99,0))*INDEX(EF!$H$100:$H$115,MATCH(Emissions!$D74,EF!$D$100:$D$115,0))*INDEX(EF!$H$132:$H$147,MATCH(Emissions!$D74,EF!$D$132:$D$147,0))*kgtoGg</f>
        <v>1.5184381774761928E-2</v>
      </c>
      <c r="U74" s="22">
        <f>INDEX('Activity data'!U$24:U$39,MATCH(Emissions!$D74,'Activity data'!$D$24:$D$39,0))*INDEX(EF!$H$84:$H$99,MATCH(Emissions!$D74,EF!$D$84:$D$99,0))*INDEX(EF!$H$100:$H$115,MATCH(Emissions!$D74,EF!$D$100:$D$115,0))*INDEX(EF!$H$132:$H$147,MATCH(Emissions!$D74,EF!$D$132:$D$147,0))*kgtoGg</f>
        <v>1.4065056535967114E-2</v>
      </c>
      <c r="V74" s="22">
        <f>INDEX('Activity data'!V$24:V$39,MATCH(Emissions!$D74,'Activity data'!$D$24:$D$39,0))*INDEX(EF!$H$84:$H$99,MATCH(Emissions!$D74,EF!$D$84:$D$99,0))*INDEX(EF!$H$100:$H$115,MATCH(Emissions!$D74,EF!$D$100:$D$115,0))*INDEX(EF!$H$132:$H$147,MATCH(Emissions!$D74,EF!$D$132:$D$147,0))*kgtoGg</f>
        <v>1.7716996456479478E-2</v>
      </c>
      <c r="W74" s="22">
        <f>INDEX('Activity data'!W$24:W$39,MATCH(Emissions!$D74,'Activity data'!$D$24:$D$39,0))*INDEX(EF!$H$84:$H$99,MATCH(Emissions!$D74,EF!$D$84:$D$99,0))*INDEX(EF!$H$100:$H$115,MATCH(Emissions!$D74,EF!$D$100:$D$115,0))*INDEX(EF!$H$132:$H$147,MATCH(Emissions!$D74,EF!$D$132:$D$147,0))*kgtoGg</f>
        <v>1.9458169050160297E-2</v>
      </c>
      <c r="X74" s="22">
        <f>INDEX('Activity data'!X$24:X$39,MATCH(Emissions!$D74,'Activity data'!$D$24:$D$39,0))*INDEX(EF!$H$84:$H$99,MATCH(Emissions!$D74,EF!$D$84:$D$99,0))*INDEX(EF!$H$100:$H$115,MATCH(Emissions!$D74,EF!$D$100:$D$115,0))*INDEX(EF!$H$132:$H$147,MATCH(Emissions!$D74,EF!$D$132:$D$147,0))*kgtoGg</f>
        <v>1.4585147050962685E-2</v>
      </c>
      <c r="Y74" s="22">
        <f>INDEX('Activity data'!Y$24:Y$39,MATCH(Emissions!$D74,'Activity data'!$D$24:$D$39,0))*INDEX(EF!$H$84:$H$99,MATCH(Emissions!$D74,EF!$D$84:$D$99,0))*INDEX(EF!$H$100:$H$115,MATCH(Emissions!$D74,EF!$D$100:$D$115,0))*INDEX(EF!$H$132:$H$147,MATCH(Emissions!$D74,EF!$D$132:$D$147,0))*kgtoGg</f>
        <v>1.4630372313136211E-2</v>
      </c>
      <c r="Z74" s="22">
        <f>INDEX('Activity data'!Z$24:Z$39,MATCH(Emissions!$D74,'Activity data'!$D$24:$D$39,0))*INDEX(EF!$H$84:$H$99,MATCH(Emissions!$D74,EF!$D$84:$D$99,0))*INDEX(EF!$H$100:$H$115,MATCH(Emissions!$D74,EF!$D$100:$D$115,0))*INDEX(EF!$H$132:$H$147,MATCH(Emissions!$D74,EF!$D$132:$D$147,0))*kgtoGg</f>
        <v>1.0333972406651079E-2</v>
      </c>
      <c r="AA74" s="22">
        <f>INDEX('Activity data'!AA$24:AA$39,MATCH(Emissions!$D74,'Activity data'!$D$24:$D$39,0))*INDEX(EF!$H$84:$H$99,MATCH(Emissions!$D74,EF!$D$84:$D$99,0))*INDEX(EF!$H$100:$H$115,MATCH(Emissions!$D74,EF!$D$100:$D$115,0))*INDEX(EF!$H$132:$H$147,MATCH(Emissions!$D74,EF!$D$132:$D$147,0))*kgtoGg</f>
        <v>1.0729693450669446E-2</v>
      </c>
      <c r="AB74" s="22">
        <f>INDEX('Activity data'!AB$24:AB$39,MATCH(Emissions!$D74,'Activity data'!$D$24:$D$39,0))*INDEX(EF!$H$84:$H$99,MATCH(Emissions!$D74,EF!$D$84:$D$99,0))*INDEX(EF!$H$100:$H$115,MATCH(Emissions!$D74,EF!$D$100:$D$115,0))*INDEX(EF!$H$132:$H$147,MATCH(Emissions!$D74,EF!$D$132:$D$147,0))*kgtoGg</f>
        <v>1.5161139000000001E-2</v>
      </c>
      <c r="AC74" s="22">
        <f>INDEX('Activity data'!AC$24:AC$39,MATCH(Emissions!$D74,'Activity data'!$D$24:$D$39,0))*INDEX(EF!$H$84:$H$99,MATCH(Emissions!$D74,EF!$D$84:$D$99,0))*INDEX(EF!$H$100:$H$115,MATCH(Emissions!$D74,EF!$D$100:$D$115,0))*INDEX(EF!$H$132:$H$147,MATCH(Emissions!$D74,EF!$D$132:$D$147,0))*kgtoGg</f>
        <v>1.5150334500000001E-2</v>
      </c>
      <c r="AD74" s="22">
        <f>INDEX('Activity data'!AD$24:AD$39,MATCH(Emissions!$D74,'Activity data'!$D$24:$D$39,0))*INDEX(EF!$H$84:$H$99,MATCH(Emissions!$D74,EF!$D$84:$D$99,0))*INDEX(EF!$H$100:$H$115,MATCH(Emissions!$D74,EF!$D$100:$D$115,0))*INDEX(EF!$H$132:$H$147,MATCH(Emissions!$D74,EF!$D$132:$D$147,0))*kgtoGg</f>
        <v>0.16151123227013586</v>
      </c>
      <c r="AE74" s="22">
        <f>INDEX('Activity data'!AE$24:AE$39,MATCH(Emissions!$D74,'Activity data'!$D$24:$D$39,0))*INDEX(EF!$H$84:$H$99,MATCH(Emissions!$D74,EF!$D$84:$D$99,0))*INDEX(EF!$H$100:$H$115,MATCH(Emissions!$D74,EF!$D$100:$D$115,0))*INDEX(EF!$H$132:$H$147,MATCH(Emissions!$D74,EF!$D$132:$D$147,0))*kgtoGg</f>
        <v>0.16106846886532766</v>
      </c>
      <c r="AF74" s="22">
        <f>INDEX('Activity data'!AF$24:AF$39,MATCH(Emissions!$D74,'Activity data'!$D$24:$D$39,0))*INDEX(EF!$H$84:$H$99,MATCH(Emissions!$D74,EF!$D$84:$D$99,0))*INDEX(EF!$H$100:$H$115,MATCH(Emissions!$D74,EF!$D$100:$D$115,0))*INDEX(EF!$H$132:$H$147,MATCH(Emissions!$D74,EF!$D$132:$D$147,0))*kgtoGg</f>
        <v>0.16062570546051952</v>
      </c>
      <c r="AG74" s="22">
        <f>INDEX('Activity data'!AG$24:AG$39,MATCH(Emissions!$D74,'Activity data'!$D$24:$D$39,0))*INDEX(EF!$H$84:$H$99,MATCH(Emissions!$D74,EF!$D$84:$D$99,0))*INDEX(EF!$H$100:$H$115,MATCH(Emissions!$D74,EF!$D$100:$D$115,0))*INDEX(EF!$H$132:$H$147,MATCH(Emissions!$D74,EF!$D$132:$D$147,0))*kgtoGg</f>
        <v>0.16018294205571132</v>
      </c>
      <c r="AH74" s="22">
        <f>INDEX('Activity data'!AH$24:AH$39,MATCH(Emissions!$D74,'Activity data'!$D$24:$D$39,0))*INDEX(EF!$H$84:$H$99,MATCH(Emissions!$D74,EF!$D$84:$D$99,0))*INDEX(EF!$H$100:$H$115,MATCH(Emissions!$D74,EF!$D$100:$D$115,0))*INDEX(EF!$H$132:$H$147,MATCH(Emissions!$D74,EF!$D$132:$D$147,0))*kgtoGg</f>
        <v>0.15974017865090312</v>
      </c>
      <c r="AI74" s="22">
        <f>INDEX('Activity data'!AI$24:AI$39,MATCH(Emissions!$D74,'Activity data'!$D$24:$D$39,0))*INDEX(EF!$H$84:$H$99,MATCH(Emissions!$D74,EF!$D$84:$D$99,0))*INDEX(EF!$H$100:$H$115,MATCH(Emissions!$D74,EF!$D$100:$D$115,0))*INDEX(EF!$H$132:$H$147,MATCH(Emissions!$D74,EF!$D$132:$D$147,0))*kgtoGg</f>
        <v>0.15929741524609498</v>
      </c>
      <c r="AJ74" s="22">
        <f>INDEX('Activity data'!AJ$24:AJ$39,MATCH(Emissions!$D74,'Activity data'!$D$24:$D$39,0))*INDEX(EF!$H$84:$H$99,MATCH(Emissions!$D74,EF!$D$84:$D$99,0))*INDEX(EF!$H$100:$H$115,MATCH(Emissions!$D74,EF!$D$100:$D$115,0))*INDEX(EF!$H$132:$H$147,MATCH(Emissions!$D74,EF!$D$132:$D$147,0))*kgtoGg</f>
        <v>0.15885465184128675</v>
      </c>
      <c r="AK74" s="22">
        <f>INDEX('Activity data'!AK$24:AK$39,MATCH(Emissions!$D74,'Activity data'!$D$24:$D$39,0))*INDEX(EF!$H$84:$H$99,MATCH(Emissions!$D74,EF!$D$84:$D$99,0))*INDEX(EF!$H$100:$H$115,MATCH(Emissions!$D74,EF!$D$100:$D$115,0))*INDEX(EF!$H$132:$H$147,MATCH(Emissions!$D74,EF!$D$132:$D$147,0))*kgtoGg</f>
        <v>0.15841188843647858</v>
      </c>
      <c r="AL74" s="22">
        <f>INDEX('Activity data'!AL$24:AL$39,MATCH(Emissions!$D74,'Activity data'!$D$24:$D$39,0))*INDEX(EF!$H$84:$H$99,MATCH(Emissions!$D74,EF!$D$84:$D$99,0))*INDEX(EF!$H$100:$H$115,MATCH(Emissions!$D74,EF!$D$100:$D$115,0))*INDEX(EF!$H$132:$H$147,MATCH(Emissions!$D74,EF!$D$132:$D$147,0))*kgtoGg</f>
        <v>0.1579691250316704</v>
      </c>
      <c r="AM74" s="22">
        <f>INDEX('Activity data'!AM$24:AM$39,MATCH(Emissions!$D74,'Activity data'!$D$24:$D$39,0))*INDEX(EF!$H$84:$H$99,MATCH(Emissions!$D74,EF!$D$84:$D$99,0))*INDEX(EF!$H$100:$H$115,MATCH(Emissions!$D74,EF!$D$100:$D$115,0))*INDEX(EF!$H$132:$H$147,MATCH(Emissions!$D74,EF!$D$132:$D$147,0))*kgtoGg</f>
        <v>0.15752636162686223</v>
      </c>
      <c r="AN74" s="22">
        <f>INDEX('Activity data'!AN$24:AN$39,MATCH(Emissions!$D74,'Activity data'!$D$24:$D$39,0))*INDEX(EF!$H$84:$H$99,MATCH(Emissions!$D74,EF!$D$84:$D$99,0))*INDEX(EF!$H$100:$H$115,MATCH(Emissions!$D74,EF!$D$100:$D$115,0))*INDEX(EF!$H$132:$H$147,MATCH(Emissions!$D74,EF!$D$132:$D$147,0))*kgtoGg</f>
        <v>0.15708359822205403</v>
      </c>
      <c r="AO74" s="22">
        <f>INDEX('Activity data'!AO$24:AO$39,MATCH(Emissions!$D74,'Activity data'!$D$24:$D$39,0))*INDEX(EF!$H$84:$H$99,MATCH(Emissions!$D74,EF!$D$84:$D$99,0))*INDEX(EF!$H$100:$H$115,MATCH(Emissions!$D74,EF!$D$100:$D$115,0))*INDEX(EF!$H$132:$H$147,MATCH(Emissions!$D74,EF!$D$132:$D$147,0))*kgtoGg</f>
        <v>0.15664083481724586</v>
      </c>
      <c r="AP74" s="22">
        <f>INDEX('Activity data'!AP$24:AP$39,MATCH(Emissions!$D74,'Activity data'!$D$24:$D$39,0))*INDEX(EF!$H$84:$H$99,MATCH(Emissions!$D74,EF!$D$84:$D$99,0))*INDEX(EF!$H$100:$H$115,MATCH(Emissions!$D74,EF!$D$100:$D$115,0))*INDEX(EF!$H$132:$H$147,MATCH(Emissions!$D74,EF!$D$132:$D$147,0))*kgtoGg</f>
        <v>0.15619807141243769</v>
      </c>
      <c r="AQ74" s="22">
        <f>INDEX('Activity data'!AQ$24:AQ$39,MATCH(Emissions!$D74,'Activity data'!$D$24:$D$39,0))*INDEX(EF!$H$84:$H$99,MATCH(Emissions!$D74,EF!$D$84:$D$99,0))*INDEX(EF!$H$100:$H$115,MATCH(Emissions!$D74,EF!$D$100:$D$115,0))*INDEX(EF!$H$132:$H$147,MATCH(Emissions!$D74,EF!$D$132:$D$147,0))*kgtoGg</f>
        <v>0.15575530800762949</v>
      </c>
      <c r="AR74" s="22">
        <f>INDEX('Activity data'!AR$24:AR$39,MATCH(Emissions!$D74,'Activity data'!$D$24:$D$39,0))*INDEX(EF!$H$84:$H$99,MATCH(Emissions!$D74,EF!$D$84:$D$99,0))*INDEX(EF!$H$100:$H$115,MATCH(Emissions!$D74,EF!$D$100:$D$115,0))*INDEX(EF!$H$132:$H$147,MATCH(Emissions!$D74,EF!$D$132:$D$147,0))*kgtoGg</f>
        <v>0.15531254460282132</v>
      </c>
      <c r="AS74" s="22">
        <f>INDEX('Activity data'!AS$24:AS$39,MATCH(Emissions!$D74,'Activity data'!$D$24:$D$39,0))*INDEX(EF!$H$84:$H$99,MATCH(Emissions!$D74,EF!$D$84:$D$99,0))*INDEX(EF!$H$100:$H$115,MATCH(Emissions!$D74,EF!$D$100:$D$115,0))*INDEX(EF!$H$132:$H$147,MATCH(Emissions!$D74,EF!$D$132:$D$147,0))*kgtoGg</f>
        <v>0.15486978119801315</v>
      </c>
      <c r="AT74" s="22">
        <f>INDEX('Activity data'!AT$24:AT$39,MATCH(Emissions!$D74,'Activity data'!$D$24:$D$39,0))*INDEX(EF!$H$84:$H$99,MATCH(Emissions!$D74,EF!$D$84:$D$99,0))*INDEX(EF!$H$100:$H$115,MATCH(Emissions!$D74,EF!$D$100:$D$115,0))*INDEX(EF!$H$132:$H$147,MATCH(Emissions!$D74,EF!$D$132:$D$147,0))*kgtoGg</f>
        <v>0.15442701779320495</v>
      </c>
      <c r="AU74" s="22">
        <f>INDEX('Activity data'!AU$24:AU$39,MATCH(Emissions!$D74,'Activity data'!$D$24:$D$39,0))*INDEX(EF!$H$84:$H$99,MATCH(Emissions!$D74,EF!$D$84:$D$99,0))*INDEX(EF!$H$100:$H$115,MATCH(Emissions!$D74,EF!$D$100:$D$115,0))*INDEX(EF!$H$132:$H$147,MATCH(Emissions!$D74,EF!$D$132:$D$147,0))*kgtoGg</f>
        <v>0.1539842543883968</v>
      </c>
      <c r="AV74" s="22">
        <f>INDEX('Activity data'!AV$24:AV$39,MATCH(Emissions!$D74,'Activity data'!$D$24:$D$39,0))*INDEX(EF!$H$84:$H$99,MATCH(Emissions!$D74,EF!$D$84:$D$99,0))*INDEX(EF!$H$100:$H$115,MATCH(Emissions!$D74,EF!$D$100:$D$115,0))*INDEX(EF!$H$132:$H$147,MATCH(Emissions!$D74,EF!$D$132:$D$147,0))*kgtoGg</f>
        <v>0.1535414909835886</v>
      </c>
      <c r="AW74" s="22">
        <f>INDEX('Activity data'!AW$24:AW$39,MATCH(Emissions!$D74,'Activity data'!$D$24:$D$39,0))*INDEX(EF!$H$84:$H$99,MATCH(Emissions!$D74,EF!$D$84:$D$99,0))*INDEX(EF!$H$100:$H$115,MATCH(Emissions!$D74,EF!$D$100:$D$115,0))*INDEX(EF!$H$132:$H$147,MATCH(Emissions!$D74,EF!$D$132:$D$147,0))*kgtoGg</f>
        <v>0.15309872757878043</v>
      </c>
      <c r="AX74" s="22">
        <f>INDEX('Activity data'!AX$24:AX$39,MATCH(Emissions!$D74,'Activity data'!$D$24:$D$39,0))*INDEX(EF!$H$84:$H$99,MATCH(Emissions!$D74,EF!$D$84:$D$99,0))*INDEX(EF!$H$100:$H$115,MATCH(Emissions!$D74,EF!$D$100:$D$115,0))*INDEX(EF!$H$132:$H$147,MATCH(Emissions!$D74,EF!$D$132:$D$147,0))*kgtoGg</f>
        <v>0.15265596417397226</v>
      </c>
      <c r="AY74" s="22">
        <f>INDEX('Activity data'!AY$24:AY$39,MATCH(Emissions!$D74,'Activity data'!$D$24:$D$39,0))*INDEX(EF!$H$84:$H$99,MATCH(Emissions!$D74,EF!$D$84:$D$99,0))*INDEX(EF!$H$100:$H$115,MATCH(Emissions!$D74,EF!$D$100:$D$115,0))*INDEX(EF!$H$132:$H$147,MATCH(Emissions!$D74,EF!$D$132:$D$147,0))*kgtoGg</f>
        <v>0.15221320076916403</v>
      </c>
      <c r="AZ74" s="22">
        <f>INDEX('Activity data'!AZ$24:AZ$39,MATCH(Emissions!$D74,'Activity data'!$D$24:$D$39,0))*INDEX(EF!$H$84:$H$99,MATCH(Emissions!$D74,EF!$D$84:$D$99,0))*INDEX(EF!$H$100:$H$115,MATCH(Emissions!$D74,EF!$D$100:$D$115,0))*INDEX(EF!$H$132:$H$147,MATCH(Emissions!$D74,EF!$D$132:$D$147,0))*kgtoGg</f>
        <v>0.15177043736435586</v>
      </c>
      <c r="BA74" s="22">
        <f>INDEX('Activity data'!BA$24:BA$39,MATCH(Emissions!$D74,'Activity data'!$D$24:$D$39,0))*INDEX(EF!$H$84:$H$99,MATCH(Emissions!$D74,EF!$D$84:$D$99,0))*INDEX(EF!$H$100:$H$115,MATCH(Emissions!$D74,EF!$D$100:$D$115,0))*INDEX(EF!$H$132:$H$147,MATCH(Emissions!$D74,EF!$D$132:$D$147,0))*kgtoGg</f>
        <v>0.15132767395954769</v>
      </c>
      <c r="BB74" s="22">
        <f>INDEX('Activity data'!BB$24:BB$39,MATCH(Emissions!$D74,'Activity data'!$D$24:$D$39,0))*INDEX(EF!$H$84:$H$99,MATCH(Emissions!$D74,EF!$D$84:$D$99,0))*INDEX(EF!$H$100:$H$115,MATCH(Emissions!$D74,EF!$D$100:$D$115,0))*INDEX(EF!$H$132:$H$147,MATCH(Emissions!$D74,EF!$D$132:$D$147,0))*kgtoGg</f>
        <v>0.15088491055473952</v>
      </c>
      <c r="BC74" s="22">
        <f>INDEX('Activity data'!BC$24:BC$39,MATCH(Emissions!$D74,'Activity data'!$D$24:$D$39,0))*INDEX(EF!$H$84:$H$99,MATCH(Emissions!$D74,EF!$D$84:$D$99,0))*INDEX(EF!$H$100:$H$115,MATCH(Emissions!$D74,EF!$D$100:$D$115,0))*INDEX(EF!$H$132:$H$147,MATCH(Emissions!$D74,EF!$D$132:$D$147,0))*kgtoGg</f>
        <v>0.15044214714993132</v>
      </c>
      <c r="BD74" s="22">
        <f>INDEX('Activity data'!BD$24:BD$39,MATCH(Emissions!$D74,'Activity data'!$D$24:$D$39,0))*INDEX(EF!$H$84:$H$99,MATCH(Emissions!$D74,EF!$D$84:$D$99,0))*INDEX(EF!$H$100:$H$115,MATCH(Emissions!$D74,EF!$D$100:$D$115,0))*INDEX(EF!$H$132:$H$147,MATCH(Emissions!$D74,EF!$D$132:$D$147,0))*kgtoGg</f>
        <v>0.14999938374512317</v>
      </c>
      <c r="BE74" s="22">
        <f>INDEX('Activity data'!BE$24:BE$39,MATCH(Emissions!$D74,'Activity data'!$D$24:$D$39,0))*INDEX(EF!$H$84:$H$99,MATCH(Emissions!$D74,EF!$D$84:$D$99,0))*INDEX(EF!$H$100:$H$115,MATCH(Emissions!$D74,EF!$D$100:$D$115,0))*INDEX(EF!$H$132:$H$147,MATCH(Emissions!$D74,EF!$D$132:$D$147,0))*kgtoGg</f>
        <v>0.14955662034031497</v>
      </c>
      <c r="BF74" s="22">
        <f>INDEX('Activity data'!BF$24:BF$39,MATCH(Emissions!$D74,'Activity data'!$D$24:$D$39,0))*INDEX(EF!$H$84:$H$99,MATCH(Emissions!$D74,EF!$D$84:$D$99,0))*INDEX(EF!$H$100:$H$115,MATCH(Emissions!$D74,EF!$D$100:$D$115,0))*INDEX(EF!$H$132:$H$147,MATCH(Emissions!$D74,EF!$D$132:$D$147,0))*kgtoGg</f>
        <v>0.14911385693550677</v>
      </c>
      <c r="BG74" s="22">
        <f>INDEX('Activity data'!BG$24:BG$39,MATCH(Emissions!$D74,'Activity data'!$D$24:$D$39,0))*INDEX(EF!$H$84:$H$99,MATCH(Emissions!$D74,EF!$D$84:$D$99,0))*INDEX(EF!$H$100:$H$115,MATCH(Emissions!$D74,EF!$D$100:$D$115,0))*INDEX(EF!$H$132:$H$147,MATCH(Emissions!$D74,EF!$D$132:$D$147,0))*kgtoGg</f>
        <v>0.14867109353069863</v>
      </c>
      <c r="BH74" s="22">
        <f>INDEX('Activity data'!BH$24:BH$39,MATCH(Emissions!$D74,'Activity data'!$D$24:$D$39,0))*INDEX(EF!$H$84:$H$99,MATCH(Emissions!$D74,EF!$D$84:$D$99,0))*INDEX(EF!$H$100:$H$115,MATCH(Emissions!$D74,EF!$D$100:$D$115,0))*INDEX(EF!$H$132:$H$147,MATCH(Emissions!$D74,EF!$D$132:$D$147,0))*kgtoGg</f>
        <v>0.14822833012589043</v>
      </c>
      <c r="BI74" s="22">
        <f>INDEX('Activity data'!BI$24:BI$39,MATCH(Emissions!$D74,'Activity data'!$D$24:$D$39,0))*INDEX(EF!$H$84:$H$99,MATCH(Emissions!$D74,EF!$D$84:$D$99,0))*INDEX(EF!$H$100:$H$115,MATCH(Emissions!$D74,EF!$D$100:$D$115,0))*INDEX(EF!$H$132:$H$147,MATCH(Emissions!$D74,EF!$D$132:$D$147,0))*kgtoGg</f>
        <v>0.14778556672108226</v>
      </c>
      <c r="BJ74" s="22">
        <f>INDEX('Activity data'!BJ$24:BJ$39,MATCH(Emissions!$D74,'Activity data'!$D$24:$D$39,0))*INDEX(EF!$H$84:$H$99,MATCH(Emissions!$D74,EF!$D$84:$D$99,0))*INDEX(EF!$H$100:$H$115,MATCH(Emissions!$D74,EF!$D$100:$D$115,0))*INDEX(EF!$H$132:$H$147,MATCH(Emissions!$D74,EF!$D$132:$D$147,0))*kgtoGg</f>
        <v>0.14734280331627406</v>
      </c>
      <c r="BK74" s="22">
        <f>INDEX('Activity data'!BK$24:BK$39,MATCH(Emissions!$D74,'Activity data'!$D$24:$D$39,0))*INDEX(EF!$H$84:$H$99,MATCH(Emissions!$D74,EF!$D$84:$D$99,0))*INDEX(EF!$H$100:$H$115,MATCH(Emissions!$D74,EF!$D$100:$D$115,0))*INDEX(EF!$H$132:$H$147,MATCH(Emissions!$D74,EF!$D$132:$D$147,0))*kgtoGg</f>
        <v>0.14690003991146589</v>
      </c>
      <c r="BL74" s="22">
        <f>INDEX('Activity data'!BL$24:BL$39,MATCH(Emissions!$D74,'Activity data'!$D$24:$D$39,0))*INDEX(EF!$H$84:$H$99,MATCH(Emissions!$D74,EF!$D$84:$D$99,0))*INDEX(EF!$H$100:$H$115,MATCH(Emissions!$D74,EF!$D$100:$D$115,0))*INDEX(EF!$H$132:$H$147,MATCH(Emissions!$D74,EF!$D$132:$D$147,0))*kgtoGg</f>
        <v>0.14645727650665771</v>
      </c>
      <c r="BM74" s="22">
        <f>INDEX('Activity data'!BM$24:BM$39,MATCH(Emissions!$D74,'Activity data'!$D$24:$D$39,0))*INDEX(EF!$H$84:$H$99,MATCH(Emissions!$D74,EF!$D$84:$D$99,0))*INDEX(EF!$H$100:$H$115,MATCH(Emissions!$D74,EF!$D$100:$D$115,0))*INDEX(EF!$H$132:$H$147,MATCH(Emissions!$D74,EF!$D$132:$D$147,0))*kgtoGg</f>
        <v>0.14601451310184949</v>
      </c>
      <c r="BN74" s="22">
        <f>INDEX('Activity data'!BN$24:BN$39,MATCH(Emissions!$D74,'Activity data'!$D$24:$D$39,0))*INDEX(EF!$H$84:$H$99,MATCH(Emissions!$D74,EF!$D$84:$D$99,0))*INDEX(EF!$H$100:$H$115,MATCH(Emissions!$D74,EF!$D$100:$D$115,0))*INDEX(EF!$H$132:$H$147,MATCH(Emissions!$D74,EF!$D$132:$D$147,0))*kgtoGg</f>
        <v>0.14557174969704134</v>
      </c>
      <c r="BO74" s="22">
        <f>INDEX('Activity data'!BO$24:BO$39,MATCH(Emissions!$D74,'Activity data'!$D$24:$D$39,0))*INDEX(EF!$H$84:$H$99,MATCH(Emissions!$D74,EF!$D$84:$D$99,0))*INDEX(EF!$H$100:$H$115,MATCH(Emissions!$D74,EF!$D$100:$D$115,0))*INDEX(EF!$H$132:$H$147,MATCH(Emissions!$D74,EF!$D$132:$D$147,0))*kgtoGg</f>
        <v>0.14512898629223317</v>
      </c>
      <c r="BP74" s="22">
        <f>INDEX('Activity data'!BP$24:BP$39,MATCH(Emissions!$D74,'Activity data'!$D$24:$D$39,0))*INDEX(EF!$H$84:$H$99,MATCH(Emissions!$D74,EF!$D$84:$D$99,0))*INDEX(EF!$H$100:$H$115,MATCH(Emissions!$D74,EF!$D$100:$D$115,0))*INDEX(EF!$H$132:$H$147,MATCH(Emissions!$D74,EF!$D$132:$D$147,0))*kgtoGg</f>
        <v>0.14468622288742497</v>
      </c>
    </row>
    <row r="75" spans="1:68" x14ac:dyDescent="0.25">
      <c r="A75" t="str">
        <f t="shared" si="19"/>
        <v>3C Aggregated and non-CO2 emissions on land</v>
      </c>
      <c r="B75" t="str">
        <f t="shared" si="26"/>
        <v>3C1 Biomass burning (N2O)</v>
      </c>
      <c r="C75" t="str">
        <f t="shared" si="25"/>
        <v>3C1b Biomass burning in Croplands</v>
      </c>
      <c r="D75" t="str">
        <f>EF!D105</f>
        <v>Annual pivot</v>
      </c>
      <c r="E75" t="s">
        <v>646</v>
      </c>
      <c r="F75" t="str">
        <f t="shared" si="27"/>
        <v>N2O</v>
      </c>
      <c r="G75" t="str">
        <f t="shared" si="28"/>
        <v>Gg N2O</v>
      </c>
      <c r="H75" s="22">
        <f>INDEX('Activity data'!H$24:H$39,MATCH(Emissions!$D75,'Activity data'!$D$24:$D$39,0))*INDEX(EF!$H$84:$H$99,MATCH(Emissions!$D75,EF!$D$84:$D$99,0))*INDEX(EF!$H$100:$H$115,MATCH(Emissions!$D75,EF!$D$100:$D$115,0))*INDEX(EF!$H$132:$H$147,MATCH(Emissions!$D75,EF!$D$132:$D$147,0))*kgtoGg</f>
        <v>0.18638235046954238</v>
      </c>
      <c r="I75" s="22">
        <f>INDEX('Activity data'!I$24:I$39,MATCH(Emissions!$D75,'Activity data'!$D$24:$D$39,0))*INDEX(EF!$H$84:$H$99,MATCH(Emissions!$D75,EF!$D$84:$D$99,0))*INDEX(EF!$H$100:$H$115,MATCH(Emissions!$D75,EF!$D$100:$D$115,0))*INDEX(EF!$H$132:$H$147,MATCH(Emissions!$D75,EF!$D$132:$D$147,0))*kgtoGg</f>
        <v>0.18638235046954238</v>
      </c>
      <c r="J75" s="22">
        <f>INDEX('Activity data'!J$24:J$39,MATCH(Emissions!$D75,'Activity data'!$D$24:$D$39,0))*INDEX(EF!$H$84:$H$99,MATCH(Emissions!$D75,EF!$D$84:$D$99,0))*INDEX(EF!$H$100:$H$115,MATCH(Emissions!$D75,EF!$D$100:$D$115,0))*INDEX(EF!$H$132:$H$147,MATCH(Emissions!$D75,EF!$D$132:$D$147,0))*kgtoGg</f>
        <v>0.18638235046954238</v>
      </c>
      <c r="K75" s="22">
        <f>INDEX('Activity data'!K$24:K$39,MATCH(Emissions!$D75,'Activity data'!$D$24:$D$39,0))*INDEX(EF!$H$84:$H$99,MATCH(Emissions!$D75,EF!$D$84:$D$99,0))*INDEX(EF!$H$100:$H$115,MATCH(Emissions!$D75,EF!$D$100:$D$115,0))*INDEX(EF!$H$132:$H$147,MATCH(Emissions!$D75,EF!$D$132:$D$147,0))*kgtoGg</f>
        <v>0.18638235046954238</v>
      </c>
      <c r="L75" s="22">
        <f>INDEX('Activity data'!L$24:L$39,MATCH(Emissions!$D75,'Activity data'!$D$24:$D$39,0))*INDEX(EF!$H$84:$H$99,MATCH(Emissions!$D75,EF!$D$84:$D$99,0))*INDEX(EF!$H$100:$H$115,MATCH(Emissions!$D75,EF!$D$100:$D$115,0))*INDEX(EF!$H$132:$H$147,MATCH(Emissions!$D75,EF!$D$132:$D$147,0))*kgtoGg</f>
        <v>0.18638235046954238</v>
      </c>
      <c r="M75" s="22">
        <f>INDEX('Activity data'!M$24:M$39,MATCH(Emissions!$D75,'Activity data'!$D$24:$D$39,0))*INDEX(EF!$H$84:$H$99,MATCH(Emissions!$D75,EF!$D$84:$D$99,0))*INDEX(EF!$H$100:$H$115,MATCH(Emissions!$D75,EF!$D$100:$D$115,0))*INDEX(EF!$H$132:$H$147,MATCH(Emissions!$D75,EF!$D$132:$D$147,0))*kgtoGg</f>
        <v>0.18638235046954238</v>
      </c>
      <c r="N75" s="22">
        <f>INDEX('Activity data'!N$24:N$39,MATCH(Emissions!$D75,'Activity data'!$D$24:$D$39,0))*INDEX(EF!$H$84:$H$99,MATCH(Emissions!$D75,EF!$D$84:$D$99,0))*INDEX(EF!$H$100:$H$115,MATCH(Emissions!$D75,EF!$D$100:$D$115,0))*INDEX(EF!$H$132:$H$147,MATCH(Emissions!$D75,EF!$D$132:$D$147,0))*kgtoGg</f>
        <v>0.18638235046954238</v>
      </c>
      <c r="O75" s="22">
        <f>INDEX('Activity data'!O$24:O$39,MATCH(Emissions!$D75,'Activity data'!$D$24:$D$39,0))*INDEX(EF!$H$84:$H$99,MATCH(Emissions!$D75,EF!$D$84:$D$99,0))*INDEX(EF!$H$100:$H$115,MATCH(Emissions!$D75,EF!$D$100:$D$115,0))*INDEX(EF!$H$132:$H$147,MATCH(Emissions!$D75,EF!$D$132:$D$147,0))*kgtoGg</f>
        <v>0.18638235046954238</v>
      </c>
      <c r="P75" s="22">
        <f>INDEX('Activity data'!P$24:P$39,MATCH(Emissions!$D75,'Activity data'!$D$24:$D$39,0))*INDEX(EF!$H$84:$H$99,MATCH(Emissions!$D75,EF!$D$84:$D$99,0))*INDEX(EF!$H$100:$H$115,MATCH(Emissions!$D75,EF!$D$100:$D$115,0))*INDEX(EF!$H$132:$H$147,MATCH(Emissions!$D75,EF!$D$132:$D$147,0))*kgtoGg</f>
        <v>0.18638235046954238</v>
      </c>
      <c r="Q75" s="22">
        <f>INDEX('Activity data'!Q$24:Q$39,MATCH(Emissions!$D75,'Activity data'!$D$24:$D$39,0))*INDEX(EF!$H$84:$H$99,MATCH(Emissions!$D75,EF!$D$84:$D$99,0))*INDEX(EF!$H$100:$H$115,MATCH(Emissions!$D75,EF!$D$100:$D$115,0))*INDEX(EF!$H$132:$H$147,MATCH(Emissions!$D75,EF!$D$132:$D$147,0))*kgtoGg</f>
        <v>0.18638235046954238</v>
      </c>
      <c r="R75" s="22">
        <f>INDEX('Activity data'!R$24:R$39,MATCH(Emissions!$D75,'Activity data'!$D$24:$D$39,0))*INDEX(EF!$H$84:$H$99,MATCH(Emissions!$D75,EF!$D$84:$D$99,0))*INDEX(EF!$H$100:$H$115,MATCH(Emissions!$D75,EF!$D$100:$D$115,0))*INDEX(EF!$H$132:$H$147,MATCH(Emissions!$D75,EF!$D$132:$D$147,0))*kgtoGg</f>
        <v>0.20162552508512988</v>
      </c>
      <c r="S75" s="22">
        <f>INDEX('Activity data'!S$24:S$39,MATCH(Emissions!$D75,'Activity data'!$D$24:$D$39,0))*INDEX(EF!$H$84:$H$99,MATCH(Emissions!$D75,EF!$D$84:$D$99,0))*INDEX(EF!$H$100:$H$115,MATCH(Emissions!$D75,EF!$D$100:$D$115,0))*INDEX(EF!$H$132:$H$147,MATCH(Emissions!$D75,EF!$D$132:$D$147,0))*kgtoGg</f>
        <v>0.18678033277666942</v>
      </c>
      <c r="T75" s="22">
        <f>INDEX('Activity data'!T$24:T$39,MATCH(Emissions!$D75,'Activity data'!$D$24:$D$39,0))*INDEX(EF!$H$84:$H$99,MATCH(Emissions!$D75,EF!$D$84:$D$99,0))*INDEX(EF!$H$100:$H$115,MATCH(Emissions!$D75,EF!$D$100:$D$115,0))*INDEX(EF!$H$132:$H$147,MATCH(Emissions!$D75,EF!$D$132:$D$147,0))*kgtoGg</f>
        <v>0.2287267634426163</v>
      </c>
      <c r="U75" s="22">
        <f>INDEX('Activity data'!U$24:U$39,MATCH(Emissions!$D75,'Activity data'!$D$24:$D$39,0))*INDEX(EF!$H$84:$H$99,MATCH(Emissions!$D75,EF!$D$84:$D$99,0))*INDEX(EF!$H$100:$H$115,MATCH(Emissions!$D75,EF!$D$100:$D$115,0))*INDEX(EF!$H$132:$H$147,MATCH(Emissions!$D75,EF!$D$132:$D$147,0))*kgtoGg</f>
        <v>0.17075928365169724</v>
      </c>
      <c r="V75" s="22">
        <f>INDEX('Activity data'!V$24:V$39,MATCH(Emissions!$D75,'Activity data'!$D$24:$D$39,0))*INDEX(EF!$H$84:$H$99,MATCH(Emissions!$D75,EF!$D$84:$D$99,0))*INDEX(EF!$H$100:$H$115,MATCH(Emissions!$D75,EF!$D$100:$D$115,0))*INDEX(EF!$H$132:$H$147,MATCH(Emissions!$D75,EF!$D$132:$D$147,0))*kgtoGg</f>
        <v>0.14401984739159893</v>
      </c>
      <c r="W75" s="22">
        <f>INDEX('Activity data'!W$24:W$39,MATCH(Emissions!$D75,'Activity data'!$D$24:$D$39,0))*INDEX(EF!$H$84:$H$99,MATCH(Emissions!$D75,EF!$D$84:$D$99,0))*INDEX(EF!$H$100:$H$115,MATCH(Emissions!$D75,EF!$D$100:$D$115,0))*INDEX(EF!$H$132:$H$147,MATCH(Emissions!$D75,EF!$D$132:$D$147,0))*kgtoGg</f>
        <v>0.24379808206194442</v>
      </c>
      <c r="X75" s="22">
        <f>INDEX('Activity data'!X$24:X$39,MATCH(Emissions!$D75,'Activity data'!$D$24:$D$39,0))*INDEX(EF!$H$84:$H$99,MATCH(Emissions!$D75,EF!$D$84:$D$99,0))*INDEX(EF!$H$100:$H$115,MATCH(Emissions!$D75,EF!$D$100:$D$115,0))*INDEX(EF!$H$132:$H$147,MATCH(Emissions!$D75,EF!$D$132:$D$147,0))*kgtoGg</f>
        <v>0.24850150932799131</v>
      </c>
      <c r="Y75" s="22">
        <f>INDEX('Activity data'!Y$24:Y$39,MATCH(Emissions!$D75,'Activity data'!$D$24:$D$39,0))*INDEX(EF!$H$84:$H$99,MATCH(Emissions!$D75,EF!$D$84:$D$99,0))*INDEX(EF!$H$100:$H$115,MATCH(Emissions!$D75,EF!$D$100:$D$115,0))*INDEX(EF!$H$132:$H$147,MATCH(Emissions!$D75,EF!$D$132:$D$147,0))*kgtoGg</f>
        <v>0.14049227694206379</v>
      </c>
      <c r="Z75" s="22">
        <f>INDEX('Activity data'!Z$24:Z$39,MATCH(Emissions!$D75,'Activity data'!$D$24:$D$39,0))*INDEX(EF!$H$84:$H$99,MATCH(Emissions!$D75,EF!$D$84:$D$99,0))*INDEX(EF!$H$100:$H$115,MATCH(Emissions!$D75,EF!$D$100:$D$115,0))*INDEX(EF!$H$132:$H$147,MATCH(Emissions!$D75,EF!$D$132:$D$147,0))*kgtoGg</f>
        <v>0.16253959225165854</v>
      </c>
      <c r="AA75" s="22">
        <f>INDEX('Activity data'!AA$24:AA$39,MATCH(Emissions!$D75,'Activity data'!$D$24:$D$39,0))*INDEX(EF!$H$84:$H$99,MATCH(Emissions!$D75,EF!$D$84:$D$99,0))*INDEX(EF!$H$100:$H$115,MATCH(Emissions!$D75,EF!$D$100:$D$115,0))*INDEX(EF!$H$132:$H$147,MATCH(Emissions!$D75,EF!$D$132:$D$147,0))*kgtoGg</f>
        <v>0.16079841965797775</v>
      </c>
      <c r="AB75" s="22">
        <f>INDEX('Activity data'!AB$24:AB$39,MATCH(Emissions!$D75,'Activity data'!$D$24:$D$39,0))*INDEX(EF!$H$84:$H$99,MATCH(Emissions!$D75,EF!$D$84:$D$99,0))*INDEX(EF!$H$100:$H$115,MATCH(Emissions!$D75,EF!$D$100:$D$115,0))*INDEX(EF!$H$132:$H$147,MATCH(Emissions!$D75,EF!$D$132:$D$147,0))*kgtoGg</f>
        <v>0.18131878170000001</v>
      </c>
      <c r="AC75" s="22">
        <f>INDEX('Activity data'!AC$24:AC$39,MATCH(Emissions!$D75,'Activity data'!$D$24:$D$39,0))*INDEX(EF!$H$84:$H$99,MATCH(Emissions!$D75,EF!$D$84:$D$99,0))*INDEX(EF!$H$100:$H$115,MATCH(Emissions!$D75,EF!$D$100:$D$115,0))*INDEX(EF!$H$132:$H$147,MATCH(Emissions!$D75,EF!$D$132:$D$147,0))*kgtoGg</f>
        <v>0.1894221126</v>
      </c>
      <c r="AD75" s="22">
        <f>INDEX('Activity data'!AD$24:AD$39,MATCH(Emissions!$D75,'Activity data'!$D$24:$D$39,0))*INDEX(EF!$H$84:$H$99,MATCH(Emissions!$D75,EF!$D$84:$D$99,0))*INDEX(EF!$H$100:$H$115,MATCH(Emissions!$D75,EF!$D$100:$D$115,0))*INDEX(EF!$H$132:$H$147,MATCH(Emissions!$D75,EF!$D$132:$D$147,0))*kgtoGg</f>
        <v>1.3363672472411908E-2</v>
      </c>
      <c r="AE75" s="22">
        <f>INDEX('Activity data'!AE$24:AE$39,MATCH(Emissions!$D75,'Activity data'!$D$24:$D$39,0))*INDEX(EF!$H$84:$H$99,MATCH(Emissions!$D75,EF!$D$84:$D$99,0))*INDEX(EF!$H$100:$H$115,MATCH(Emissions!$D75,EF!$D$100:$D$115,0))*INDEX(EF!$H$132:$H$147,MATCH(Emissions!$D75,EF!$D$132:$D$147,0))*kgtoGg</f>
        <v>1.3770022882720941E-2</v>
      </c>
      <c r="AF75" s="22">
        <f>INDEX('Activity data'!AF$24:AF$39,MATCH(Emissions!$D75,'Activity data'!$D$24:$D$39,0))*INDEX(EF!$H$84:$H$99,MATCH(Emissions!$D75,EF!$D$84:$D$99,0))*INDEX(EF!$H$100:$H$115,MATCH(Emissions!$D75,EF!$D$100:$D$115,0))*INDEX(EF!$H$132:$H$147,MATCH(Emissions!$D75,EF!$D$132:$D$147,0))*kgtoGg</f>
        <v>1.4176373293029969E-2</v>
      </c>
      <c r="AG75" s="22">
        <f>INDEX('Activity data'!AG$24:AG$39,MATCH(Emissions!$D75,'Activity data'!$D$24:$D$39,0))*INDEX(EF!$H$84:$H$99,MATCH(Emissions!$D75,EF!$D$84:$D$99,0))*INDEX(EF!$H$100:$H$115,MATCH(Emissions!$D75,EF!$D$100:$D$115,0))*INDEX(EF!$H$132:$H$147,MATCH(Emissions!$D75,EF!$D$132:$D$147,0))*kgtoGg</f>
        <v>1.4582723703339006E-2</v>
      </c>
      <c r="AH75" s="22">
        <f>INDEX('Activity data'!AH$24:AH$39,MATCH(Emissions!$D75,'Activity data'!$D$24:$D$39,0))*INDEX(EF!$H$84:$H$99,MATCH(Emissions!$D75,EF!$D$84:$D$99,0))*INDEX(EF!$H$100:$H$115,MATCH(Emissions!$D75,EF!$D$100:$D$115,0))*INDEX(EF!$H$132:$H$147,MATCH(Emissions!$D75,EF!$D$132:$D$147,0))*kgtoGg</f>
        <v>1.4989074113648037E-2</v>
      </c>
      <c r="AI75" s="22">
        <f>INDEX('Activity data'!AI$24:AI$39,MATCH(Emissions!$D75,'Activity data'!$D$24:$D$39,0))*INDEX(EF!$H$84:$H$99,MATCH(Emissions!$D75,EF!$D$84:$D$99,0))*INDEX(EF!$H$100:$H$115,MATCH(Emissions!$D75,EF!$D$100:$D$115,0))*INDEX(EF!$H$132:$H$147,MATCH(Emissions!$D75,EF!$D$132:$D$147,0))*kgtoGg</f>
        <v>1.5395424523957073E-2</v>
      </c>
      <c r="AJ75" s="22">
        <f>INDEX('Activity data'!AJ$24:AJ$39,MATCH(Emissions!$D75,'Activity data'!$D$24:$D$39,0))*INDEX(EF!$H$84:$H$99,MATCH(Emissions!$D75,EF!$D$84:$D$99,0))*INDEX(EF!$H$100:$H$115,MATCH(Emissions!$D75,EF!$D$100:$D$115,0))*INDEX(EF!$H$132:$H$147,MATCH(Emissions!$D75,EF!$D$132:$D$147,0))*kgtoGg</f>
        <v>1.58017749342661E-2</v>
      </c>
      <c r="AK75" s="22">
        <f>INDEX('Activity data'!AK$24:AK$39,MATCH(Emissions!$D75,'Activity data'!$D$24:$D$39,0))*INDEX(EF!$H$84:$H$99,MATCH(Emissions!$D75,EF!$D$84:$D$99,0))*INDEX(EF!$H$100:$H$115,MATCH(Emissions!$D75,EF!$D$100:$D$115,0))*INDEX(EF!$H$132:$H$147,MATCH(Emissions!$D75,EF!$D$132:$D$147,0))*kgtoGg</f>
        <v>1.6208125344575129E-2</v>
      </c>
      <c r="AL75" s="22">
        <f>INDEX('Activity data'!AL$24:AL$39,MATCH(Emissions!$D75,'Activity data'!$D$24:$D$39,0))*INDEX(EF!$H$84:$H$99,MATCH(Emissions!$D75,EF!$D$84:$D$99,0))*INDEX(EF!$H$100:$H$115,MATCH(Emissions!$D75,EF!$D$100:$D$115,0))*INDEX(EF!$H$132:$H$147,MATCH(Emissions!$D75,EF!$D$132:$D$147,0))*kgtoGg</f>
        <v>1.6614475754884166E-2</v>
      </c>
      <c r="AM75" s="22">
        <f>INDEX('Activity data'!AM$24:AM$39,MATCH(Emissions!$D75,'Activity data'!$D$24:$D$39,0))*INDEX(EF!$H$84:$H$99,MATCH(Emissions!$D75,EF!$D$84:$D$99,0))*INDEX(EF!$H$100:$H$115,MATCH(Emissions!$D75,EF!$D$100:$D$115,0))*INDEX(EF!$H$132:$H$147,MATCH(Emissions!$D75,EF!$D$132:$D$147,0))*kgtoGg</f>
        <v>1.7020826165193202E-2</v>
      </c>
      <c r="AN75" s="22">
        <f>INDEX('Activity data'!AN$24:AN$39,MATCH(Emissions!$D75,'Activity data'!$D$24:$D$39,0))*INDEX(EF!$H$84:$H$99,MATCH(Emissions!$D75,EF!$D$84:$D$99,0))*INDEX(EF!$H$100:$H$115,MATCH(Emissions!$D75,EF!$D$100:$D$115,0))*INDEX(EF!$H$132:$H$147,MATCH(Emissions!$D75,EF!$D$132:$D$147,0))*kgtoGg</f>
        <v>1.7427176575502232E-2</v>
      </c>
      <c r="AO75" s="22">
        <f>INDEX('Activity data'!AO$24:AO$39,MATCH(Emissions!$D75,'Activity data'!$D$24:$D$39,0))*INDEX(EF!$H$84:$H$99,MATCH(Emissions!$D75,EF!$D$84:$D$99,0))*INDEX(EF!$H$100:$H$115,MATCH(Emissions!$D75,EF!$D$100:$D$115,0))*INDEX(EF!$H$132:$H$147,MATCH(Emissions!$D75,EF!$D$132:$D$147,0))*kgtoGg</f>
        <v>1.7833526985811265E-2</v>
      </c>
      <c r="AP75" s="22">
        <f>INDEX('Activity data'!AP$24:AP$39,MATCH(Emissions!$D75,'Activity data'!$D$24:$D$39,0))*INDEX(EF!$H$84:$H$99,MATCH(Emissions!$D75,EF!$D$84:$D$99,0))*INDEX(EF!$H$100:$H$115,MATCH(Emissions!$D75,EF!$D$100:$D$115,0))*INDEX(EF!$H$132:$H$147,MATCH(Emissions!$D75,EF!$D$132:$D$147,0))*kgtoGg</f>
        <v>1.8239877396120294E-2</v>
      </c>
      <c r="AQ75" s="22">
        <f>INDEX('Activity data'!AQ$24:AQ$39,MATCH(Emissions!$D75,'Activity data'!$D$24:$D$39,0))*INDEX(EF!$H$84:$H$99,MATCH(Emissions!$D75,EF!$D$84:$D$99,0))*INDEX(EF!$H$100:$H$115,MATCH(Emissions!$D75,EF!$D$100:$D$115,0))*INDEX(EF!$H$132:$H$147,MATCH(Emissions!$D75,EF!$D$132:$D$147,0))*kgtoGg</f>
        <v>1.8646227806429327E-2</v>
      </c>
      <c r="AR75" s="22">
        <f>INDEX('Activity data'!AR$24:AR$39,MATCH(Emissions!$D75,'Activity data'!$D$24:$D$39,0))*INDEX(EF!$H$84:$H$99,MATCH(Emissions!$D75,EF!$D$84:$D$99,0))*INDEX(EF!$H$100:$H$115,MATCH(Emissions!$D75,EF!$D$100:$D$115,0))*INDEX(EF!$H$132:$H$147,MATCH(Emissions!$D75,EF!$D$132:$D$147,0))*kgtoGg</f>
        <v>1.9052578216738364E-2</v>
      </c>
      <c r="AS75" s="22">
        <f>INDEX('Activity data'!AS$24:AS$39,MATCH(Emissions!$D75,'Activity data'!$D$24:$D$39,0))*INDEX(EF!$H$84:$H$99,MATCH(Emissions!$D75,EF!$D$84:$D$99,0))*INDEX(EF!$H$100:$H$115,MATCH(Emissions!$D75,EF!$D$100:$D$115,0))*INDEX(EF!$H$132:$H$147,MATCH(Emissions!$D75,EF!$D$132:$D$147,0))*kgtoGg</f>
        <v>1.9458928627047394E-2</v>
      </c>
      <c r="AT75" s="22">
        <f>INDEX('Activity data'!AT$24:AT$39,MATCH(Emissions!$D75,'Activity data'!$D$24:$D$39,0))*INDEX(EF!$H$84:$H$99,MATCH(Emissions!$D75,EF!$D$84:$D$99,0))*INDEX(EF!$H$100:$H$115,MATCH(Emissions!$D75,EF!$D$100:$D$115,0))*INDEX(EF!$H$132:$H$147,MATCH(Emissions!$D75,EF!$D$132:$D$147,0))*kgtoGg</f>
        <v>1.986527903735643E-2</v>
      </c>
      <c r="AU75" s="22">
        <f>INDEX('Activity data'!AU$24:AU$39,MATCH(Emissions!$D75,'Activity data'!$D$24:$D$39,0))*INDEX(EF!$H$84:$H$99,MATCH(Emissions!$D75,EF!$D$84:$D$99,0))*INDEX(EF!$H$100:$H$115,MATCH(Emissions!$D75,EF!$D$100:$D$115,0))*INDEX(EF!$H$132:$H$147,MATCH(Emissions!$D75,EF!$D$132:$D$147,0))*kgtoGg</f>
        <v>2.027162944766546E-2</v>
      </c>
      <c r="AV75" s="22">
        <f>INDEX('Activity data'!AV$24:AV$39,MATCH(Emissions!$D75,'Activity data'!$D$24:$D$39,0))*INDEX(EF!$H$84:$H$99,MATCH(Emissions!$D75,EF!$D$84:$D$99,0))*INDEX(EF!$H$100:$H$115,MATCH(Emissions!$D75,EF!$D$100:$D$115,0))*INDEX(EF!$H$132:$H$147,MATCH(Emissions!$D75,EF!$D$132:$D$147,0))*kgtoGg</f>
        <v>2.0677979857974496E-2</v>
      </c>
      <c r="AW75" s="22">
        <f>INDEX('Activity data'!AW$24:AW$39,MATCH(Emissions!$D75,'Activity data'!$D$24:$D$39,0))*INDEX(EF!$H$84:$H$99,MATCH(Emissions!$D75,EF!$D$84:$D$99,0))*INDEX(EF!$H$100:$H$115,MATCH(Emissions!$D75,EF!$D$100:$D$115,0))*INDEX(EF!$H$132:$H$147,MATCH(Emissions!$D75,EF!$D$132:$D$147,0))*kgtoGg</f>
        <v>2.1084330268283526E-2</v>
      </c>
      <c r="AX75" s="22">
        <f>INDEX('Activity data'!AX$24:AX$39,MATCH(Emissions!$D75,'Activity data'!$D$24:$D$39,0))*INDEX(EF!$H$84:$H$99,MATCH(Emissions!$D75,EF!$D$84:$D$99,0))*INDEX(EF!$H$100:$H$115,MATCH(Emissions!$D75,EF!$D$100:$D$115,0))*INDEX(EF!$H$132:$H$147,MATCH(Emissions!$D75,EF!$D$132:$D$147,0))*kgtoGg</f>
        <v>2.1490680678592562E-2</v>
      </c>
      <c r="AY75" s="22">
        <f>INDEX('Activity data'!AY$24:AY$39,MATCH(Emissions!$D75,'Activity data'!$D$24:$D$39,0))*INDEX(EF!$H$84:$H$99,MATCH(Emissions!$D75,EF!$D$84:$D$99,0))*INDEX(EF!$H$100:$H$115,MATCH(Emissions!$D75,EF!$D$100:$D$115,0))*INDEX(EF!$H$132:$H$147,MATCH(Emissions!$D75,EF!$D$132:$D$147,0))*kgtoGg</f>
        <v>2.1897031088901588E-2</v>
      </c>
      <c r="AZ75" s="22">
        <f>INDEX('Activity data'!AZ$24:AZ$39,MATCH(Emissions!$D75,'Activity data'!$D$24:$D$39,0))*INDEX(EF!$H$84:$H$99,MATCH(Emissions!$D75,EF!$D$84:$D$99,0))*INDEX(EF!$H$100:$H$115,MATCH(Emissions!$D75,EF!$D$100:$D$115,0))*INDEX(EF!$H$132:$H$147,MATCH(Emissions!$D75,EF!$D$132:$D$147,0))*kgtoGg</f>
        <v>2.2303381499210621E-2</v>
      </c>
      <c r="BA75" s="22">
        <f>INDEX('Activity data'!BA$24:BA$39,MATCH(Emissions!$D75,'Activity data'!$D$24:$D$39,0))*INDEX(EF!$H$84:$H$99,MATCH(Emissions!$D75,EF!$D$84:$D$99,0))*INDEX(EF!$H$100:$H$115,MATCH(Emissions!$D75,EF!$D$100:$D$115,0))*INDEX(EF!$H$132:$H$147,MATCH(Emissions!$D75,EF!$D$132:$D$147,0))*kgtoGg</f>
        <v>2.2709731909519658E-2</v>
      </c>
      <c r="BB75" s="22">
        <f>INDEX('Activity data'!BB$24:BB$39,MATCH(Emissions!$D75,'Activity data'!$D$24:$D$39,0))*INDEX(EF!$H$84:$H$99,MATCH(Emissions!$D75,EF!$D$84:$D$99,0))*INDEX(EF!$H$100:$H$115,MATCH(Emissions!$D75,EF!$D$100:$D$115,0))*INDEX(EF!$H$132:$H$147,MATCH(Emissions!$D75,EF!$D$132:$D$147,0))*kgtoGg</f>
        <v>2.3116082319828691E-2</v>
      </c>
      <c r="BC75" s="22">
        <f>INDEX('Activity data'!BC$24:BC$39,MATCH(Emissions!$D75,'Activity data'!$D$24:$D$39,0))*INDEX(EF!$H$84:$H$99,MATCH(Emissions!$D75,EF!$D$84:$D$99,0))*INDEX(EF!$H$100:$H$115,MATCH(Emissions!$D75,EF!$D$100:$D$115,0))*INDEX(EF!$H$132:$H$147,MATCH(Emissions!$D75,EF!$D$132:$D$147,0))*kgtoGg</f>
        <v>2.3522432730137724E-2</v>
      </c>
      <c r="BD75" s="22">
        <f>INDEX('Activity data'!BD$24:BD$39,MATCH(Emissions!$D75,'Activity data'!$D$24:$D$39,0))*INDEX(EF!$H$84:$H$99,MATCH(Emissions!$D75,EF!$D$84:$D$99,0))*INDEX(EF!$H$100:$H$115,MATCH(Emissions!$D75,EF!$D$100:$D$115,0))*INDEX(EF!$H$132:$H$147,MATCH(Emissions!$D75,EF!$D$132:$D$147,0))*kgtoGg</f>
        <v>2.392878314044675E-2</v>
      </c>
      <c r="BE75" s="22">
        <f>INDEX('Activity data'!BE$24:BE$39,MATCH(Emissions!$D75,'Activity data'!$D$24:$D$39,0))*INDEX(EF!$H$84:$H$99,MATCH(Emissions!$D75,EF!$D$84:$D$99,0))*INDEX(EF!$H$100:$H$115,MATCH(Emissions!$D75,EF!$D$100:$D$115,0))*INDEX(EF!$H$132:$H$147,MATCH(Emissions!$D75,EF!$D$132:$D$147,0))*kgtoGg</f>
        <v>2.433513355075579E-2</v>
      </c>
      <c r="BF75" s="22">
        <f>INDEX('Activity data'!BF$24:BF$39,MATCH(Emissions!$D75,'Activity data'!$D$24:$D$39,0))*INDEX(EF!$H$84:$H$99,MATCH(Emissions!$D75,EF!$D$84:$D$99,0))*INDEX(EF!$H$100:$H$115,MATCH(Emissions!$D75,EF!$D$100:$D$115,0))*INDEX(EF!$H$132:$H$147,MATCH(Emissions!$D75,EF!$D$132:$D$147,0))*kgtoGg</f>
        <v>2.4741483961064823E-2</v>
      </c>
      <c r="BG75" s="22">
        <f>INDEX('Activity data'!BG$24:BG$39,MATCH(Emissions!$D75,'Activity data'!$D$24:$D$39,0))*INDEX(EF!$H$84:$H$99,MATCH(Emissions!$D75,EF!$D$84:$D$99,0))*INDEX(EF!$H$100:$H$115,MATCH(Emissions!$D75,EF!$D$100:$D$115,0))*INDEX(EF!$H$132:$H$147,MATCH(Emissions!$D75,EF!$D$132:$D$147,0))*kgtoGg</f>
        <v>2.5147834371373849E-2</v>
      </c>
      <c r="BH75" s="22">
        <f>INDEX('Activity data'!BH$24:BH$39,MATCH(Emissions!$D75,'Activity data'!$D$24:$D$39,0))*INDEX(EF!$H$84:$H$99,MATCH(Emissions!$D75,EF!$D$84:$D$99,0))*INDEX(EF!$H$100:$H$115,MATCH(Emissions!$D75,EF!$D$100:$D$115,0))*INDEX(EF!$H$132:$H$147,MATCH(Emissions!$D75,EF!$D$132:$D$147,0))*kgtoGg</f>
        <v>2.5554184781682879E-2</v>
      </c>
      <c r="BI75" s="22">
        <f>INDEX('Activity data'!BI$24:BI$39,MATCH(Emissions!$D75,'Activity data'!$D$24:$D$39,0))*INDEX(EF!$H$84:$H$99,MATCH(Emissions!$D75,EF!$D$84:$D$99,0))*INDEX(EF!$H$100:$H$115,MATCH(Emissions!$D75,EF!$D$100:$D$115,0))*INDEX(EF!$H$132:$H$147,MATCH(Emissions!$D75,EF!$D$132:$D$147,0))*kgtoGg</f>
        <v>2.5960535191991915E-2</v>
      </c>
      <c r="BJ75" s="22">
        <f>INDEX('Activity data'!BJ$24:BJ$39,MATCH(Emissions!$D75,'Activity data'!$D$24:$D$39,0))*INDEX(EF!$H$84:$H$99,MATCH(Emissions!$D75,EF!$D$84:$D$99,0))*INDEX(EF!$H$100:$H$115,MATCH(Emissions!$D75,EF!$D$100:$D$115,0))*INDEX(EF!$H$132:$H$147,MATCH(Emissions!$D75,EF!$D$132:$D$147,0))*kgtoGg</f>
        <v>2.6366885602300948E-2</v>
      </c>
      <c r="BK75" s="22">
        <f>INDEX('Activity data'!BK$24:BK$39,MATCH(Emissions!$D75,'Activity data'!$D$24:$D$39,0))*INDEX(EF!$H$84:$H$99,MATCH(Emissions!$D75,EF!$D$84:$D$99,0))*INDEX(EF!$H$100:$H$115,MATCH(Emissions!$D75,EF!$D$100:$D$115,0))*INDEX(EF!$H$132:$H$147,MATCH(Emissions!$D75,EF!$D$132:$D$147,0))*kgtoGg</f>
        <v>2.6773236012609978E-2</v>
      </c>
      <c r="BL75" s="22">
        <f>INDEX('Activity data'!BL$24:BL$39,MATCH(Emissions!$D75,'Activity data'!$D$24:$D$39,0))*INDEX(EF!$H$84:$H$99,MATCH(Emissions!$D75,EF!$D$84:$D$99,0))*INDEX(EF!$H$100:$H$115,MATCH(Emissions!$D75,EF!$D$100:$D$115,0))*INDEX(EF!$H$132:$H$147,MATCH(Emissions!$D75,EF!$D$132:$D$147,0))*kgtoGg</f>
        <v>2.7179586422919014E-2</v>
      </c>
      <c r="BM75" s="22">
        <f>INDEX('Activity data'!BM$24:BM$39,MATCH(Emissions!$D75,'Activity data'!$D$24:$D$39,0))*INDEX(EF!$H$84:$H$99,MATCH(Emissions!$D75,EF!$D$84:$D$99,0))*INDEX(EF!$H$100:$H$115,MATCH(Emissions!$D75,EF!$D$100:$D$115,0))*INDEX(EF!$H$132:$H$147,MATCH(Emissions!$D75,EF!$D$132:$D$147,0))*kgtoGg</f>
        <v>2.7585936833228034E-2</v>
      </c>
      <c r="BN75" s="22">
        <f>INDEX('Activity data'!BN$24:BN$39,MATCH(Emissions!$D75,'Activity data'!$D$24:$D$39,0))*INDEX(EF!$H$84:$H$99,MATCH(Emissions!$D75,EF!$D$84:$D$99,0))*INDEX(EF!$H$100:$H$115,MATCH(Emissions!$D75,EF!$D$100:$D$115,0))*INDEX(EF!$H$132:$H$147,MATCH(Emissions!$D75,EF!$D$132:$D$147,0))*kgtoGg</f>
        <v>2.7992287243537067E-2</v>
      </c>
      <c r="BO75" s="22">
        <f>INDEX('Activity data'!BO$24:BO$39,MATCH(Emissions!$D75,'Activity data'!$D$24:$D$39,0))*INDEX(EF!$H$84:$H$99,MATCH(Emissions!$D75,EF!$D$84:$D$99,0))*INDEX(EF!$H$100:$H$115,MATCH(Emissions!$D75,EF!$D$100:$D$115,0))*INDEX(EF!$H$132:$H$147,MATCH(Emissions!$D75,EF!$D$132:$D$147,0))*kgtoGg</f>
        <v>2.8398637653846096E-2</v>
      </c>
      <c r="BP75" s="22">
        <f>INDEX('Activity data'!BP$24:BP$39,MATCH(Emissions!$D75,'Activity data'!$D$24:$D$39,0))*INDEX(EF!$H$84:$H$99,MATCH(Emissions!$D75,EF!$D$84:$D$99,0))*INDEX(EF!$H$100:$H$115,MATCH(Emissions!$D75,EF!$D$100:$D$115,0))*INDEX(EF!$H$132:$H$147,MATCH(Emissions!$D75,EF!$D$132:$D$147,0))*kgtoGg</f>
        <v>2.8804988064155126E-2</v>
      </c>
    </row>
    <row r="76" spans="1:68" x14ac:dyDescent="0.25">
      <c r="A76" t="str">
        <f t="shared" si="19"/>
        <v>3C Aggregated and non-CO2 emissions on land</v>
      </c>
      <c r="B76" t="str">
        <f t="shared" si="26"/>
        <v>3C1 Biomass burning (N2O)</v>
      </c>
      <c r="C76" t="str">
        <f t="shared" si="25"/>
        <v>3C1b Biomass burning in Croplands</v>
      </c>
      <c r="D76" t="str">
        <f>EF!D106</f>
        <v>Perennial orchards</v>
      </c>
      <c r="E76" t="s">
        <v>647</v>
      </c>
      <c r="F76" t="str">
        <f t="shared" si="27"/>
        <v>N2O</v>
      </c>
      <c r="G76" t="str">
        <f t="shared" si="28"/>
        <v>Gg N2O</v>
      </c>
      <c r="H76" s="22">
        <f>INDEX('Activity data'!H$24:H$39,MATCH(Emissions!$D76,'Activity data'!$D$24:$D$39,0))*INDEX(EF!$H$84:$H$99,MATCH(Emissions!$D76,EF!$D$84:$D$99,0))*INDEX(EF!$H$100:$H$115,MATCH(Emissions!$D76,EF!$D$100:$D$115,0))*INDEX(EF!$H$132:$H$147,MATCH(Emissions!$D76,EF!$D$132:$D$147,0))*kgtoGg</f>
        <v>1.3318839710103907E-3</v>
      </c>
      <c r="I76" s="22">
        <f>INDEX('Activity data'!I$24:I$39,MATCH(Emissions!$D76,'Activity data'!$D$24:$D$39,0))*INDEX(EF!$H$84:$H$99,MATCH(Emissions!$D76,EF!$D$84:$D$99,0))*INDEX(EF!$H$100:$H$115,MATCH(Emissions!$D76,EF!$D$100:$D$115,0))*INDEX(EF!$H$132:$H$147,MATCH(Emissions!$D76,EF!$D$132:$D$147,0))*kgtoGg</f>
        <v>1.3318839710103907E-3</v>
      </c>
      <c r="J76" s="22">
        <f>INDEX('Activity data'!J$24:J$39,MATCH(Emissions!$D76,'Activity data'!$D$24:$D$39,0))*INDEX(EF!$H$84:$H$99,MATCH(Emissions!$D76,EF!$D$84:$D$99,0))*INDEX(EF!$H$100:$H$115,MATCH(Emissions!$D76,EF!$D$100:$D$115,0))*INDEX(EF!$H$132:$H$147,MATCH(Emissions!$D76,EF!$D$132:$D$147,0))*kgtoGg</f>
        <v>1.3318839710103907E-3</v>
      </c>
      <c r="K76" s="22">
        <f>INDEX('Activity data'!K$24:K$39,MATCH(Emissions!$D76,'Activity data'!$D$24:$D$39,0))*INDEX(EF!$H$84:$H$99,MATCH(Emissions!$D76,EF!$D$84:$D$99,0))*INDEX(EF!$H$100:$H$115,MATCH(Emissions!$D76,EF!$D$100:$D$115,0))*INDEX(EF!$H$132:$H$147,MATCH(Emissions!$D76,EF!$D$132:$D$147,0))*kgtoGg</f>
        <v>1.3318839710103907E-3</v>
      </c>
      <c r="L76" s="22">
        <f>INDEX('Activity data'!L$24:L$39,MATCH(Emissions!$D76,'Activity data'!$D$24:$D$39,0))*INDEX(EF!$H$84:$H$99,MATCH(Emissions!$D76,EF!$D$84:$D$99,0))*INDEX(EF!$H$100:$H$115,MATCH(Emissions!$D76,EF!$D$100:$D$115,0))*INDEX(EF!$H$132:$H$147,MATCH(Emissions!$D76,EF!$D$132:$D$147,0))*kgtoGg</f>
        <v>1.3318839710103907E-3</v>
      </c>
      <c r="M76" s="22">
        <f>INDEX('Activity data'!M$24:M$39,MATCH(Emissions!$D76,'Activity data'!$D$24:$D$39,0))*INDEX(EF!$H$84:$H$99,MATCH(Emissions!$D76,EF!$D$84:$D$99,0))*INDEX(EF!$H$100:$H$115,MATCH(Emissions!$D76,EF!$D$100:$D$115,0))*INDEX(EF!$H$132:$H$147,MATCH(Emissions!$D76,EF!$D$132:$D$147,0))*kgtoGg</f>
        <v>1.3318839710103907E-3</v>
      </c>
      <c r="N76" s="22">
        <f>INDEX('Activity data'!N$24:N$39,MATCH(Emissions!$D76,'Activity data'!$D$24:$D$39,0))*INDEX(EF!$H$84:$H$99,MATCH(Emissions!$D76,EF!$D$84:$D$99,0))*INDEX(EF!$H$100:$H$115,MATCH(Emissions!$D76,EF!$D$100:$D$115,0))*INDEX(EF!$H$132:$H$147,MATCH(Emissions!$D76,EF!$D$132:$D$147,0))*kgtoGg</f>
        <v>1.3318839710103907E-3</v>
      </c>
      <c r="O76" s="22">
        <f>INDEX('Activity data'!O$24:O$39,MATCH(Emissions!$D76,'Activity data'!$D$24:$D$39,0))*INDEX(EF!$H$84:$H$99,MATCH(Emissions!$D76,EF!$D$84:$D$99,0))*INDEX(EF!$H$100:$H$115,MATCH(Emissions!$D76,EF!$D$100:$D$115,0))*INDEX(EF!$H$132:$H$147,MATCH(Emissions!$D76,EF!$D$132:$D$147,0))*kgtoGg</f>
        <v>1.3318839710103907E-3</v>
      </c>
      <c r="P76" s="22">
        <f>INDEX('Activity data'!P$24:P$39,MATCH(Emissions!$D76,'Activity data'!$D$24:$D$39,0))*INDEX(EF!$H$84:$H$99,MATCH(Emissions!$D76,EF!$D$84:$D$99,0))*INDEX(EF!$H$100:$H$115,MATCH(Emissions!$D76,EF!$D$100:$D$115,0))*INDEX(EF!$H$132:$H$147,MATCH(Emissions!$D76,EF!$D$132:$D$147,0))*kgtoGg</f>
        <v>1.3318839710103907E-3</v>
      </c>
      <c r="Q76" s="22">
        <f>INDEX('Activity data'!Q$24:Q$39,MATCH(Emissions!$D76,'Activity data'!$D$24:$D$39,0))*INDEX(EF!$H$84:$H$99,MATCH(Emissions!$D76,EF!$D$84:$D$99,0))*INDEX(EF!$H$100:$H$115,MATCH(Emissions!$D76,EF!$D$100:$D$115,0))*INDEX(EF!$H$132:$H$147,MATCH(Emissions!$D76,EF!$D$132:$D$147,0))*kgtoGg</f>
        <v>1.3318839710103907E-3</v>
      </c>
      <c r="R76" s="22">
        <f>INDEX('Activity data'!R$24:R$39,MATCH(Emissions!$D76,'Activity data'!$D$24:$D$39,0))*INDEX(EF!$H$84:$H$99,MATCH(Emissions!$D76,EF!$D$84:$D$99,0))*INDEX(EF!$H$100:$H$115,MATCH(Emissions!$D76,EF!$D$100:$D$115,0))*INDEX(EF!$H$132:$H$147,MATCH(Emissions!$D76,EF!$D$132:$D$147,0))*kgtoGg</f>
        <v>1.0175683989043735E-3</v>
      </c>
      <c r="S76" s="22">
        <f>INDEX('Activity data'!S$24:S$39,MATCH(Emissions!$D76,'Activity data'!$D$24:$D$39,0))*INDEX(EF!$H$84:$H$99,MATCH(Emissions!$D76,EF!$D$84:$D$99,0))*INDEX(EF!$H$100:$H$115,MATCH(Emissions!$D76,EF!$D$100:$D$115,0))*INDEX(EF!$H$132:$H$147,MATCH(Emissions!$D76,EF!$D$132:$D$147,0))*kgtoGg</f>
        <v>1.9559925890050732E-3</v>
      </c>
      <c r="T76" s="22">
        <f>INDEX('Activity data'!T$24:T$39,MATCH(Emissions!$D76,'Activity data'!$D$24:$D$39,0))*INDEX(EF!$H$84:$H$99,MATCH(Emissions!$D76,EF!$D$84:$D$99,0))*INDEX(EF!$H$100:$H$115,MATCH(Emissions!$D76,EF!$D$100:$D$115,0))*INDEX(EF!$H$132:$H$147,MATCH(Emissions!$D76,EF!$D$132:$D$147,0))*kgtoGg</f>
        <v>1.4245957584661227E-3</v>
      </c>
      <c r="U76" s="22">
        <f>INDEX('Activity data'!U$24:U$39,MATCH(Emissions!$D76,'Activity data'!$D$24:$D$39,0))*INDEX(EF!$H$84:$H$99,MATCH(Emissions!$D76,EF!$D$84:$D$99,0))*INDEX(EF!$H$100:$H$115,MATCH(Emissions!$D76,EF!$D$100:$D$115,0))*INDEX(EF!$H$132:$H$147,MATCH(Emissions!$D76,EF!$D$132:$D$147,0))*kgtoGg</f>
        <v>1.4585147050962684E-3</v>
      </c>
      <c r="V76" s="22">
        <f>INDEX('Activity data'!V$24:V$39,MATCH(Emissions!$D76,'Activity data'!$D$24:$D$39,0))*INDEX(EF!$H$84:$H$99,MATCH(Emissions!$D76,EF!$D$84:$D$99,0))*INDEX(EF!$H$100:$H$115,MATCH(Emissions!$D76,EF!$D$100:$D$115,0))*INDEX(EF!$H$132:$H$147,MATCH(Emissions!$D76,EF!$D$132:$D$147,0))*kgtoGg</f>
        <v>8.0274840358011664E-4</v>
      </c>
      <c r="W76" s="22">
        <f>INDEX('Activity data'!W$24:W$39,MATCH(Emissions!$D76,'Activity data'!$D$24:$D$39,0))*INDEX(EF!$H$84:$H$99,MATCH(Emissions!$D76,EF!$D$84:$D$99,0))*INDEX(EF!$H$100:$H$115,MATCH(Emissions!$D76,EF!$D$100:$D$115,0))*INDEX(EF!$H$132:$H$147,MATCH(Emissions!$D76,EF!$D$132:$D$147,0))*kgtoGg</f>
        <v>1.8090104869411081E-3</v>
      </c>
      <c r="X76" s="22">
        <f>INDEX('Activity data'!X$24:X$39,MATCH(Emissions!$D76,'Activity data'!$D$24:$D$39,0))*INDEX(EF!$H$84:$H$99,MATCH(Emissions!$D76,EF!$D$84:$D$99,0))*INDEX(EF!$H$100:$H$115,MATCH(Emissions!$D76,EF!$D$100:$D$115,0))*INDEX(EF!$H$132:$H$147,MATCH(Emissions!$D76,EF!$D$132:$D$147,0))*kgtoGg</f>
        <v>1.2550010253153938E-3</v>
      </c>
      <c r="Y76" s="22">
        <f>INDEX('Activity data'!Y$24:Y$39,MATCH(Emissions!$D76,'Activity data'!$D$24:$D$39,0))*INDEX(EF!$H$84:$H$99,MATCH(Emissions!$D76,EF!$D$84:$D$99,0))*INDEX(EF!$H$100:$H$115,MATCH(Emissions!$D76,EF!$D$100:$D$115,0))*INDEX(EF!$H$132:$H$147,MATCH(Emissions!$D76,EF!$D$132:$D$147,0))*kgtoGg</f>
        <v>2.1821188998727113E-3</v>
      </c>
      <c r="Z76" s="22">
        <f>INDEX('Activity data'!Z$24:Z$39,MATCH(Emissions!$D76,'Activity data'!$D$24:$D$39,0))*INDEX(EF!$H$84:$H$99,MATCH(Emissions!$D76,EF!$D$84:$D$99,0))*INDEX(EF!$H$100:$H$115,MATCH(Emissions!$D76,EF!$D$100:$D$115,0))*INDEX(EF!$H$132:$H$147,MATCH(Emissions!$D76,EF!$D$132:$D$147,0))*kgtoGg</f>
        <v>2.7813536236719538E-3</v>
      </c>
      <c r="AA76" s="22">
        <f>INDEX('Activity data'!AA$24:AA$39,MATCH(Emissions!$D76,'Activity data'!$D$24:$D$39,0))*INDEX(EF!$H$84:$H$99,MATCH(Emissions!$D76,EF!$D$84:$D$99,0))*INDEX(EF!$H$100:$H$115,MATCH(Emissions!$D76,EF!$D$100:$D$115,0))*INDEX(EF!$H$132:$H$147,MATCH(Emissions!$D76,EF!$D$132:$D$147,0))*kgtoGg</f>
        <v>1.1871631320551021E-3</v>
      </c>
      <c r="AB76" s="22">
        <f>INDEX('Activity data'!AB$24:AB$39,MATCH(Emissions!$D76,'Activity data'!$D$24:$D$39,0))*INDEX(EF!$H$84:$H$99,MATCH(Emissions!$D76,EF!$D$84:$D$99,0))*INDEX(EF!$H$100:$H$115,MATCH(Emissions!$D76,EF!$D$100:$D$115,0))*INDEX(EF!$H$132:$H$147,MATCH(Emissions!$D76,EF!$D$132:$D$147,0))*kgtoGg</f>
        <v>1.9954808999999999E-3</v>
      </c>
      <c r="AC76" s="22">
        <f>INDEX('Activity data'!AC$24:AC$39,MATCH(Emissions!$D76,'Activity data'!$D$24:$D$39,0))*INDEX(EF!$H$84:$H$99,MATCH(Emissions!$D76,EF!$D$84:$D$99,0))*INDEX(EF!$H$100:$H$115,MATCH(Emissions!$D76,EF!$D$100:$D$115,0))*INDEX(EF!$H$132:$H$147,MATCH(Emissions!$D76,EF!$D$132:$D$147,0))*kgtoGg</f>
        <v>1.5262569E-3</v>
      </c>
      <c r="AD76" s="22">
        <f>INDEX('Activity data'!AD$24:AD$39,MATCH(Emissions!$D76,'Activity data'!$D$24:$D$39,0))*INDEX(EF!$H$84:$H$99,MATCH(Emissions!$D76,EF!$D$84:$D$99,0))*INDEX(EF!$H$100:$H$115,MATCH(Emissions!$D76,EF!$D$100:$D$115,0))*INDEX(EF!$H$132:$H$147,MATCH(Emissions!$D76,EF!$D$132:$D$147,0))*kgtoGg</f>
        <v>1.5816881190357272E-3</v>
      </c>
      <c r="AE76" s="22">
        <f>INDEX('Activity data'!AE$24:AE$39,MATCH(Emissions!$D76,'Activity data'!$D$24:$D$39,0))*INDEX(EF!$H$84:$H$99,MATCH(Emissions!$D76,EF!$D$84:$D$99,0))*INDEX(EF!$H$100:$H$115,MATCH(Emissions!$D76,EF!$D$100:$D$115,0))*INDEX(EF!$H$132:$H$147,MATCH(Emissions!$D76,EF!$D$132:$D$147,0))*kgtoGg</f>
        <v>1.5951964157097593E-3</v>
      </c>
      <c r="AF76" s="22">
        <f>INDEX('Activity data'!AF$24:AF$39,MATCH(Emissions!$D76,'Activity data'!$D$24:$D$39,0))*INDEX(EF!$H$84:$H$99,MATCH(Emissions!$D76,EF!$D$84:$D$99,0))*INDEX(EF!$H$100:$H$115,MATCH(Emissions!$D76,EF!$D$100:$D$115,0))*INDEX(EF!$H$132:$H$147,MATCH(Emissions!$D76,EF!$D$132:$D$147,0))*kgtoGg</f>
        <v>1.6087047123837911E-3</v>
      </c>
      <c r="AG76" s="22">
        <f>INDEX('Activity data'!AG$24:AG$39,MATCH(Emissions!$D76,'Activity data'!$D$24:$D$39,0))*INDEX(EF!$H$84:$H$99,MATCH(Emissions!$D76,EF!$D$84:$D$99,0))*INDEX(EF!$H$100:$H$115,MATCH(Emissions!$D76,EF!$D$100:$D$115,0))*INDEX(EF!$H$132:$H$147,MATCH(Emissions!$D76,EF!$D$132:$D$147,0))*kgtoGg</f>
        <v>1.6222130090578235E-3</v>
      </c>
      <c r="AH76" s="22">
        <f>INDEX('Activity data'!AH$24:AH$39,MATCH(Emissions!$D76,'Activity data'!$D$24:$D$39,0))*INDEX(EF!$H$84:$H$99,MATCH(Emissions!$D76,EF!$D$84:$D$99,0))*INDEX(EF!$H$100:$H$115,MATCH(Emissions!$D76,EF!$D$100:$D$115,0))*INDEX(EF!$H$132:$H$147,MATCH(Emissions!$D76,EF!$D$132:$D$147,0))*kgtoGg</f>
        <v>1.6357213057318551E-3</v>
      </c>
      <c r="AI76" s="22">
        <f>INDEX('Activity data'!AI$24:AI$39,MATCH(Emissions!$D76,'Activity data'!$D$24:$D$39,0))*INDEX(EF!$H$84:$H$99,MATCH(Emissions!$D76,EF!$D$84:$D$99,0))*INDEX(EF!$H$100:$H$115,MATCH(Emissions!$D76,EF!$D$100:$D$115,0))*INDEX(EF!$H$132:$H$147,MATCH(Emissions!$D76,EF!$D$132:$D$147,0))*kgtoGg</f>
        <v>1.6492296024058872E-3</v>
      </c>
      <c r="AJ76" s="22">
        <f>INDEX('Activity data'!AJ$24:AJ$39,MATCH(Emissions!$D76,'Activity data'!$D$24:$D$39,0))*INDEX(EF!$H$84:$H$99,MATCH(Emissions!$D76,EF!$D$84:$D$99,0))*INDEX(EF!$H$100:$H$115,MATCH(Emissions!$D76,EF!$D$100:$D$115,0))*INDEX(EF!$H$132:$H$147,MATCH(Emissions!$D76,EF!$D$132:$D$147,0))*kgtoGg</f>
        <v>1.6627378990799191E-3</v>
      </c>
      <c r="AK76" s="22">
        <f>INDEX('Activity data'!AK$24:AK$39,MATCH(Emissions!$D76,'Activity data'!$D$24:$D$39,0))*INDEX(EF!$H$84:$H$99,MATCH(Emissions!$D76,EF!$D$84:$D$99,0))*INDEX(EF!$H$100:$H$115,MATCH(Emissions!$D76,EF!$D$100:$D$115,0))*INDEX(EF!$H$132:$H$147,MATCH(Emissions!$D76,EF!$D$132:$D$147,0))*kgtoGg</f>
        <v>1.6762461957539514E-3</v>
      </c>
      <c r="AL76" s="22">
        <f>INDEX('Activity data'!AL$24:AL$39,MATCH(Emissions!$D76,'Activity data'!$D$24:$D$39,0))*INDEX(EF!$H$84:$H$99,MATCH(Emissions!$D76,EF!$D$84:$D$99,0))*INDEX(EF!$H$100:$H$115,MATCH(Emissions!$D76,EF!$D$100:$D$115,0))*INDEX(EF!$H$132:$H$147,MATCH(Emissions!$D76,EF!$D$132:$D$147,0))*kgtoGg</f>
        <v>1.6897544924279831E-3</v>
      </c>
      <c r="AM76" s="22">
        <f>INDEX('Activity data'!AM$24:AM$39,MATCH(Emissions!$D76,'Activity data'!$D$24:$D$39,0))*INDEX(EF!$H$84:$H$99,MATCH(Emissions!$D76,EF!$D$84:$D$99,0))*INDEX(EF!$H$100:$H$115,MATCH(Emissions!$D76,EF!$D$100:$D$115,0))*INDEX(EF!$H$132:$H$147,MATCH(Emissions!$D76,EF!$D$132:$D$147,0))*kgtoGg</f>
        <v>1.7032627891020152E-3</v>
      </c>
      <c r="AN76" s="22">
        <f>INDEX('Activity data'!AN$24:AN$39,MATCH(Emissions!$D76,'Activity data'!$D$24:$D$39,0))*INDEX(EF!$H$84:$H$99,MATCH(Emissions!$D76,EF!$D$84:$D$99,0))*INDEX(EF!$H$100:$H$115,MATCH(Emissions!$D76,EF!$D$100:$D$115,0))*INDEX(EF!$H$132:$H$147,MATCH(Emissions!$D76,EF!$D$132:$D$147,0))*kgtoGg</f>
        <v>1.716771085776047E-3</v>
      </c>
      <c r="AO76" s="22">
        <f>INDEX('Activity data'!AO$24:AO$39,MATCH(Emissions!$D76,'Activity data'!$D$24:$D$39,0))*INDEX(EF!$H$84:$H$99,MATCH(Emissions!$D76,EF!$D$84:$D$99,0))*INDEX(EF!$H$100:$H$115,MATCH(Emissions!$D76,EF!$D$100:$D$115,0))*INDEX(EF!$H$132:$H$147,MATCH(Emissions!$D76,EF!$D$132:$D$147,0))*kgtoGg</f>
        <v>1.7302793824500789E-3</v>
      </c>
      <c r="AP76" s="22">
        <f>INDEX('Activity data'!AP$24:AP$39,MATCH(Emissions!$D76,'Activity data'!$D$24:$D$39,0))*INDEX(EF!$H$84:$H$99,MATCH(Emissions!$D76,EF!$D$84:$D$99,0))*INDEX(EF!$H$100:$H$115,MATCH(Emissions!$D76,EF!$D$100:$D$115,0))*INDEX(EF!$H$132:$H$147,MATCH(Emissions!$D76,EF!$D$132:$D$147,0))*kgtoGg</f>
        <v>1.7437876791241112E-3</v>
      </c>
      <c r="AQ76" s="22">
        <f>INDEX('Activity data'!AQ$24:AQ$39,MATCH(Emissions!$D76,'Activity data'!$D$24:$D$39,0))*INDEX(EF!$H$84:$H$99,MATCH(Emissions!$D76,EF!$D$84:$D$99,0))*INDEX(EF!$H$100:$H$115,MATCH(Emissions!$D76,EF!$D$100:$D$115,0))*INDEX(EF!$H$132:$H$147,MATCH(Emissions!$D76,EF!$D$132:$D$147,0))*kgtoGg</f>
        <v>1.7572959757981431E-3</v>
      </c>
      <c r="AR76" s="22">
        <f>INDEX('Activity data'!AR$24:AR$39,MATCH(Emissions!$D76,'Activity data'!$D$24:$D$39,0))*INDEX(EF!$H$84:$H$99,MATCH(Emissions!$D76,EF!$D$84:$D$99,0))*INDEX(EF!$H$100:$H$115,MATCH(Emissions!$D76,EF!$D$100:$D$115,0))*INDEX(EF!$H$132:$H$147,MATCH(Emissions!$D76,EF!$D$132:$D$147,0))*kgtoGg</f>
        <v>1.7708042724721754E-3</v>
      </c>
      <c r="AS76" s="22">
        <f>INDEX('Activity data'!AS$24:AS$39,MATCH(Emissions!$D76,'Activity data'!$D$24:$D$39,0))*INDEX(EF!$H$84:$H$99,MATCH(Emissions!$D76,EF!$D$84:$D$99,0))*INDEX(EF!$H$100:$H$115,MATCH(Emissions!$D76,EF!$D$100:$D$115,0))*INDEX(EF!$H$132:$H$147,MATCH(Emissions!$D76,EF!$D$132:$D$147,0))*kgtoGg</f>
        <v>1.7843125691462071E-3</v>
      </c>
      <c r="AT76" s="22">
        <f>INDEX('Activity data'!AT$24:AT$39,MATCH(Emissions!$D76,'Activity data'!$D$24:$D$39,0))*INDEX(EF!$H$84:$H$99,MATCH(Emissions!$D76,EF!$D$84:$D$99,0))*INDEX(EF!$H$100:$H$115,MATCH(Emissions!$D76,EF!$D$100:$D$115,0))*INDEX(EF!$H$132:$H$147,MATCH(Emissions!$D76,EF!$D$132:$D$147,0))*kgtoGg</f>
        <v>1.7978208658202392E-3</v>
      </c>
      <c r="AU76" s="22">
        <f>INDEX('Activity data'!AU$24:AU$39,MATCH(Emissions!$D76,'Activity data'!$D$24:$D$39,0))*INDEX(EF!$H$84:$H$99,MATCH(Emissions!$D76,EF!$D$84:$D$99,0))*INDEX(EF!$H$100:$H$115,MATCH(Emissions!$D76,EF!$D$100:$D$115,0))*INDEX(EF!$H$132:$H$147,MATCH(Emissions!$D76,EF!$D$132:$D$147,0))*kgtoGg</f>
        <v>1.8113291624942711E-3</v>
      </c>
      <c r="AV76" s="22">
        <f>INDEX('Activity data'!AV$24:AV$39,MATCH(Emissions!$D76,'Activity data'!$D$24:$D$39,0))*INDEX(EF!$H$84:$H$99,MATCH(Emissions!$D76,EF!$D$84:$D$99,0))*INDEX(EF!$H$100:$H$115,MATCH(Emissions!$D76,EF!$D$100:$D$115,0))*INDEX(EF!$H$132:$H$147,MATCH(Emissions!$D76,EF!$D$132:$D$147,0))*kgtoGg</f>
        <v>1.8248374591683034E-3</v>
      </c>
      <c r="AW76" s="22">
        <f>INDEX('Activity data'!AW$24:AW$39,MATCH(Emissions!$D76,'Activity data'!$D$24:$D$39,0))*INDEX(EF!$H$84:$H$99,MATCH(Emissions!$D76,EF!$D$84:$D$99,0))*INDEX(EF!$H$100:$H$115,MATCH(Emissions!$D76,EF!$D$100:$D$115,0))*INDEX(EF!$H$132:$H$147,MATCH(Emissions!$D76,EF!$D$132:$D$147,0))*kgtoGg</f>
        <v>1.838345755842335E-3</v>
      </c>
      <c r="AX76" s="22">
        <f>INDEX('Activity data'!AX$24:AX$39,MATCH(Emissions!$D76,'Activity data'!$D$24:$D$39,0))*INDEX(EF!$H$84:$H$99,MATCH(Emissions!$D76,EF!$D$84:$D$99,0))*INDEX(EF!$H$100:$H$115,MATCH(Emissions!$D76,EF!$D$100:$D$115,0))*INDEX(EF!$H$132:$H$147,MATCH(Emissions!$D76,EF!$D$132:$D$147,0))*kgtoGg</f>
        <v>1.8518540525163671E-3</v>
      </c>
      <c r="AY76" s="22">
        <f>INDEX('Activity data'!AY$24:AY$39,MATCH(Emissions!$D76,'Activity data'!$D$24:$D$39,0))*INDEX(EF!$H$84:$H$99,MATCH(Emissions!$D76,EF!$D$84:$D$99,0))*INDEX(EF!$H$100:$H$115,MATCH(Emissions!$D76,EF!$D$100:$D$115,0))*INDEX(EF!$H$132:$H$147,MATCH(Emissions!$D76,EF!$D$132:$D$147,0))*kgtoGg</f>
        <v>1.865362349190399E-3</v>
      </c>
      <c r="AZ76" s="22">
        <f>INDEX('Activity data'!AZ$24:AZ$39,MATCH(Emissions!$D76,'Activity data'!$D$24:$D$39,0))*INDEX(EF!$H$84:$H$99,MATCH(Emissions!$D76,EF!$D$84:$D$99,0))*INDEX(EF!$H$100:$H$115,MATCH(Emissions!$D76,EF!$D$100:$D$115,0))*INDEX(EF!$H$132:$H$147,MATCH(Emissions!$D76,EF!$D$132:$D$147,0))*kgtoGg</f>
        <v>1.8788706458644309E-3</v>
      </c>
      <c r="BA76" s="22">
        <f>INDEX('Activity data'!BA$24:BA$39,MATCH(Emissions!$D76,'Activity data'!$D$24:$D$39,0))*INDEX(EF!$H$84:$H$99,MATCH(Emissions!$D76,EF!$D$84:$D$99,0))*INDEX(EF!$H$100:$H$115,MATCH(Emissions!$D76,EF!$D$100:$D$115,0))*INDEX(EF!$H$132:$H$147,MATCH(Emissions!$D76,EF!$D$132:$D$147,0))*kgtoGg</f>
        <v>1.892378942538463E-3</v>
      </c>
      <c r="BB76" s="22">
        <f>INDEX('Activity data'!BB$24:BB$39,MATCH(Emissions!$D76,'Activity data'!$D$24:$D$39,0))*INDEX(EF!$H$84:$H$99,MATCH(Emissions!$D76,EF!$D$84:$D$99,0))*INDEX(EF!$H$100:$H$115,MATCH(Emissions!$D76,EF!$D$100:$D$115,0))*INDEX(EF!$H$132:$H$147,MATCH(Emissions!$D76,EF!$D$132:$D$147,0))*kgtoGg</f>
        <v>1.9058872392124951E-3</v>
      </c>
      <c r="BC76" s="22">
        <f>INDEX('Activity data'!BC$24:BC$39,MATCH(Emissions!$D76,'Activity data'!$D$24:$D$39,0))*INDEX(EF!$H$84:$H$99,MATCH(Emissions!$D76,EF!$D$84:$D$99,0))*INDEX(EF!$H$100:$H$115,MATCH(Emissions!$D76,EF!$D$100:$D$115,0))*INDEX(EF!$H$132:$H$147,MATCH(Emissions!$D76,EF!$D$132:$D$147,0))*kgtoGg</f>
        <v>1.9193955358865269E-3</v>
      </c>
      <c r="BD76" s="22">
        <f>INDEX('Activity data'!BD$24:BD$39,MATCH(Emissions!$D76,'Activity data'!$D$24:$D$39,0))*INDEX(EF!$H$84:$H$99,MATCH(Emissions!$D76,EF!$D$84:$D$99,0))*INDEX(EF!$H$100:$H$115,MATCH(Emissions!$D76,EF!$D$100:$D$115,0))*INDEX(EF!$H$132:$H$147,MATCH(Emissions!$D76,EF!$D$132:$D$147,0))*kgtoGg</f>
        <v>1.932903832560559E-3</v>
      </c>
      <c r="BE76" s="22">
        <f>INDEX('Activity data'!BE$24:BE$39,MATCH(Emissions!$D76,'Activity data'!$D$24:$D$39,0))*INDEX(EF!$H$84:$H$99,MATCH(Emissions!$D76,EF!$D$84:$D$99,0))*INDEX(EF!$H$100:$H$115,MATCH(Emissions!$D76,EF!$D$100:$D$115,0))*INDEX(EF!$H$132:$H$147,MATCH(Emissions!$D76,EF!$D$132:$D$147,0))*kgtoGg</f>
        <v>1.9464121292345907E-3</v>
      </c>
      <c r="BF76" s="22">
        <f>INDEX('Activity data'!BF$24:BF$39,MATCH(Emissions!$D76,'Activity data'!$D$24:$D$39,0))*INDEX(EF!$H$84:$H$99,MATCH(Emissions!$D76,EF!$D$84:$D$99,0))*INDEX(EF!$H$100:$H$115,MATCH(Emissions!$D76,EF!$D$100:$D$115,0))*INDEX(EF!$H$132:$H$147,MATCH(Emissions!$D76,EF!$D$132:$D$147,0))*kgtoGg</f>
        <v>1.959920425908623E-3</v>
      </c>
      <c r="BG76" s="22">
        <f>INDEX('Activity data'!BG$24:BG$39,MATCH(Emissions!$D76,'Activity data'!$D$24:$D$39,0))*INDEX(EF!$H$84:$H$99,MATCH(Emissions!$D76,EF!$D$84:$D$99,0))*INDEX(EF!$H$100:$H$115,MATCH(Emissions!$D76,EF!$D$100:$D$115,0))*INDEX(EF!$H$132:$H$147,MATCH(Emissions!$D76,EF!$D$132:$D$147,0))*kgtoGg</f>
        <v>1.9734287225826549E-3</v>
      </c>
      <c r="BH76" s="22">
        <f>INDEX('Activity data'!BH$24:BH$39,MATCH(Emissions!$D76,'Activity data'!$D$24:$D$39,0))*INDEX(EF!$H$84:$H$99,MATCH(Emissions!$D76,EF!$D$84:$D$99,0))*INDEX(EF!$H$100:$H$115,MATCH(Emissions!$D76,EF!$D$100:$D$115,0))*INDEX(EF!$H$132:$H$147,MATCH(Emissions!$D76,EF!$D$132:$D$147,0))*kgtoGg</f>
        <v>1.9869370192566872E-3</v>
      </c>
      <c r="BI76" s="22">
        <f>INDEX('Activity data'!BI$24:BI$39,MATCH(Emissions!$D76,'Activity data'!$D$24:$D$39,0))*INDEX(EF!$H$84:$H$99,MATCH(Emissions!$D76,EF!$D$84:$D$99,0))*INDEX(EF!$H$100:$H$115,MATCH(Emissions!$D76,EF!$D$100:$D$115,0))*INDEX(EF!$H$132:$H$147,MATCH(Emissions!$D76,EF!$D$132:$D$147,0))*kgtoGg</f>
        <v>2.0004453159307187E-3</v>
      </c>
      <c r="BJ76" s="22">
        <f>INDEX('Activity data'!BJ$24:BJ$39,MATCH(Emissions!$D76,'Activity data'!$D$24:$D$39,0))*INDEX(EF!$H$84:$H$99,MATCH(Emissions!$D76,EF!$D$84:$D$99,0))*INDEX(EF!$H$100:$H$115,MATCH(Emissions!$D76,EF!$D$100:$D$115,0))*INDEX(EF!$H$132:$H$147,MATCH(Emissions!$D76,EF!$D$132:$D$147,0))*kgtoGg</f>
        <v>2.013953612604751E-3</v>
      </c>
      <c r="BK76" s="22">
        <f>INDEX('Activity data'!BK$24:BK$39,MATCH(Emissions!$D76,'Activity data'!$D$24:$D$39,0))*INDEX(EF!$H$84:$H$99,MATCH(Emissions!$D76,EF!$D$84:$D$99,0))*INDEX(EF!$H$100:$H$115,MATCH(Emissions!$D76,EF!$D$100:$D$115,0))*INDEX(EF!$H$132:$H$147,MATCH(Emissions!$D76,EF!$D$132:$D$147,0))*kgtoGg</f>
        <v>2.0274619092787828E-3</v>
      </c>
      <c r="BL76" s="22">
        <f>INDEX('Activity data'!BL$24:BL$39,MATCH(Emissions!$D76,'Activity data'!$D$24:$D$39,0))*INDEX(EF!$H$84:$H$99,MATCH(Emissions!$D76,EF!$D$84:$D$99,0))*INDEX(EF!$H$100:$H$115,MATCH(Emissions!$D76,EF!$D$100:$D$115,0))*INDEX(EF!$H$132:$H$147,MATCH(Emissions!$D76,EF!$D$132:$D$147,0))*kgtoGg</f>
        <v>2.0409702059528147E-3</v>
      </c>
      <c r="BM76" s="22">
        <f>INDEX('Activity data'!BM$24:BM$39,MATCH(Emissions!$D76,'Activity data'!$D$24:$D$39,0))*INDEX(EF!$H$84:$H$99,MATCH(Emissions!$D76,EF!$D$84:$D$99,0))*INDEX(EF!$H$100:$H$115,MATCH(Emissions!$D76,EF!$D$100:$D$115,0))*INDEX(EF!$H$132:$H$147,MATCH(Emissions!$D76,EF!$D$132:$D$147,0))*kgtoGg</f>
        <v>2.0544785026268466E-3</v>
      </c>
      <c r="BN76" s="22">
        <f>INDEX('Activity data'!BN$24:BN$39,MATCH(Emissions!$D76,'Activity data'!$D$24:$D$39,0))*INDEX(EF!$H$84:$H$99,MATCH(Emissions!$D76,EF!$D$84:$D$99,0))*INDEX(EF!$H$100:$H$115,MATCH(Emissions!$D76,EF!$D$100:$D$115,0))*INDEX(EF!$H$132:$H$147,MATCH(Emissions!$D76,EF!$D$132:$D$147,0))*kgtoGg</f>
        <v>2.0679867993008789E-3</v>
      </c>
      <c r="BO76" s="22">
        <f>INDEX('Activity data'!BO$24:BO$39,MATCH(Emissions!$D76,'Activity data'!$D$24:$D$39,0))*INDEX(EF!$H$84:$H$99,MATCH(Emissions!$D76,EF!$D$84:$D$99,0))*INDEX(EF!$H$100:$H$115,MATCH(Emissions!$D76,EF!$D$100:$D$115,0))*INDEX(EF!$H$132:$H$147,MATCH(Emissions!$D76,EF!$D$132:$D$147,0))*kgtoGg</f>
        <v>2.0814950959749112E-3</v>
      </c>
      <c r="BP76" s="22">
        <f>INDEX('Activity data'!BP$24:BP$39,MATCH(Emissions!$D76,'Activity data'!$D$24:$D$39,0))*INDEX(EF!$H$84:$H$99,MATCH(Emissions!$D76,EF!$D$84:$D$99,0))*INDEX(EF!$H$100:$H$115,MATCH(Emissions!$D76,EF!$D$100:$D$115,0))*INDEX(EF!$H$132:$H$147,MATCH(Emissions!$D76,EF!$D$132:$D$147,0))*kgtoGg</f>
        <v>2.0950033926489427E-3</v>
      </c>
    </row>
    <row r="77" spans="1:68" x14ac:dyDescent="0.25">
      <c r="A77" t="str">
        <f t="shared" si="19"/>
        <v>3C Aggregated and non-CO2 emissions on land</v>
      </c>
      <c r="B77" t="str">
        <f t="shared" si="26"/>
        <v>3C1 Biomass burning (N2O)</v>
      </c>
      <c r="C77" t="str">
        <f t="shared" si="25"/>
        <v>3C1b Biomass burning in Croplands</v>
      </c>
      <c r="D77" t="str">
        <f>EF!D107</f>
        <v>Perennial vineyards</v>
      </c>
      <c r="E77" t="s">
        <v>648</v>
      </c>
      <c r="F77" t="str">
        <f t="shared" si="27"/>
        <v>N2O</v>
      </c>
      <c r="G77" t="str">
        <f t="shared" si="28"/>
        <v>Gg N2O</v>
      </c>
      <c r="H77" s="22">
        <f>INDEX('Activity data'!H$24:H$39,MATCH(Emissions!$D77,'Activity data'!$D$24:$D$39,0))*INDEX(EF!$H$84:$H$99,MATCH(Emissions!$D77,EF!$D$84:$D$99,0))*INDEX(EF!$H$100:$H$115,MATCH(Emissions!$D77,EF!$D$100:$D$115,0))*INDEX(EF!$H$132:$H$147,MATCH(Emissions!$D77,EF!$D$132:$D$147,0))*kgtoGg</f>
        <v>3.1883809832337033E-4</v>
      </c>
      <c r="I77" s="22">
        <f>INDEX('Activity data'!I$24:I$39,MATCH(Emissions!$D77,'Activity data'!$D$24:$D$39,0))*INDEX(EF!$H$84:$H$99,MATCH(Emissions!$D77,EF!$D$84:$D$99,0))*INDEX(EF!$H$100:$H$115,MATCH(Emissions!$D77,EF!$D$100:$D$115,0))*INDEX(EF!$H$132:$H$147,MATCH(Emissions!$D77,EF!$D$132:$D$147,0))*kgtoGg</f>
        <v>3.1883809832337033E-4</v>
      </c>
      <c r="J77" s="22">
        <f>INDEX('Activity data'!J$24:J$39,MATCH(Emissions!$D77,'Activity data'!$D$24:$D$39,0))*INDEX(EF!$H$84:$H$99,MATCH(Emissions!$D77,EF!$D$84:$D$99,0))*INDEX(EF!$H$100:$H$115,MATCH(Emissions!$D77,EF!$D$100:$D$115,0))*INDEX(EF!$H$132:$H$147,MATCH(Emissions!$D77,EF!$D$132:$D$147,0))*kgtoGg</f>
        <v>3.1883809832337033E-4</v>
      </c>
      <c r="K77" s="22">
        <f>INDEX('Activity data'!K$24:K$39,MATCH(Emissions!$D77,'Activity data'!$D$24:$D$39,0))*INDEX(EF!$H$84:$H$99,MATCH(Emissions!$D77,EF!$D$84:$D$99,0))*INDEX(EF!$H$100:$H$115,MATCH(Emissions!$D77,EF!$D$100:$D$115,0))*INDEX(EF!$H$132:$H$147,MATCH(Emissions!$D77,EF!$D$132:$D$147,0))*kgtoGg</f>
        <v>3.1883809832337033E-4</v>
      </c>
      <c r="L77" s="22">
        <f>INDEX('Activity data'!L$24:L$39,MATCH(Emissions!$D77,'Activity data'!$D$24:$D$39,0))*INDEX(EF!$H$84:$H$99,MATCH(Emissions!$D77,EF!$D$84:$D$99,0))*INDEX(EF!$H$100:$H$115,MATCH(Emissions!$D77,EF!$D$100:$D$115,0))*INDEX(EF!$H$132:$H$147,MATCH(Emissions!$D77,EF!$D$132:$D$147,0))*kgtoGg</f>
        <v>3.1883809832337033E-4</v>
      </c>
      <c r="M77" s="22">
        <f>INDEX('Activity data'!M$24:M$39,MATCH(Emissions!$D77,'Activity data'!$D$24:$D$39,0))*INDEX(EF!$H$84:$H$99,MATCH(Emissions!$D77,EF!$D$84:$D$99,0))*INDEX(EF!$H$100:$H$115,MATCH(Emissions!$D77,EF!$D$100:$D$115,0))*INDEX(EF!$H$132:$H$147,MATCH(Emissions!$D77,EF!$D$132:$D$147,0))*kgtoGg</f>
        <v>3.1883809832337033E-4</v>
      </c>
      <c r="N77" s="22">
        <f>INDEX('Activity data'!N$24:N$39,MATCH(Emissions!$D77,'Activity data'!$D$24:$D$39,0))*INDEX(EF!$H$84:$H$99,MATCH(Emissions!$D77,EF!$D$84:$D$99,0))*INDEX(EF!$H$100:$H$115,MATCH(Emissions!$D77,EF!$D$100:$D$115,0))*INDEX(EF!$H$132:$H$147,MATCH(Emissions!$D77,EF!$D$132:$D$147,0))*kgtoGg</f>
        <v>3.1883809832337033E-4</v>
      </c>
      <c r="O77" s="22">
        <f>INDEX('Activity data'!O$24:O$39,MATCH(Emissions!$D77,'Activity data'!$D$24:$D$39,0))*INDEX(EF!$H$84:$H$99,MATCH(Emissions!$D77,EF!$D$84:$D$99,0))*INDEX(EF!$H$100:$H$115,MATCH(Emissions!$D77,EF!$D$100:$D$115,0))*INDEX(EF!$H$132:$H$147,MATCH(Emissions!$D77,EF!$D$132:$D$147,0))*kgtoGg</f>
        <v>3.1883809832337033E-4</v>
      </c>
      <c r="P77" s="22">
        <f>INDEX('Activity data'!P$24:P$39,MATCH(Emissions!$D77,'Activity data'!$D$24:$D$39,0))*INDEX(EF!$H$84:$H$99,MATCH(Emissions!$D77,EF!$D$84:$D$99,0))*INDEX(EF!$H$100:$H$115,MATCH(Emissions!$D77,EF!$D$100:$D$115,0))*INDEX(EF!$H$132:$H$147,MATCH(Emissions!$D77,EF!$D$132:$D$147,0))*kgtoGg</f>
        <v>3.1883809832337033E-4</v>
      </c>
      <c r="Q77" s="22">
        <f>INDEX('Activity data'!Q$24:Q$39,MATCH(Emissions!$D77,'Activity data'!$D$24:$D$39,0))*INDEX(EF!$H$84:$H$99,MATCH(Emissions!$D77,EF!$D$84:$D$99,0))*INDEX(EF!$H$100:$H$115,MATCH(Emissions!$D77,EF!$D$100:$D$115,0))*INDEX(EF!$H$132:$H$147,MATCH(Emissions!$D77,EF!$D$132:$D$147,0))*kgtoGg</f>
        <v>3.1883809832337033E-4</v>
      </c>
      <c r="R77" s="22">
        <f>INDEX('Activity data'!R$24:R$39,MATCH(Emissions!$D77,'Activity data'!$D$24:$D$39,0))*INDEX(EF!$H$84:$H$99,MATCH(Emissions!$D77,EF!$D$84:$D$99,0))*INDEX(EF!$H$100:$H$115,MATCH(Emissions!$D77,EF!$D$100:$D$115,0))*INDEX(EF!$H$132:$H$147,MATCH(Emissions!$D77,EF!$D$132:$D$147,0))*kgtoGg</f>
        <v>4.9747788390880473E-4</v>
      </c>
      <c r="S77" s="22">
        <f>INDEX('Activity data'!S$24:S$39,MATCH(Emissions!$D77,'Activity data'!$D$24:$D$39,0))*INDEX(EF!$H$84:$H$99,MATCH(Emissions!$D77,EF!$D$84:$D$99,0))*INDEX(EF!$H$100:$H$115,MATCH(Emissions!$D77,EF!$D$100:$D$115,0))*INDEX(EF!$H$132:$H$147,MATCH(Emissions!$D77,EF!$D$132:$D$147,0))*kgtoGg</f>
        <v>3.2788315075807579E-4</v>
      </c>
      <c r="T77" s="22">
        <f>INDEX('Activity data'!T$24:T$39,MATCH(Emissions!$D77,'Activity data'!$D$24:$D$39,0))*INDEX(EF!$H$84:$H$99,MATCH(Emissions!$D77,EF!$D$84:$D$99,0))*INDEX(EF!$H$100:$H$115,MATCH(Emissions!$D77,EF!$D$100:$D$115,0))*INDEX(EF!$H$132:$H$147,MATCH(Emissions!$D77,EF!$D$132:$D$147,0))*kgtoGg</f>
        <v>2.600452574977842E-4</v>
      </c>
      <c r="U77" s="22">
        <f>INDEX('Activity data'!U$24:U$39,MATCH(Emissions!$D77,'Activity data'!$D$24:$D$39,0))*INDEX(EF!$H$84:$H$99,MATCH(Emissions!$D77,EF!$D$84:$D$99,0))*INDEX(EF!$H$100:$H$115,MATCH(Emissions!$D77,EF!$D$100:$D$115,0))*INDEX(EF!$H$132:$H$147,MATCH(Emissions!$D77,EF!$D$132:$D$147,0))*kgtoGg</f>
        <v>4.0702735956174937E-4</v>
      </c>
      <c r="V77" s="22">
        <f>INDEX('Activity data'!V$24:V$39,MATCH(Emissions!$D77,'Activity data'!$D$24:$D$39,0))*INDEX(EF!$H$84:$H$99,MATCH(Emissions!$D77,EF!$D$84:$D$99,0))*INDEX(EF!$H$100:$H$115,MATCH(Emissions!$D77,EF!$D$100:$D$115,0))*INDEX(EF!$H$132:$H$147,MATCH(Emissions!$D77,EF!$D$132:$D$147,0))*kgtoGg</f>
        <v>1.0175683989043734E-4</v>
      </c>
      <c r="W77" s="22">
        <f>INDEX('Activity data'!W$24:W$39,MATCH(Emissions!$D77,'Activity data'!$D$24:$D$39,0))*INDEX(EF!$H$84:$H$99,MATCH(Emissions!$D77,EF!$D$84:$D$99,0))*INDEX(EF!$H$100:$H$115,MATCH(Emissions!$D77,EF!$D$100:$D$115,0))*INDEX(EF!$H$132:$H$147,MATCH(Emissions!$D77,EF!$D$132:$D$147,0))*kgtoGg</f>
        <v>2.8265788858454824E-4</v>
      </c>
      <c r="X77" s="22">
        <f>INDEX('Activity data'!X$24:X$39,MATCH(Emissions!$D77,'Activity data'!$D$24:$D$39,0))*INDEX(EF!$H$84:$H$99,MATCH(Emissions!$D77,EF!$D$84:$D$99,0))*INDEX(EF!$H$100:$H$115,MATCH(Emissions!$D77,EF!$D$100:$D$115,0))*INDEX(EF!$H$132:$H$147,MATCH(Emissions!$D77,EF!$D$132:$D$147,0))*kgtoGg</f>
        <v>5.6531577716909648E-4</v>
      </c>
      <c r="Y77" s="22">
        <f>INDEX('Activity data'!Y$24:Y$39,MATCH(Emissions!$D77,'Activity data'!$D$24:$D$39,0))*INDEX(EF!$H$84:$H$99,MATCH(Emissions!$D77,EF!$D$84:$D$99,0))*INDEX(EF!$H$100:$H$115,MATCH(Emissions!$D77,EF!$D$100:$D$115,0))*INDEX(EF!$H$132:$H$147,MATCH(Emissions!$D77,EF!$D$132:$D$147,0))*kgtoGg</f>
        <v>2.7135157304116619E-4</v>
      </c>
      <c r="Z77" s="22">
        <f>INDEX('Activity data'!Z$24:Z$39,MATCH(Emissions!$D77,'Activity data'!$D$24:$D$39,0))*INDEX(EF!$H$84:$H$99,MATCH(Emissions!$D77,EF!$D$84:$D$99,0))*INDEX(EF!$H$100:$H$115,MATCH(Emissions!$D77,EF!$D$100:$D$115,0))*INDEX(EF!$H$132:$H$147,MATCH(Emissions!$D77,EF!$D$132:$D$147,0))*kgtoGg</f>
        <v>2.0351367978087469E-4</v>
      </c>
      <c r="AA77" s="22">
        <f>INDEX('Activity data'!AA$24:AA$39,MATCH(Emissions!$D77,'Activity data'!$D$24:$D$39,0))*INDEX(EF!$H$84:$H$99,MATCH(Emissions!$D77,EF!$D$84:$D$99,0))*INDEX(EF!$H$100:$H$115,MATCH(Emissions!$D77,EF!$D$100:$D$115,0))*INDEX(EF!$H$132:$H$147,MATCH(Emissions!$D77,EF!$D$132:$D$147,0))*kgtoGg</f>
        <v>3.0527051967131201E-4</v>
      </c>
      <c r="AB77" s="22">
        <f>INDEX('Activity data'!AB$24:AB$39,MATCH(Emissions!$D77,'Activity data'!$D$24:$D$39,0))*INDEX(EF!$H$84:$H$99,MATCH(Emissions!$D77,EF!$D$84:$D$99,0))*INDEX(EF!$H$100:$H$115,MATCH(Emissions!$D77,EF!$D$100:$D$115,0))*INDEX(EF!$H$132:$H$147,MATCH(Emissions!$D77,EF!$D$132:$D$147,0))*kgtoGg</f>
        <v>5.0670899999999994E-4</v>
      </c>
      <c r="AC77" s="22">
        <f>INDEX('Activity data'!AC$24:AC$39,MATCH(Emissions!$D77,'Activity data'!$D$24:$D$39,0))*INDEX(EF!$H$84:$H$99,MATCH(Emissions!$D77,EF!$D$84:$D$99,0))*INDEX(EF!$H$100:$H$115,MATCH(Emissions!$D77,EF!$D$100:$D$115,0))*INDEX(EF!$H$132:$H$147,MATCH(Emissions!$D77,EF!$D$132:$D$147,0))*kgtoGg</f>
        <v>1.3369797000000003E-3</v>
      </c>
      <c r="AD77" s="22">
        <f>INDEX('Activity data'!AD$24:AD$39,MATCH(Emissions!$D77,'Activity data'!$D$24:$D$39,0))*INDEX(EF!$H$84:$H$99,MATCH(Emissions!$D77,EF!$D$84:$D$99,0))*INDEX(EF!$H$100:$H$115,MATCH(Emissions!$D77,EF!$D$100:$D$115,0))*INDEX(EF!$H$132:$H$147,MATCH(Emissions!$D77,EF!$D$132:$D$147,0))*kgtoGg</f>
        <v>4.3710094215939618E-4</v>
      </c>
      <c r="AE77" s="22">
        <f>INDEX('Activity data'!AE$24:AE$39,MATCH(Emissions!$D77,'Activity data'!$D$24:$D$39,0))*INDEX(EF!$H$84:$H$99,MATCH(Emissions!$D77,EF!$D$84:$D$99,0))*INDEX(EF!$H$100:$H$115,MATCH(Emissions!$D77,EF!$D$100:$D$115,0))*INDEX(EF!$H$132:$H$147,MATCH(Emissions!$D77,EF!$D$132:$D$147,0))*kgtoGg</f>
        <v>4.3997905246480524E-4</v>
      </c>
      <c r="AF77" s="22">
        <f>INDEX('Activity data'!AF$24:AF$39,MATCH(Emissions!$D77,'Activity data'!$D$24:$D$39,0))*INDEX(EF!$H$84:$H$99,MATCH(Emissions!$D77,EF!$D$84:$D$99,0))*INDEX(EF!$H$100:$H$115,MATCH(Emissions!$D77,EF!$D$100:$D$115,0))*INDEX(EF!$H$132:$H$147,MATCH(Emissions!$D77,EF!$D$132:$D$147,0))*kgtoGg</f>
        <v>4.4285716277021425E-4</v>
      </c>
      <c r="AG77" s="22">
        <f>INDEX('Activity data'!AG$24:AG$39,MATCH(Emissions!$D77,'Activity data'!$D$24:$D$39,0))*INDEX(EF!$H$84:$H$99,MATCH(Emissions!$D77,EF!$D$84:$D$99,0))*INDEX(EF!$H$100:$H$115,MATCH(Emissions!$D77,EF!$D$100:$D$115,0))*INDEX(EF!$H$132:$H$147,MATCH(Emissions!$D77,EF!$D$132:$D$147,0))*kgtoGg</f>
        <v>4.4573527307562326E-4</v>
      </c>
      <c r="AH77" s="22">
        <f>INDEX('Activity data'!AH$24:AH$39,MATCH(Emissions!$D77,'Activity data'!$D$24:$D$39,0))*INDEX(EF!$H$84:$H$99,MATCH(Emissions!$D77,EF!$D$84:$D$99,0))*INDEX(EF!$H$100:$H$115,MATCH(Emissions!$D77,EF!$D$100:$D$115,0))*INDEX(EF!$H$132:$H$147,MATCH(Emissions!$D77,EF!$D$132:$D$147,0))*kgtoGg</f>
        <v>4.4861338338103221E-4</v>
      </c>
      <c r="AI77" s="22">
        <f>INDEX('Activity data'!AI$24:AI$39,MATCH(Emissions!$D77,'Activity data'!$D$24:$D$39,0))*INDEX(EF!$H$84:$H$99,MATCH(Emissions!$D77,EF!$D$84:$D$99,0))*INDEX(EF!$H$100:$H$115,MATCH(Emissions!$D77,EF!$D$100:$D$115,0))*INDEX(EF!$H$132:$H$147,MATCH(Emissions!$D77,EF!$D$132:$D$147,0))*kgtoGg</f>
        <v>4.5149149368644122E-4</v>
      </c>
      <c r="AJ77" s="22">
        <f>INDEX('Activity data'!AJ$24:AJ$39,MATCH(Emissions!$D77,'Activity data'!$D$24:$D$39,0))*INDEX(EF!$H$84:$H$99,MATCH(Emissions!$D77,EF!$D$84:$D$99,0))*INDEX(EF!$H$100:$H$115,MATCH(Emissions!$D77,EF!$D$100:$D$115,0))*INDEX(EF!$H$132:$H$147,MATCH(Emissions!$D77,EF!$D$132:$D$147,0))*kgtoGg</f>
        <v>4.5436960399185023E-4</v>
      </c>
      <c r="AK77" s="22">
        <f>INDEX('Activity data'!AK$24:AK$39,MATCH(Emissions!$D77,'Activity data'!$D$24:$D$39,0))*INDEX(EF!$H$84:$H$99,MATCH(Emissions!$D77,EF!$D$84:$D$99,0))*INDEX(EF!$H$100:$H$115,MATCH(Emissions!$D77,EF!$D$100:$D$115,0))*INDEX(EF!$H$132:$H$147,MATCH(Emissions!$D77,EF!$D$132:$D$147,0))*kgtoGg</f>
        <v>4.5724771429725918E-4</v>
      </c>
      <c r="AL77" s="22">
        <f>INDEX('Activity data'!AL$24:AL$39,MATCH(Emissions!$D77,'Activity data'!$D$24:$D$39,0))*INDEX(EF!$H$84:$H$99,MATCH(Emissions!$D77,EF!$D$84:$D$99,0))*INDEX(EF!$H$100:$H$115,MATCH(Emissions!$D77,EF!$D$100:$D$115,0))*INDEX(EF!$H$132:$H$147,MATCH(Emissions!$D77,EF!$D$132:$D$147,0))*kgtoGg</f>
        <v>4.601258246026683E-4</v>
      </c>
      <c r="AM77" s="22">
        <f>INDEX('Activity data'!AM$24:AM$39,MATCH(Emissions!$D77,'Activity data'!$D$24:$D$39,0))*INDEX(EF!$H$84:$H$99,MATCH(Emissions!$D77,EF!$D$84:$D$99,0))*INDEX(EF!$H$100:$H$115,MATCH(Emissions!$D77,EF!$D$100:$D$115,0))*INDEX(EF!$H$132:$H$147,MATCH(Emissions!$D77,EF!$D$132:$D$147,0))*kgtoGg</f>
        <v>4.630039349080773E-4</v>
      </c>
      <c r="AN77" s="22">
        <f>INDEX('Activity data'!AN$24:AN$39,MATCH(Emissions!$D77,'Activity data'!$D$24:$D$39,0))*INDEX(EF!$H$84:$H$99,MATCH(Emissions!$D77,EF!$D$84:$D$99,0))*INDEX(EF!$H$100:$H$115,MATCH(Emissions!$D77,EF!$D$100:$D$115,0))*INDEX(EF!$H$132:$H$147,MATCH(Emissions!$D77,EF!$D$132:$D$147,0))*kgtoGg</f>
        <v>4.6588204521348631E-4</v>
      </c>
      <c r="AO77" s="22">
        <f>INDEX('Activity data'!AO$24:AO$39,MATCH(Emissions!$D77,'Activity data'!$D$24:$D$39,0))*INDEX(EF!$H$84:$H$99,MATCH(Emissions!$D77,EF!$D$84:$D$99,0))*INDEX(EF!$H$100:$H$115,MATCH(Emissions!$D77,EF!$D$100:$D$115,0))*INDEX(EF!$H$132:$H$147,MATCH(Emissions!$D77,EF!$D$132:$D$147,0))*kgtoGg</f>
        <v>4.6876015551889532E-4</v>
      </c>
      <c r="AP77" s="22">
        <f>INDEX('Activity data'!AP$24:AP$39,MATCH(Emissions!$D77,'Activity data'!$D$24:$D$39,0))*INDEX(EF!$H$84:$H$99,MATCH(Emissions!$D77,EF!$D$84:$D$99,0))*INDEX(EF!$H$100:$H$115,MATCH(Emissions!$D77,EF!$D$100:$D$115,0))*INDEX(EF!$H$132:$H$147,MATCH(Emissions!$D77,EF!$D$132:$D$147,0))*kgtoGg</f>
        <v>4.7163826582430438E-4</v>
      </c>
      <c r="AQ77" s="22">
        <f>INDEX('Activity data'!AQ$24:AQ$39,MATCH(Emissions!$D77,'Activity data'!$D$24:$D$39,0))*INDEX(EF!$H$84:$H$99,MATCH(Emissions!$D77,EF!$D$84:$D$99,0))*INDEX(EF!$H$100:$H$115,MATCH(Emissions!$D77,EF!$D$100:$D$115,0))*INDEX(EF!$H$132:$H$147,MATCH(Emissions!$D77,EF!$D$132:$D$147,0))*kgtoGg</f>
        <v>4.7451637612971339E-4</v>
      </c>
      <c r="AR77" s="22">
        <f>INDEX('Activity data'!AR$24:AR$39,MATCH(Emissions!$D77,'Activity data'!$D$24:$D$39,0))*INDEX(EF!$H$84:$H$99,MATCH(Emissions!$D77,EF!$D$84:$D$99,0))*INDEX(EF!$H$100:$H$115,MATCH(Emissions!$D77,EF!$D$100:$D$115,0))*INDEX(EF!$H$132:$H$147,MATCH(Emissions!$D77,EF!$D$132:$D$147,0))*kgtoGg</f>
        <v>4.773944864351224E-4</v>
      </c>
      <c r="AS77" s="22">
        <f>INDEX('Activity data'!AS$24:AS$39,MATCH(Emissions!$D77,'Activity data'!$D$24:$D$39,0))*INDEX(EF!$H$84:$H$99,MATCH(Emissions!$D77,EF!$D$84:$D$99,0))*INDEX(EF!$H$100:$H$115,MATCH(Emissions!$D77,EF!$D$100:$D$115,0))*INDEX(EF!$H$132:$H$147,MATCH(Emissions!$D77,EF!$D$132:$D$147,0))*kgtoGg</f>
        <v>4.8027259674053135E-4</v>
      </c>
      <c r="AT77" s="22">
        <f>INDEX('Activity data'!AT$24:AT$39,MATCH(Emissions!$D77,'Activity data'!$D$24:$D$39,0))*INDEX(EF!$H$84:$H$99,MATCH(Emissions!$D77,EF!$D$84:$D$99,0))*INDEX(EF!$H$100:$H$115,MATCH(Emissions!$D77,EF!$D$100:$D$115,0))*INDEX(EF!$H$132:$H$147,MATCH(Emissions!$D77,EF!$D$132:$D$147,0))*kgtoGg</f>
        <v>4.8315070704594041E-4</v>
      </c>
      <c r="AU77" s="22">
        <f>INDEX('Activity data'!AU$24:AU$39,MATCH(Emissions!$D77,'Activity data'!$D$24:$D$39,0))*INDEX(EF!$H$84:$H$99,MATCH(Emissions!$D77,EF!$D$84:$D$99,0))*INDEX(EF!$H$100:$H$115,MATCH(Emissions!$D77,EF!$D$100:$D$115,0))*INDEX(EF!$H$132:$H$147,MATCH(Emissions!$D77,EF!$D$132:$D$147,0))*kgtoGg</f>
        <v>4.8602881735134937E-4</v>
      </c>
      <c r="AV77" s="22">
        <f>INDEX('Activity data'!AV$24:AV$39,MATCH(Emissions!$D77,'Activity data'!$D$24:$D$39,0))*INDEX(EF!$H$84:$H$99,MATCH(Emissions!$D77,EF!$D$84:$D$99,0))*INDEX(EF!$H$100:$H$115,MATCH(Emissions!$D77,EF!$D$100:$D$115,0))*INDEX(EF!$H$132:$H$147,MATCH(Emissions!$D77,EF!$D$132:$D$147,0))*kgtoGg</f>
        <v>4.8890692765675837E-4</v>
      </c>
      <c r="AW77" s="22">
        <f>INDEX('Activity data'!AW$24:AW$39,MATCH(Emissions!$D77,'Activity data'!$D$24:$D$39,0))*INDEX(EF!$H$84:$H$99,MATCH(Emissions!$D77,EF!$D$84:$D$99,0))*INDEX(EF!$H$100:$H$115,MATCH(Emissions!$D77,EF!$D$100:$D$115,0))*INDEX(EF!$H$132:$H$147,MATCH(Emissions!$D77,EF!$D$132:$D$147,0))*kgtoGg</f>
        <v>4.9178503796216749E-4</v>
      </c>
      <c r="AX77" s="22">
        <f>INDEX('Activity data'!AX$24:AX$39,MATCH(Emissions!$D77,'Activity data'!$D$24:$D$39,0))*INDEX(EF!$H$84:$H$99,MATCH(Emissions!$D77,EF!$D$84:$D$99,0))*INDEX(EF!$H$100:$H$115,MATCH(Emissions!$D77,EF!$D$100:$D$115,0))*INDEX(EF!$H$132:$H$147,MATCH(Emissions!$D77,EF!$D$132:$D$147,0))*kgtoGg</f>
        <v>4.946631482675765E-4</v>
      </c>
      <c r="AY77" s="22">
        <f>INDEX('Activity data'!AY$24:AY$39,MATCH(Emissions!$D77,'Activity data'!$D$24:$D$39,0))*INDEX(EF!$H$84:$H$99,MATCH(Emissions!$D77,EF!$D$84:$D$99,0))*INDEX(EF!$H$100:$H$115,MATCH(Emissions!$D77,EF!$D$100:$D$115,0))*INDEX(EF!$H$132:$H$147,MATCH(Emissions!$D77,EF!$D$132:$D$147,0))*kgtoGg</f>
        <v>4.975412585729855E-4</v>
      </c>
      <c r="AZ77" s="22">
        <f>INDEX('Activity data'!AZ$24:AZ$39,MATCH(Emissions!$D77,'Activity data'!$D$24:$D$39,0))*INDEX(EF!$H$84:$H$99,MATCH(Emissions!$D77,EF!$D$84:$D$99,0))*INDEX(EF!$H$100:$H$115,MATCH(Emissions!$D77,EF!$D$100:$D$115,0))*INDEX(EF!$H$132:$H$147,MATCH(Emissions!$D77,EF!$D$132:$D$147,0))*kgtoGg</f>
        <v>5.0041936887839451E-4</v>
      </c>
      <c r="BA77" s="22">
        <f>INDEX('Activity data'!BA$24:BA$39,MATCH(Emissions!$D77,'Activity data'!$D$24:$D$39,0))*INDEX(EF!$H$84:$H$99,MATCH(Emissions!$D77,EF!$D$84:$D$99,0))*INDEX(EF!$H$100:$H$115,MATCH(Emissions!$D77,EF!$D$100:$D$115,0))*INDEX(EF!$H$132:$H$147,MATCH(Emissions!$D77,EF!$D$132:$D$147,0))*kgtoGg</f>
        <v>5.0329747918380363E-4</v>
      </c>
      <c r="BB77" s="22">
        <f>INDEX('Activity data'!BB$24:BB$39,MATCH(Emissions!$D77,'Activity data'!$D$24:$D$39,0))*INDEX(EF!$H$84:$H$99,MATCH(Emissions!$D77,EF!$D$84:$D$99,0))*INDEX(EF!$H$100:$H$115,MATCH(Emissions!$D77,EF!$D$100:$D$115,0))*INDEX(EF!$H$132:$H$147,MATCH(Emissions!$D77,EF!$D$132:$D$147,0))*kgtoGg</f>
        <v>5.0617558948921264E-4</v>
      </c>
      <c r="BC77" s="22">
        <f>INDEX('Activity data'!BC$24:BC$39,MATCH(Emissions!$D77,'Activity data'!$D$24:$D$39,0))*INDEX(EF!$H$84:$H$99,MATCH(Emissions!$D77,EF!$D$84:$D$99,0))*INDEX(EF!$H$100:$H$115,MATCH(Emissions!$D77,EF!$D$100:$D$115,0))*INDEX(EF!$H$132:$H$147,MATCH(Emissions!$D77,EF!$D$132:$D$147,0))*kgtoGg</f>
        <v>5.0905369979462175E-4</v>
      </c>
      <c r="BD77" s="22">
        <f>INDEX('Activity data'!BD$24:BD$39,MATCH(Emissions!$D77,'Activity data'!$D$24:$D$39,0))*INDEX(EF!$H$84:$H$99,MATCH(Emissions!$D77,EF!$D$84:$D$99,0))*INDEX(EF!$H$100:$H$115,MATCH(Emissions!$D77,EF!$D$100:$D$115,0))*INDEX(EF!$H$132:$H$147,MATCH(Emissions!$D77,EF!$D$132:$D$147,0))*kgtoGg</f>
        <v>5.1193181010003065E-4</v>
      </c>
      <c r="BE77" s="22">
        <f>INDEX('Activity data'!BE$24:BE$39,MATCH(Emissions!$D77,'Activity data'!$D$24:$D$39,0))*INDEX(EF!$H$84:$H$99,MATCH(Emissions!$D77,EF!$D$84:$D$99,0))*INDEX(EF!$H$100:$H$115,MATCH(Emissions!$D77,EF!$D$100:$D$115,0))*INDEX(EF!$H$132:$H$147,MATCH(Emissions!$D77,EF!$D$132:$D$147,0))*kgtoGg</f>
        <v>5.1480992040543966E-4</v>
      </c>
      <c r="BF77" s="22">
        <f>INDEX('Activity data'!BF$24:BF$39,MATCH(Emissions!$D77,'Activity data'!$D$24:$D$39,0))*INDEX(EF!$H$84:$H$99,MATCH(Emissions!$D77,EF!$D$84:$D$99,0))*INDEX(EF!$H$100:$H$115,MATCH(Emissions!$D77,EF!$D$100:$D$115,0))*INDEX(EF!$H$132:$H$147,MATCH(Emissions!$D77,EF!$D$132:$D$147,0))*kgtoGg</f>
        <v>5.1768803071084878E-4</v>
      </c>
      <c r="BG77" s="22">
        <f>INDEX('Activity data'!BG$24:BG$39,MATCH(Emissions!$D77,'Activity data'!$D$24:$D$39,0))*INDEX(EF!$H$84:$H$99,MATCH(Emissions!$D77,EF!$D$84:$D$99,0))*INDEX(EF!$H$100:$H$115,MATCH(Emissions!$D77,EF!$D$100:$D$115,0))*INDEX(EF!$H$132:$H$147,MATCH(Emissions!$D77,EF!$D$132:$D$147,0))*kgtoGg</f>
        <v>5.2056614101625778E-4</v>
      </c>
      <c r="BH77" s="22">
        <f>INDEX('Activity data'!BH$24:BH$39,MATCH(Emissions!$D77,'Activity data'!$D$24:$D$39,0))*INDEX(EF!$H$84:$H$99,MATCH(Emissions!$D77,EF!$D$84:$D$99,0))*INDEX(EF!$H$100:$H$115,MATCH(Emissions!$D77,EF!$D$100:$D$115,0))*INDEX(EF!$H$132:$H$147,MATCH(Emissions!$D77,EF!$D$132:$D$147,0))*kgtoGg</f>
        <v>5.2344425132166679E-4</v>
      </c>
      <c r="BI77" s="22">
        <f>INDEX('Activity data'!BI$24:BI$39,MATCH(Emissions!$D77,'Activity data'!$D$24:$D$39,0))*INDEX(EF!$H$84:$H$99,MATCH(Emissions!$D77,EF!$D$84:$D$99,0))*INDEX(EF!$H$100:$H$115,MATCH(Emissions!$D77,EF!$D$100:$D$115,0))*INDEX(EF!$H$132:$H$147,MATCH(Emissions!$D77,EF!$D$132:$D$147,0))*kgtoGg</f>
        <v>5.263223616270758E-4</v>
      </c>
      <c r="BJ77" s="22">
        <f>INDEX('Activity data'!BJ$24:BJ$39,MATCH(Emissions!$D77,'Activity data'!$D$24:$D$39,0))*INDEX(EF!$H$84:$H$99,MATCH(Emissions!$D77,EF!$D$84:$D$99,0))*INDEX(EF!$H$100:$H$115,MATCH(Emissions!$D77,EF!$D$100:$D$115,0))*INDEX(EF!$H$132:$H$147,MATCH(Emissions!$D77,EF!$D$132:$D$147,0))*kgtoGg</f>
        <v>5.2920047193248491E-4</v>
      </c>
      <c r="BK77" s="22">
        <f>INDEX('Activity data'!BK$24:BK$39,MATCH(Emissions!$D77,'Activity data'!$D$24:$D$39,0))*INDEX(EF!$H$84:$H$99,MATCH(Emissions!$D77,EF!$D$84:$D$99,0))*INDEX(EF!$H$100:$H$115,MATCH(Emissions!$D77,EF!$D$100:$D$115,0))*INDEX(EF!$H$132:$H$147,MATCH(Emissions!$D77,EF!$D$132:$D$147,0))*kgtoGg</f>
        <v>5.3207858223789392E-4</v>
      </c>
      <c r="BL77" s="22">
        <f>INDEX('Activity data'!BL$24:BL$39,MATCH(Emissions!$D77,'Activity data'!$D$24:$D$39,0))*INDEX(EF!$H$84:$H$99,MATCH(Emissions!$D77,EF!$D$84:$D$99,0))*INDEX(EF!$H$100:$H$115,MATCH(Emissions!$D77,EF!$D$100:$D$115,0))*INDEX(EF!$H$132:$H$147,MATCH(Emissions!$D77,EF!$D$132:$D$147,0))*kgtoGg</f>
        <v>5.3495669254330282E-4</v>
      </c>
      <c r="BM77" s="22">
        <f>INDEX('Activity data'!BM$24:BM$39,MATCH(Emissions!$D77,'Activity data'!$D$24:$D$39,0))*INDEX(EF!$H$84:$H$99,MATCH(Emissions!$D77,EF!$D$84:$D$99,0))*INDEX(EF!$H$100:$H$115,MATCH(Emissions!$D77,EF!$D$100:$D$115,0))*INDEX(EF!$H$132:$H$147,MATCH(Emissions!$D77,EF!$D$132:$D$147,0))*kgtoGg</f>
        <v>5.3783480284871194E-4</v>
      </c>
      <c r="BN77" s="22">
        <f>INDEX('Activity data'!BN$24:BN$39,MATCH(Emissions!$D77,'Activity data'!$D$24:$D$39,0))*INDEX(EF!$H$84:$H$99,MATCH(Emissions!$D77,EF!$D$84:$D$99,0))*INDEX(EF!$H$100:$H$115,MATCH(Emissions!$D77,EF!$D$100:$D$115,0))*INDEX(EF!$H$132:$H$147,MATCH(Emissions!$D77,EF!$D$132:$D$147,0))*kgtoGg</f>
        <v>5.4071291315412095E-4</v>
      </c>
      <c r="BO77" s="22">
        <f>INDEX('Activity data'!BO$24:BO$39,MATCH(Emissions!$D77,'Activity data'!$D$24:$D$39,0))*INDEX(EF!$H$84:$H$99,MATCH(Emissions!$D77,EF!$D$84:$D$99,0))*INDEX(EF!$H$100:$H$115,MATCH(Emissions!$D77,EF!$D$100:$D$115,0))*INDEX(EF!$H$132:$H$147,MATCH(Emissions!$D77,EF!$D$132:$D$147,0))*kgtoGg</f>
        <v>5.4359102345952984E-4</v>
      </c>
      <c r="BP77" s="22">
        <f>INDEX('Activity data'!BP$24:BP$39,MATCH(Emissions!$D77,'Activity data'!$D$24:$D$39,0))*INDEX(EF!$H$84:$H$99,MATCH(Emissions!$D77,EF!$D$84:$D$99,0))*INDEX(EF!$H$100:$H$115,MATCH(Emissions!$D77,EF!$D$100:$D$115,0))*INDEX(EF!$H$132:$H$147,MATCH(Emissions!$D77,EF!$D$132:$D$147,0))*kgtoGg</f>
        <v>5.4646913376493885E-4</v>
      </c>
    </row>
    <row r="78" spans="1:68" x14ac:dyDescent="0.25">
      <c r="A78" t="str">
        <f t="shared" si="19"/>
        <v>3C Aggregated and non-CO2 emissions on land</v>
      </c>
      <c r="B78" t="str">
        <f t="shared" si="26"/>
        <v>3C1 Biomass burning (N2O)</v>
      </c>
      <c r="C78" t="str">
        <f t="shared" si="25"/>
        <v>3C1b Biomass burning in Croplands</v>
      </c>
      <c r="D78" t="str">
        <f>EF!D108</f>
        <v>Cropland subsistence</v>
      </c>
      <c r="E78" t="s">
        <v>649</v>
      </c>
      <c r="F78" t="str">
        <f t="shared" si="27"/>
        <v>N2O</v>
      </c>
      <c r="G78" t="str">
        <f t="shared" si="28"/>
        <v>Gg N2O</v>
      </c>
      <c r="H78" s="22">
        <f>INDEX('Activity data'!H$24:H$39,MATCH(Emissions!$D78,'Activity data'!$D$24:$D$39,0))*INDEX(EF!$H$84:$H$99,MATCH(Emissions!$D78,EF!$D$84:$D$99,0))*INDEX(EF!$H$100:$H$115,MATCH(Emissions!$D78,EF!$D$100:$D$115,0))*INDEX(EF!$H$132:$H$147,MATCH(Emissions!$D78,EF!$D$132:$D$147,0))*kgtoGg</f>
        <v>5.9523228809688487E-2</v>
      </c>
      <c r="I78" s="22">
        <f>INDEX('Activity data'!I$24:I$39,MATCH(Emissions!$D78,'Activity data'!$D$24:$D$39,0))*INDEX(EF!$H$84:$H$99,MATCH(Emissions!$D78,EF!$D$84:$D$99,0))*INDEX(EF!$H$100:$H$115,MATCH(Emissions!$D78,EF!$D$100:$D$115,0))*INDEX(EF!$H$132:$H$147,MATCH(Emissions!$D78,EF!$D$132:$D$147,0))*kgtoGg</f>
        <v>5.9523228809688487E-2</v>
      </c>
      <c r="J78" s="22">
        <f>INDEX('Activity data'!J$24:J$39,MATCH(Emissions!$D78,'Activity data'!$D$24:$D$39,0))*INDEX(EF!$H$84:$H$99,MATCH(Emissions!$D78,EF!$D$84:$D$99,0))*INDEX(EF!$H$100:$H$115,MATCH(Emissions!$D78,EF!$D$100:$D$115,0))*INDEX(EF!$H$132:$H$147,MATCH(Emissions!$D78,EF!$D$132:$D$147,0))*kgtoGg</f>
        <v>5.9523228809688487E-2</v>
      </c>
      <c r="K78" s="22">
        <f>INDEX('Activity data'!K$24:K$39,MATCH(Emissions!$D78,'Activity data'!$D$24:$D$39,0))*INDEX(EF!$H$84:$H$99,MATCH(Emissions!$D78,EF!$D$84:$D$99,0))*INDEX(EF!$H$100:$H$115,MATCH(Emissions!$D78,EF!$D$100:$D$115,0))*INDEX(EF!$H$132:$H$147,MATCH(Emissions!$D78,EF!$D$132:$D$147,0))*kgtoGg</f>
        <v>5.9523228809688487E-2</v>
      </c>
      <c r="L78" s="22">
        <f>INDEX('Activity data'!L$24:L$39,MATCH(Emissions!$D78,'Activity data'!$D$24:$D$39,0))*INDEX(EF!$H$84:$H$99,MATCH(Emissions!$D78,EF!$D$84:$D$99,0))*INDEX(EF!$H$100:$H$115,MATCH(Emissions!$D78,EF!$D$100:$D$115,0))*INDEX(EF!$H$132:$H$147,MATCH(Emissions!$D78,EF!$D$132:$D$147,0))*kgtoGg</f>
        <v>5.9523228809688487E-2</v>
      </c>
      <c r="M78" s="22">
        <f>INDEX('Activity data'!M$24:M$39,MATCH(Emissions!$D78,'Activity data'!$D$24:$D$39,0))*INDEX(EF!$H$84:$H$99,MATCH(Emissions!$D78,EF!$D$84:$D$99,0))*INDEX(EF!$H$100:$H$115,MATCH(Emissions!$D78,EF!$D$100:$D$115,0))*INDEX(EF!$H$132:$H$147,MATCH(Emissions!$D78,EF!$D$132:$D$147,0))*kgtoGg</f>
        <v>5.9523228809688487E-2</v>
      </c>
      <c r="N78" s="22">
        <f>INDEX('Activity data'!N$24:N$39,MATCH(Emissions!$D78,'Activity data'!$D$24:$D$39,0))*INDEX(EF!$H$84:$H$99,MATCH(Emissions!$D78,EF!$D$84:$D$99,0))*INDEX(EF!$H$100:$H$115,MATCH(Emissions!$D78,EF!$D$100:$D$115,0))*INDEX(EF!$H$132:$H$147,MATCH(Emissions!$D78,EF!$D$132:$D$147,0))*kgtoGg</f>
        <v>5.9523228809688487E-2</v>
      </c>
      <c r="O78" s="22">
        <f>INDEX('Activity data'!O$24:O$39,MATCH(Emissions!$D78,'Activity data'!$D$24:$D$39,0))*INDEX(EF!$H$84:$H$99,MATCH(Emissions!$D78,EF!$D$84:$D$99,0))*INDEX(EF!$H$100:$H$115,MATCH(Emissions!$D78,EF!$D$100:$D$115,0))*INDEX(EF!$H$132:$H$147,MATCH(Emissions!$D78,EF!$D$132:$D$147,0))*kgtoGg</f>
        <v>5.9523228809688487E-2</v>
      </c>
      <c r="P78" s="22">
        <f>INDEX('Activity data'!P$24:P$39,MATCH(Emissions!$D78,'Activity data'!$D$24:$D$39,0))*INDEX(EF!$H$84:$H$99,MATCH(Emissions!$D78,EF!$D$84:$D$99,0))*INDEX(EF!$H$100:$H$115,MATCH(Emissions!$D78,EF!$D$100:$D$115,0))*INDEX(EF!$H$132:$H$147,MATCH(Emissions!$D78,EF!$D$132:$D$147,0))*kgtoGg</f>
        <v>5.9523228809688487E-2</v>
      </c>
      <c r="Q78" s="22">
        <f>INDEX('Activity data'!Q$24:Q$39,MATCH(Emissions!$D78,'Activity data'!$D$24:$D$39,0))*INDEX(EF!$H$84:$H$99,MATCH(Emissions!$D78,EF!$D$84:$D$99,0))*INDEX(EF!$H$100:$H$115,MATCH(Emissions!$D78,EF!$D$100:$D$115,0))*INDEX(EF!$H$132:$H$147,MATCH(Emissions!$D78,EF!$D$132:$D$147,0))*kgtoGg</f>
        <v>5.9523228809688487E-2</v>
      </c>
      <c r="R78" s="22">
        <f>INDEX('Activity data'!R$24:R$39,MATCH(Emissions!$D78,'Activity data'!$D$24:$D$39,0))*INDEX(EF!$H$84:$H$99,MATCH(Emissions!$D78,EF!$D$84:$D$99,0))*INDEX(EF!$H$100:$H$115,MATCH(Emissions!$D78,EF!$D$100:$D$115,0))*INDEX(EF!$H$132:$H$147,MATCH(Emissions!$D78,EF!$D$132:$D$147,0))*kgtoGg</f>
        <v>5.4383377763667071E-2</v>
      </c>
      <c r="S78" s="22">
        <f>INDEX('Activity data'!S$24:S$39,MATCH(Emissions!$D78,'Activity data'!$D$24:$D$39,0))*INDEX(EF!$H$84:$H$99,MATCH(Emissions!$D78,EF!$D$84:$D$99,0))*INDEX(EF!$H$100:$H$115,MATCH(Emissions!$D78,EF!$D$100:$D$115,0))*INDEX(EF!$H$132:$H$147,MATCH(Emissions!$D78,EF!$D$132:$D$147,0))*kgtoGg</f>
        <v>8.1405471912349855E-2</v>
      </c>
      <c r="T78" s="22">
        <f>INDEX('Activity data'!T$24:T$39,MATCH(Emissions!$D78,'Activity data'!$D$24:$D$39,0))*INDEX(EF!$H$84:$H$99,MATCH(Emissions!$D78,EF!$D$84:$D$99,0))*INDEX(EF!$H$100:$H$115,MATCH(Emissions!$D78,EF!$D$100:$D$115,0))*INDEX(EF!$H$132:$H$147,MATCH(Emissions!$D78,EF!$D$132:$D$147,0))*kgtoGg</f>
        <v>6.4095502815432151E-2</v>
      </c>
      <c r="U78" s="22">
        <f>INDEX('Activity data'!U$24:U$39,MATCH(Emissions!$D78,'Activity data'!$D$24:$D$39,0))*INDEX(EF!$H$84:$H$99,MATCH(Emissions!$D78,EF!$D$84:$D$99,0))*INDEX(EF!$H$100:$H$115,MATCH(Emissions!$D78,EF!$D$100:$D$115,0))*INDEX(EF!$H$132:$H$147,MATCH(Emissions!$D78,EF!$D$132:$D$147,0))*kgtoGg</f>
        <v>5.4372071448123685E-2</v>
      </c>
      <c r="V78" s="22">
        <f>INDEX('Activity data'!V$24:V$39,MATCH(Emissions!$D78,'Activity data'!$D$24:$D$39,0))*INDEX(EF!$H$84:$H$99,MATCH(Emissions!$D78,EF!$D$84:$D$99,0))*INDEX(EF!$H$100:$H$115,MATCH(Emissions!$D78,EF!$D$100:$D$115,0))*INDEX(EF!$H$132:$H$147,MATCH(Emissions!$D78,EF!$D$132:$D$147,0))*kgtoGg</f>
        <v>4.3359720108869682E-2</v>
      </c>
      <c r="W78" s="22">
        <f>INDEX('Activity data'!W$24:W$39,MATCH(Emissions!$D78,'Activity data'!$D$24:$D$39,0))*INDEX(EF!$H$84:$H$99,MATCH(Emissions!$D78,EF!$D$84:$D$99,0))*INDEX(EF!$H$100:$H$115,MATCH(Emissions!$D78,EF!$D$100:$D$115,0))*INDEX(EF!$H$132:$H$147,MATCH(Emissions!$D78,EF!$D$132:$D$147,0))*kgtoGg</f>
        <v>9.3989401112133955E-2</v>
      </c>
      <c r="X78" s="22">
        <f>INDEX('Activity data'!X$24:X$39,MATCH(Emissions!$D78,'Activity data'!$D$24:$D$39,0))*INDEX(EF!$H$84:$H$99,MATCH(Emissions!$D78,EF!$D$84:$D$99,0))*INDEX(EF!$H$100:$H$115,MATCH(Emissions!$D78,EF!$D$100:$D$115,0))*INDEX(EF!$H$132:$H$147,MATCH(Emissions!$D78,EF!$D$132:$D$147,0))*kgtoGg</f>
        <v>7.364933944958986E-2</v>
      </c>
      <c r="Y78" s="22">
        <f>INDEX('Activity data'!Y$24:Y$39,MATCH(Emissions!$D78,'Activity data'!$D$24:$D$39,0))*INDEX(EF!$H$84:$H$99,MATCH(Emissions!$D78,EF!$D$84:$D$99,0))*INDEX(EF!$H$100:$H$115,MATCH(Emissions!$D78,EF!$D$100:$D$115,0))*INDEX(EF!$H$132:$H$147,MATCH(Emissions!$D78,EF!$D$132:$D$147,0))*kgtoGg</f>
        <v>0.11404680488609349</v>
      </c>
      <c r="Z78" s="22">
        <f>INDEX('Activity data'!Z$24:Z$39,MATCH(Emissions!$D78,'Activity data'!$D$24:$D$39,0))*INDEX(EF!$H$84:$H$99,MATCH(Emissions!$D78,EF!$D$84:$D$99,0))*INDEX(EF!$H$100:$H$115,MATCH(Emissions!$D78,EF!$D$100:$D$115,0))*INDEX(EF!$H$132:$H$147,MATCH(Emissions!$D78,EF!$D$132:$D$147,0))*kgtoGg</f>
        <v>6.8618029032784925E-2</v>
      </c>
      <c r="AA78" s="22">
        <f>INDEX('Activity data'!AA$24:AA$39,MATCH(Emissions!$D78,'Activity data'!$D$24:$D$39,0))*INDEX(EF!$H$84:$H$99,MATCH(Emissions!$D78,EF!$D$84:$D$99,0))*INDEX(EF!$H$100:$H$115,MATCH(Emissions!$D78,EF!$D$100:$D$115,0))*INDEX(EF!$H$132:$H$147,MATCH(Emissions!$D78,EF!$D$132:$D$147,0))*kgtoGg</f>
        <v>8.1168039285938853E-2</v>
      </c>
      <c r="AB78" s="22">
        <f>INDEX('Activity data'!AB$24:AB$39,MATCH(Emissions!$D78,'Activity data'!$D$24:$D$39,0))*INDEX(EF!$H$84:$H$99,MATCH(Emissions!$D78,EF!$D$84:$D$99,0))*INDEX(EF!$H$100:$H$115,MATCH(Emissions!$D78,EF!$D$100:$D$115,0))*INDEX(EF!$H$132:$H$147,MATCH(Emissions!$D78,EF!$D$132:$D$147,0))*kgtoGg</f>
        <v>5.4530973000000003E-2</v>
      </c>
      <c r="AC78" s="22">
        <f>INDEX('Activity data'!AC$24:AC$39,MATCH(Emissions!$D78,'Activity data'!$D$24:$D$39,0))*INDEX(EF!$H$84:$H$99,MATCH(Emissions!$D78,EF!$D$84:$D$99,0))*INDEX(EF!$H$100:$H$115,MATCH(Emissions!$D78,EF!$D$100:$D$115,0))*INDEX(EF!$H$132:$H$147,MATCH(Emissions!$D78,EF!$D$132:$D$147,0))*kgtoGg</f>
        <v>3.7016790300000005E-2</v>
      </c>
      <c r="AD78" s="22">
        <f>INDEX('Activity data'!AD$24:AD$39,MATCH(Emissions!$D78,'Activity data'!$D$24:$D$39,0))*INDEX(EF!$H$84:$H$99,MATCH(Emissions!$D78,EF!$D$84:$D$99,0))*INDEX(EF!$H$100:$H$115,MATCH(Emissions!$D78,EF!$D$100:$D$115,0))*INDEX(EF!$H$132:$H$147,MATCH(Emissions!$D78,EF!$D$132:$D$147,0))*kgtoGg</f>
        <v>5.46089838424927E-2</v>
      </c>
      <c r="AE78" s="22">
        <f>INDEX('Activity data'!AE$24:AE$39,MATCH(Emissions!$D78,'Activity data'!$D$24:$D$39,0))*INDEX(EF!$H$84:$H$99,MATCH(Emissions!$D78,EF!$D$84:$D$99,0))*INDEX(EF!$H$100:$H$115,MATCH(Emissions!$D78,EF!$D$100:$D$115,0))*INDEX(EF!$H$132:$H$147,MATCH(Emissions!$D78,EF!$D$132:$D$147,0))*kgtoGg</f>
        <v>5.4617136288329267E-2</v>
      </c>
      <c r="AF78" s="22">
        <f>INDEX('Activity data'!AF$24:AF$39,MATCH(Emissions!$D78,'Activity data'!$D$24:$D$39,0))*INDEX(EF!$H$84:$H$99,MATCH(Emissions!$D78,EF!$D$84:$D$99,0))*INDEX(EF!$H$100:$H$115,MATCH(Emissions!$D78,EF!$D$100:$D$115,0))*INDEX(EF!$H$132:$H$147,MATCH(Emissions!$D78,EF!$D$132:$D$147,0))*kgtoGg</f>
        <v>5.462528873416584E-2</v>
      </c>
      <c r="AG78" s="22">
        <f>INDEX('Activity data'!AG$24:AG$39,MATCH(Emissions!$D78,'Activity data'!$D$24:$D$39,0))*INDEX(EF!$H$84:$H$99,MATCH(Emissions!$D78,EF!$D$84:$D$99,0))*INDEX(EF!$H$100:$H$115,MATCH(Emissions!$D78,EF!$D$100:$D$115,0))*INDEX(EF!$H$132:$H$147,MATCH(Emissions!$D78,EF!$D$132:$D$147,0))*kgtoGg</f>
        <v>5.4633441180002421E-2</v>
      </c>
      <c r="AH78" s="22">
        <f>INDEX('Activity data'!AH$24:AH$39,MATCH(Emissions!$D78,'Activity data'!$D$24:$D$39,0))*INDEX(EF!$H$84:$H$99,MATCH(Emissions!$D78,EF!$D$84:$D$99,0))*INDEX(EF!$H$100:$H$115,MATCH(Emissions!$D78,EF!$D$100:$D$115,0))*INDEX(EF!$H$132:$H$147,MATCH(Emissions!$D78,EF!$D$132:$D$147,0))*kgtoGg</f>
        <v>5.4641593625839001E-2</v>
      </c>
      <c r="AI78" s="22">
        <f>INDEX('Activity data'!AI$24:AI$39,MATCH(Emissions!$D78,'Activity data'!$D$24:$D$39,0))*INDEX(EF!$H$84:$H$99,MATCH(Emissions!$D78,EF!$D$84:$D$99,0))*INDEX(EF!$H$100:$H$115,MATCH(Emissions!$D78,EF!$D$100:$D$115,0))*INDEX(EF!$H$132:$H$147,MATCH(Emissions!$D78,EF!$D$132:$D$147,0))*kgtoGg</f>
        <v>5.4649746071675574E-2</v>
      </c>
      <c r="AJ78" s="22">
        <f>INDEX('Activity data'!AJ$24:AJ$39,MATCH(Emissions!$D78,'Activity data'!$D$24:$D$39,0))*INDEX(EF!$H$84:$H$99,MATCH(Emissions!$D78,EF!$D$84:$D$99,0))*INDEX(EF!$H$100:$H$115,MATCH(Emissions!$D78,EF!$D$100:$D$115,0))*INDEX(EF!$H$132:$H$147,MATCH(Emissions!$D78,EF!$D$132:$D$147,0))*kgtoGg</f>
        <v>5.4657898517512148E-2</v>
      </c>
      <c r="AK78" s="22">
        <f>INDEX('Activity data'!AK$24:AK$39,MATCH(Emissions!$D78,'Activity data'!$D$24:$D$39,0))*INDEX(EF!$H$84:$H$99,MATCH(Emissions!$D78,EF!$D$84:$D$99,0))*INDEX(EF!$H$100:$H$115,MATCH(Emissions!$D78,EF!$D$100:$D$115,0))*INDEX(EF!$H$132:$H$147,MATCH(Emissions!$D78,EF!$D$132:$D$147,0))*kgtoGg</f>
        <v>5.4666050963348742E-2</v>
      </c>
      <c r="AL78" s="22">
        <f>INDEX('Activity data'!AL$24:AL$39,MATCH(Emissions!$D78,'Activity data'!$D$24:$D$39,0))*INDEX(EF!$H$84:$H$99,MATCH(Emissions!$D78,EF!$D$84:$D$99,0))*INDEX(EF!$H$100:$H$115,MATCH(Emissions!$D78,EF!$D$100:$D$115,0))*INDEX(EF!$H$132:$H$147,MATCH(Emissions!$D78,EF!$D$132:$D$147,0))*kgtoGg</f>
        <v>5.4674203409185315E-2</v>
      </c>
      <c r="AM78" s="22">
        <f>INDEX('Activity data'!AM$24:AM$39,MATCH(Emissions!$D78,'Activity data'!$D$24:$D$39,0))*INDEX(EF!$H$84:$H$99,MATCH(Emissions!$D78,EF!$D$84:$D$99,0))*INDEX(EF!$H$100:$H$115,MATCH(Emissions!$D78,EF!$D$100:$D$115,0))*INDEX(EF!$H$132:$H$147,MATCH(Emissions!$D78,EF!$D$132:$D$147,0))*kgtoGg</f>
        <v>5.4682355855021902E-2</v>
      </c>
      <c r="AN78" s="22">
        <f>INDEX('Activity data'!AN$24:AN$39,MATCH(Emissions!$D78,'Activity data'!$D$24:$D$39,0))*INDEX(EF!$H$84:$H$99,MATCH(Emissions!$D78,EF!$D$84:$D$99,0))*INDEX(EF!$H$100:$H$115,MATCH(Emissions!$D78,EF!$D$100:$D$115,0))*INDEX(EF!$H$132:$H$147,MATCH(Emissions!$D78,EF!$D$132:$D$147,0))*kgtoGg</f>
        <v>5.4690508300858469E-2</v>
      </c>
      <c r="AO78" s="22">
        <f>INDEX('Activity data'!AO$24:AO$39,MATCH(Emissions!$D78,'Activity data'!$D$24:$D$39,0))*INDEX(EF!$H$84:$H$99,MATCH(Emissions!$D78,EF!$D$84:$D$99,0))*INDEX(EF!$H$100:$H$115,MATCH(Emissions!$D78,EF!$D$100:$D$115,0))*INDEX(EF!$H$132:$H$147,MATCH(Emissions!$D78,EF!$D$132:$D$147,0))*kgtoGg</f>
        <v>5.4698660746695049E-2</v>
      </c>
      <c r="AP78" s="22">
        <f>INDEX('Activity data'!AP$24:AP$39,MATCH(Emissions!$D78,'Activity data'!$D$24:$D$39,0))*INDEX(EF!$H$84:$H$99,MATCH(Emissions!$D78,EF!$D$84:$D$99,0))*INDEX(EF!$H$100:$H$115,MATCH(Emissions!$D78,EF!$D$100:$D$115,0))*INDEX(EF!$H$132:$H$147,MATCH(Emissions!$D78,EF!$D$132:$D$147,0))*kgtoGg</f>
        <v>5.4706813192531623E-2</v>
      </c>
      <c r="AQ78" s="22">
        <f>INDEX('Activity data'!AQ$24:AQ$39,MATCH(Emissions!$D78,'Activity data'!$D$24:$D$39,0))*INDEX(EF!$H$84:$H$99,MATCH(Emissions!$D78,EF!$D$84:$D$99,0))*INDEX(EF!$H$100:$H$115,MATCH(Emissions!$D78,EF!$D$100:$D$115,0))*INDEX(EF!$H$132:$H$147,MATCH(Emissions!$D78,EF!$D$132:$D$147,0))*kgtoGg</f>
        <v>5.4714965638368196E-2</v>
      </c>
      <c r="AR78" s="22">
        <f>INDEX('Activity data'!AR$24:AR$39,MATCH(Emissions!$D78,'Activity data'!$D$24:$D$39,0))*INDEX(EF!$H$84:$H$99,MATCH(Emissions!$D78,EF!$D$84:$D$99,0))*INDEX(EF!$H$100:$H$115,MATCH(Emissions!$D78,EF!$D$100:$D$115,0))*INDEX(EF!$H$132:$H$147,MATCH(Emissions!$D78,EF!$D$132:$D$147,0))*kgtoGg</f>
        <v>5.472311808420479E-2</v>
      </c>
      <c r="AS78" s="22">
        <f>INDEX('Activity data'!AS$24:AS$39,MATCH(Emissions!$D78,'Activity data'!$D$24:$D$39,0))*INDEX(EF!$H$84:$H$99,MATCH(Emissions!$D78,EF!$D$84:$D$99,0))*INDEX(EF!$H$100:$H$115,MATCH(Emissions!$D78,EF!$D$100:$D$115,0))*INDEX(EF!$H$132:$H$147,MATCH(Emissions!$D78,EF!$D$132:$D$147,0))*kgtoGg</f>
        <v>5.4731270530041363E-2</v>
      </c>
      <c r="AT78" s="22">
        <f>INDEX('Activity data'!AT$24:AT$39,MATCH(Emissions!$D78,'Activity data'!$D$24:$D$39,0))*INDEX(EF!$H$84:$H$99,MATCH(Emissions!$D78,EF!$D$84:$D$99,0))*INDEX(EF!$H$100:$H$115,MATCH(Emissions!$D78,EF!$D$100:$D$115,0))*INDEX(EF!$H$132:$H$147,MATCH(Emissions!$D78,EF!$D$132:$D$147,0))*kgtoGg</f>
        <v>5.4739422975877944E-2</v>
      </c>
      <c r="AU78" s="22">
        <f>INDEX('Activity data'!AU$24:AU$39,MATCH(Emissions!$D78,'Activity data'!$D$24:$D$39,0))*INDEX(EF!$H$84:$H$99,MATCH(Emissions!$D78,EF!$D$84:$D$99,0))*INDEX(EF!$H$100:$H$115,MATCH(Emissions!$D78,EF!$D$100:$D$115,0))*INDEX(EF!$H$132:$H$147,MATCH(Emissions!$D78,EF!$D$132:$D$147,0))*kgtoGg</f>
        <v>5.4747575421714524E-2</v>
      </c>
      <c r="AV78" s="22">
        <f>INDEX('Activity data'!AV$24:AV$39,MATCH(Emissions!$D78,'Activity data'!$D$24:$D$39,0))*INDEX(EF!$H$84:$H$99,MATCH(Emissions!$D78,EF!$D$84:$D$99,0))*INDEX(EF!$H$100:$H$115,MATCH(Emissions!$D78,EF!$D$100:$D$115,0))*INDEX(EF!$H$132:$H$147,MATCH(Emissions!$D78,EF!$D$132:$D$147,0))*kgtoGg</f>
        <v>5.4755727867551097E-2</v>
      </c>
      <c r="AW78" s="22">
        <f>INDEX('Activity data'!AW$24:AW$39,MATCH(Emissions!$D78,'Activity data'!$D$24:$D$39,0))*INDEX(EF!$H$84:$H$99,MATCH(Emissions!$D78,EF!$D$84:$D$99,0))*INDEX(EF!$H$100:$H$115,MATCH(Emissions!$D78,EF!$D$100:$D$115,0))*INDEX(EF!$H$132:$H$147,MATCH(Emissions!$D78,EF!$D$132:$D$147,0))*kgtoGg</f>
        <v>5.4763880313387671E-2</v>
      </c>
      <c r="AX78" s="22">
        <f>INDEX('Activity data'!AX$24:AX$39,MATCH(Emissions!$D78,'Activity data'!$D$24:$D$39,0))*INDEX(EF!$H$84:$H$99,MATCH(Emissions!$D78,EF!$D$84:$D$99,0))*INDEX(EF!$H$100:$H$115,MATCH(Emissions!$D78,EF!$D$100:$D$115,0))*INDEX(EF!$H$132:$H$147,MATCH(Emissions!$D78,EF!$D$132:$D$147,0))*kgtoGg</f>
        <v>5.4772032759224265E-2</v>
      </c>
      <c r="AY78" s="22">
        <f>INDEX('Activity data'!AY$24:AY$39,MATCH(Emissions!$D78,'Activity data'!$D$24:$D$39,0))*INDEX(EF!$H$84:$H$99,MATCH(Emissions!$D78,EF!$D$84:$D$99,0))*INDEX(EF!$H$100:$H$115,MATCH(Emissions!$D78,EF!$D$100:$D$115,0))*INDEX(EF!$H$132:$H$147,MATCH(Emissions!$D78,EF!$D$132:$D$147,0))*kgtoGg</f>
        <v>5.4780185205060838E-2</v>
      </c>
      <c r="AZ78" s="22">
        <f>INDEX('Activity data'!AZ$24:AZ$39,MATCH(Emissions!$D78,'Activity data'!$D$24:$D$39,0))*INDEX(EF!$H$84:$H$99,MATCH(Emissions!$D78,EF!$D$84:$D$99,0))*INDEX(EF!$H$100:$H$115,MATCH(Emissions!$D78,EF!$D$100:$D$115,0))*INDEX(EF!$H$132:$H$147,MATCH(Emissions!$D78,EF!$D$132:$D$147,0))*kgtoGg</f>
        <v>5.4788337650897426E-2</v>
      </c>
      <c r="BA78" s="22">
        <f>INDEX('Activity data'!BA$24:BA$39,MATCH(Emissions!$D78,'Activity data'!$D$24:$D$39,0))*INDEX(EF!$H$84:$H$99,MATCH(Emissions!$D78,EF!$D$84:$D$99,0))*INDEX(EF!$H$100:$H$115,MATCH(Emissions!$D78,EF!$D$100:$D$115,0))*INDEX(EF!$H$132:$H$147,MATCH(Emissions!$D78,EF!$D$132:$D$147,0))*kgtoGg</f>
        <v>5.4796490096733992E-2</v>
      </c>
      <c r="BB78" s="22">
        <f>INDEX('Activity data'!BB$24:BB$39,MATCH(Emissions!$D78,'Activity data'!$D$24:$D$39,0))*INDEX(EF!$H$84:$H$99,MATCH(Emissions!$D78,EF!$D$84:$D$99,0))*INDEX(EF!$H$100:$H$115,MATCH(Emissions!$D78,EF!$D$100:$D$115,0))*INDEX(EF!$H$132:$H$147,MATCH(Emissions!$D78,EF!$D$132:$D$147,0))*kgtoGg</f>
        <v>5.4804642542570572E-2</v>
      </c>
      <c r="BC78" s="22">
        <f>INDEX('Activity data'!BC$24:BC$39,MATCH(Emissions!$D78,'Activity data'!$D$24:$D$39,0))*INDEX(EF!$H$84:$H$99,MATCH(Emissions!$D78,EF!$D$84:$D$99,0))*INDEX(EF!$H$100:$H$115,MATCH(Emissions!$D78,EF!$D$100:$D$115,0))*INDEX(EF!$H$132:$H$147,MATCH(Emissions!$D78,EF!$D$132:$D$147,0))*kgtoGg</f>
        <v>5.4812794988407146E-2</v>
      </c>
      <c r="BD78" s="22">
        <f>INDEX('Activity data'!BD$24:BD$39,MATCH(Emissions!$D78,'Activity data'!$D$24:$D$39,0))*INDEX(EF!$H$84:$H$99,MATCH(Emissions!$D78,EF!$D$84:$D$99,0))*INDEX(EF!$H$100:$H$115,MATCH(Emissions!$D78,EF!$D$100:$D$115,0))*INDEX(EF!$H$132:$H$147,MATCH(Emissions!$D78,EF!$D$132:$D$147,0))*kgtoGg</f>
        <v>5.4820947434243726E-2</v>
      </c>
      <c r="BE78" s="22">
        <f>INDEX('Activity data'!BE$24:BE$39,MATCH(Emissions!$D78,'Activity data'!$D$24:$D$39,0))*INDEX(EF!$H$84:$H$99,MATCH(Emissions!$D78,EF!$D$84:$D$99,0))*INDEX(EF!$H$100:$H$115,MATCH(Emissions!$D78,EF!$D$100:$D$115,0))*INDEX(EF!$H$132:$H$147,MATCH(Emissions!$D78,EF!$D$132:$D$147,0))*kgtoGg</f>
        <v>5.4829099880080313E-2</v>
      </c>
      <c r="BF78" s="22">
        <f>INDEX('Activity data'!BF$24:BF$39,MATCH(Emissions!$D78,'Activity data'!$D$24:$D$39,0))*INDEX(EF!$H$84:$H$99,MATCH(Emissions!$D78,EF!$D$84:$D$99,0))*INDEX(EF!$H$100:$H$115,MATCH(Emissions!$D78,EF!$D$100:$D$115,0))*INDEX(EF!$H$132:$H$147,MATCH(Emissions!$D78,EF!$D$132:$D$147,0))*kgtoGg</f>
        <v>5.4837252325916887E-2</v>
      </c>
      <c r="BG78" s="22">
        <f>INDEX('Activity data'!BG$24:BG$39,MATCH(Emissions!$D78,'Activity data'!$D$24:$D$39,0))*INDEX(EF!$H$84:$H$99,MATCH(Emissions!$D78,EF!$D$84:$D$99,0))*INDEX(EF!$H$100:$H$115,MATCH(Emissions!$D78,EF!$D$100:$D$115,0))*INDEX(EF!$H$132:$H$147,MATCH(Emissions!$D78,EF!$D$132:$D$147,0))*kgtoGg</f>
        <v>5.4845404771753467E-2</v>
      </c>
      <c r="BH78" s="22">
        <f>INDEX('Activity data'!BH$24:BH$39,MATCH(Emissions!$D78,'Activity data'!$D$24:$D$39,0))*INDEX(EF!$H$84:$H$99,MATCH(Emissions!$D78,EF!$D$84:$D$99,0))*INDEX(EF!$H$100:$H$115,MATCH(Emissions!$D78,EF!$D$100:$D$115,0))*INDEX(EF!$H$132:$H$147,MATCH(Emissions!$D78,EF!$D$132:$D$147,0))*kgtoGg</f>
        <v>5.4853557217590047E-2</v>
      </c>
      <c r="BI78" s="22">
        <f>INDEX('Activity data'!BI$24:BI$39,MATCH(Emissions!$D78,'Activity data'!$D$24:$D$39,0))*INDEX(EF!$H$84:$H$99,MATCH(Emissions!$D78,EF!$D$84:$D$99,0))*INDEX(EF!$H$100:$H$115,MATCH(Emissions!$D78,EF!$D$100:$D$115,0))*INDEX(EF!$H$132:$H$147,MATCH(Emissions!$D78,EF!$D$132:$D$147,0))*kgtoGg</f>
        <v>5.4861709663426621E-2</v>
      </c>
      <c r="BJ78" s="22">
        <f>INDEX('Activity data'!BJ$24:BJ$39,MATCH(Emissions!$D78,'Activity data'!$D$24:$D$39,0))*INDEX(EF!$H$84:$H$99,MATCH(Emissions!$D78,EF!$D$84:$D$99,0))*INDEX(EF!$H$100:$H$115,MATCH(Emissions!$D78,EF!$D$100:$D$115,0))*INDEX(EF!$H$132:$H$147,MATCH(Emissions!$D78,EF!$D$132:$D$147,0))*kgtoGg</f>
        <v>5.4869862109263194E-2</v>
      </c>
      <c r="BK78" s="22">
        <f>INDEX('Activity data'!BK$24:BK$39,MATCH(Emissions!$D78,'Activity data'!$D$24:$D$39,0))*INDEX(EF!$H$84:$H$99,MATCH(Emissions!$D78,EF!$D$84:$D$99,0))*INDEX(EF!$H$100:$H$115,MATCH(Emissions!$D78,EF!$D$100:$D$115,0))*INDEX(EF!$H$132:$H$147,MATCH(Emissions!$D78,EF!$D$132:$D$147,0))*kgtoGg</f>
        <v>5.4878014555099774E-2</v>
      </c>
      <c r="BL78" s="22">
        <f>INDEX('Activity data'!BL$24:BL$39,MATCH(Emissions!$D78,'Activity data'!$D$24:$D$39,0))*INDEX(EF!$H$84:$H$99,MATCH(Emissions!$D78,EF!$D$84:$D$99,0))*INDEX(EF!$H$100:$H$115,MATCH(Emissions!$D78,EF!$D$100:$D$115,0))*INDEX(EF!$H$132:$H$147,MATCH(Emissions!$D78,EF!$D$132:$D$147,0))*kgtoGg</f>
        <v>5.4886167000936362E-2</v>
      </c>
      <c r="BM78" s="22">
        <f>INDEX('Activity data'!BM$24:BM$39,MATCH(Emissions!$D78,'Activity data'!$D$24:$D$39,0))*INDEX(EF!$H$84:$H$99,MATCH(Emissions!$D78,EF!$D$84:$D$99,0))*INDEX(EF!$H$100:$H$115,MATCH(Emissions!$D78,EF!$D$100:$D$115,0))*INDEX(EF!$H$132:$H$147,MATCH(Emissions!$D78,EF!$D$132:$D$147,0))*kgtoGg</f>
        <v>5.4894319446772949E-2</v>
      </c>
      <c r="BN78" s="22">
        <f>INDEX('Activity data'!BN$24:BN$39,MATCH(Emissions!$D78,'Activity data'!$D$24:$D$39,0))*INDEX(EF!$H$84:$H$99,MATCH(Emissions!$D78,EF!$D$84:$D$99,0))*INDEX(EF!$H$100:$H$115,MATCH(Emissions!$D78,EF!$D$100:$D$115,0))*INDEX(EF!$H$132:$H$147,MATCH(Emissions!$D78,EF!$D$132:$D$147,0))*kgtoGg</f>
        <v>5.4902471892609515E-2</v>
      </c>
      <c r="BO78" s="22">
        <f>INDEX('Activity data'!BO$24:BO$39,MATCH(Emissions!$D78,'Activity data'!$D$24:$D$39,0))*INDEX(EF!$H$84:$H$99,MATCH(Emissions!$D78,EF!$D$84:$D$99,0))*INDEX(EF!$H$100:$H$115,MATCH(Emissions!$D78,EF!$D$100:$D$115,0))*INDEX(EF!$H$132:$H$147,MATCH(Emissions!$D78,EF!$D$132:$D$147,0))*kgtoGg</f>
        <v>5.4910624338446096E-2</v>
      </c>
      <c r="BP78" s="22">
        <f>INDEX('Activity data'!BP$24:BP$39,MATCH(Emissions!$D78,'Activity data'!$D$24:$D$39,0))*INDEX(EF!$H$84:$H$99,MATCH(Emissions!$D78,EF!$D$84:$D$99,0))*INDEX(EF!$H$100:$H$115,MATCH(Emissions!$D78,EF!$D$100:$D$115,0))*INDEX(EF!$H$132:$H$147,MATCH(Emissions!$D78,EF!$D$132:$D$147,0))*kgtoGg</f>
        <v>5.4918776784282669E-2</v>
      </c>
    </row>
    <row r="79" spans="1:68" x14ac:dyDescent="0.25">
      <c r="A79" t="str">
        <f t="shared" si="19"/>
        <v>3C Aggregated and non-CO2 emissions on land</v>
      </c>
      <c r="B79" t="str">
        <f t="shared" si="26"/>
        <v>3C1 Biomass burning (N2O)</v>
      </c>
      <c r="C79" t="str">
        <f t="shared" si="25"/>
        <v>3C1c Biomass burning in Grasslands</v>
      </c>
      <c r="D79" t="str">
        <f>EF!D109</f>
        <v>Grasslands</v>
      </c>
      <c r="E79" t="s">
        <v>650</v>
      </c>
      <c r="F79" t="str">
        <f t="shared" si="27"/>
        <v>N2O</v>
      </c>
      <c r="G79" t="str">
        <f t="shared" si="28"/>
        <v>Gg N2O</v>
      </c>
      <c r="H79" s="22">
        <f>INDEX('Activity data'!H$24:H$39,MATCH(Emissions!$D79,'Activity data'!$D$24:$D$39,0))*INDEX(EF!$H$84:$H$99,MATCH(Emissions!$D79,EF!$D$84:$D$99,0))*INDEX(EF!$H$100:$H$115,MATCH(Emissions!$D79,EF!$D$100:$D$115,0))*INDEX(EF!$H$132:$H$147,MATCH(Emissions!$D79,EF!$D$132:$D$147,0))*kgtoGg</f>
        <v>2.0559289182704736</v>
      </c>
      <c r="I79" s="22">
        <f>INDEX('Activity data'!I$24:I$39,MATCH(Emissions!$D79,'Activity data'!$D$24:$D$39,0))*INDEX(EF!$H$84:$H$99,MATCH(Emissions!$D79,EF!$D$84:$D$99,0))*INDEX(EF!$H$100:$H$115,MATCH(Emissions!$D79,EF!$D$100:$D$115,0))*INDEX(EF!$H$132:$H$147,MATCH(Emissions!$D79,EF!$D$132:$D$147,0))*kgtoGg</f>
        <v>2.0559289182704736</v>
      </c>
      <c r="J79" s="22">
        <f>INDEX('Activity data'!J$24:J$39,MATCH(Emissions!$D79,'Activity data'!$D$24:$D$39,0))*INDEX(EF!$H$84:$H$99,MATCH(Emissions!$D79,EF!$D$84:$D$99,0))*INDEX(EF!$H$100:$H$115,MATCH(Emissions!$D79,EF!$D$100:$D$115,0))*INDEX(EF!$H$132:$H$147,MATCH(Emissions!$D79,EF!$D$132:$D$147,0))*kgtoGg</f>
        <v>2.0559289182704736</v>
      </c>
      <c r="K79" s="22">
        <f>INDEX('Activity data'!K$24:K$39,MATCH(Emissions!$D79,'Activity data'!$D$24:$D$39,0))*INDEX(EF!$H$84:$H$99,MATCH(Emissions!$D79,EF!$D$84:$D$99,0))*INDEX(EF!$H$100:$H$115,MATCH(Emissions!$D79,EF!$D$100:$D$115,0))*INDEX(EF!$H$132:$H$147,MATCH(Emissions!$D79,EF!$D$132:$D$147,0))*kgtoGg</f>
        <v>2.0559289182704736</v>
      </c>
      <c r="L79" s="22">
        <f>INDEX('Activity data'!L$24:L$39,MATCH(Emissions!$D79,'Activity data'!$D$24:$D$39,0))*INDEX(EF!$H$84:$H$99,MATCH(Emissions!$D79,EF!$D$84:$D$99,0))*INDEX(EF!$H$100:$H$115,MATCH(Emissions!$D79,EF!$D$100:$D$115,0))*INDEX(EF!$H$132:$H$147,MATCH(Emissions!$D79,EF!$D$132:$D$147,0))*kgtoGg</f>
        <v>2.0559289182704736</v>
      </c>
      <c r="M79" s="22">
        <f>INDEX('Activity data'!M$24:M$39,MATCH(Emissions!$D79,'Activity data'!$D$24:$D$39,0))*INDEX(EF!$H$84:$H$99,MATCH(Emissions!$D79,EF!$D$84:$D$99,0))*INDEX(EF!$H$100:$H$115,MATCH(Emissions!$D79,EF!$D$100:$D$115,0))*INDEX(EF!$H$132:$H$147,MATCH(Emissions!$D79,EF!$D$132:$D$147,0))*kgtoGg</f>
        <v>2.0559289182704736</v>
      </c>
      <c r="N79" s="22">
        <f>INDEX('Activity data'!N$24:N$39,MATCH(Emissions!$D79,'Activity data'!$D$24:$D$39,0))*INDEX(EF!$H$84:$H$99,MATCH(Emissions!$D79,EF!$D$84:$D$99,0))*INDEX(EF!$H$100:$H$115,MATCH(Emissions!$D79,EF!$D$100:$D$115,0))*INDEX(EF!$H$132:$H$147,MATCH(Emissions!$D79,EF!$D$132:$D$147,0))*kgtoGg</f>
        <v>2.0559289182704736</v>
      </c>
      <c r="O79" s="22">
        <f>INDEX('Activity data'!O$24:O$39,MATCH(Emissions!$D79,'Activity data'!$D$24:$D$39,0))*INDEX(EF!$H$84:$H$99,MATCH(Emissions!$D79,EF!$D$84:$D$99,0))*INDEX(EF!$H$100:$H$115,MATCH(Emissions!$D79,EF!$D$100:$D$115,0))*INDEX(EF!$H$132:$H$147,MATCH(Emissions!$D79,EF!$D$132:$D$147,0))*kgtoGg</f>
        <v>2.0559289182704736</v>
      </c>
      <c r="P79" s="22">
        <f>INDEX('Activity data'!P$24:P$39,MATCH(Emissions!$D79,'Activity data'!$D$24:$D$39,0))*INDEX(EF!$H$84:$H$99,MATCH(Emissions!$D79,EF!$D$84:$D$99,0))*INDEX(EF!$H$100:$H$115,MATCH(Emissions!$D79,EF!$D$100:$D$115,0))*INDEX(EF!$H$132:$H$147,MATCH(Emissions!$D79,EF!$D$132:$D$147,0))*kgtoGg</f>
        <v>2.0559289182704736</v>
      </c>
      <c r="Q79" s="22">
        <f>INDEX('Activity data'!Q$24:Q$39,MATCH(Emissions!$D79,'Activity data'!$D$24:$D$39,0))*INDEX(EF!$H$84:$H$99,MATCH(Emissions!$D79,EF!$D$84:$D$99,0))*INDEX(EF!$H$100:$H$115,MATCH(Emissions!$D79,EF!$D$100:$D$115,0))*INDEX(EF!$H$132:$H$147,MATCH(Emissions!$D79,EF!$D$132:$D$147,0))*kgtoGg</f>
        <v>2.0559289182704736</v>
      </c>
      <c r="R79" s="22">
        <f>INDEX('Activity data'!R$24:R$39,MATCH(Emissions!$D79,'Activity data'!$D$24:$D$39,0))*INDEX(EF!$H$84:$H$99,MATCH(Emissions!$D79,EF!$D$84:$D$99,0))*INDEX(EF!$H$100:$H$115,MATCH(Emissions!$D79,EF!$D$100:$D$115,0))*INDEX(EF!$H$132:$H$147,MATCH(Emissions!$D79,EF!$D$132:$D$147,0))*kgtoGg</f>
        <v>2.0422883654275221</v>
      </c>
      <c r="S79" s="22">
        <f>INDEX('Activity data'!S$24:S$39,MATCH(Emissions!$D79,'Activity data'!$D$24:$D$39,0))*INDEX(EF!$H$84:$H$99,MATCH(Emissions!$D79,EF!$D$84:$D$99,0))*INDEX(EF!$H$100:$H$115,MATCH(Emissions!$D79,EF!$D$100:$D$115,0))*INDEX(EF!$H$132:$H$147,MATCH(Emissions!$D79,EF!$D$132:$D$147,0))*kgtoGg</f>
        <v>2.3356218386669245</v>
      </c>
      <c r="T79" s="22">
        <f>INDEX('Activity data'!T$24:T$39,MATCH(Emissions!$D79,'Activity data'!$D$24:$D$39,0))*INDEX(EF!$H$84:$H$99,MATCH(Emissions!$D79,EF!$D$84:$D$99,0))*INDEX(EF!$H$100:$H$115,MATCH(Emissions!$D79,EF!$D$100:$D$115,0))*INDEX(EF!$H$132:$H$147,MATCH(Emissions!$D79,EF!$D$132:$D$147,0))*kgtoGg</f>
        <v>2.3760706670797545</v>
      </c>
      <c r="U79" s="22">
        <f>INDEX('Activity data'!U$24:U$39,MATCH(Emissions!$D79,'Activity data'!$D$24:$D$39,0))*INDEX(EF!$H$84:$H$99,MATCH(Emissions!$D79,EF!$D$84:$D$99,0))*INDEX(EF!$H$100:$H$115,MATCH(Emissions!$D79,EF!$D$100:$D$115,0))*INDEX(EF!$H$132:$H$147,MATCH(Emissions!$D79,EF!$D$132:$D$147,0))*kgtoGg</f>
        <v>1.9071940465634558</v>
      </c>
      <c r="V79" s="22">
        <f>INDEX('Activity data'!V$24:V$39,MATCH(Emissions!$D79,'Activity data'!$D$24:$D$39,0))*INDEX(EF!$H$84:$H$99,MATCH(Emissions!$D79,EF!$D$84:$D$99,0))*INDEX(EF!$H$100:$H$115,MATCH(Emissions!$D79,EF!$D$100:$D$115,0))*INDEX(EF!$H$132:$H$147,MATCH(Emissions!$D79,EF!$D$132:$D$147,0))*kgtoGg</f>
        <v>1.6184696736147095</v>
      </c>
      <c r="W79" s="22">
        <f>INDEX('Activity data'!W$24:W$39,MATCH(Emissions!$D79,'Activity data'!$D$24:$D$39,0))*INDEX(EF!$H$84:$H$99,MATCH(Emissions!$D79,EF!$D$84:$D$99,0))*INDEX(EF!$H$100:$H$115,MATCH(Emissions!$D79,EF!$D$100:$D$115,0))*INDEX(EF!$H$132:$H$147,MATCH(Emissions!$D79,EF!$D$132:$D$147,0))*kgtoGg</f>
        <v>2.5143834094226407</v>
      </c>
      <c r="X79" s="22">
        <f>INDEX('Activity data'!X$24:X$39,MATCH(Emissions!$D79,'Activity data'!$D$24:$D$39,0))*INDEX(EF!$H$84:$H$99,MATCH(Emissions!$D79,EF!$D$84:$D$99,0))*INDEX(EF!$H$100:$H$115,MATCH(Emissions!$D79,EF!$D$100:$D$115,0))*INDEX(EF!$H$132:$H$147,MATCH(Emissions!$D79,EF!$D$132:$D$147,0))*kgtoGg</f>
        <v>2.2148912245879653</v>
      </c>
      <c r="Y79" s="22">
        <f>INDEX('Activity data'!Y$24:Y$39,MATCH(Emissions!$D79,'Activity data'!$D$24:$D$39,0))*INDEX(EF!$H$84:$H$99,MATCH(Emissions!$D79,EF!$D$84:$D$99,0))*INDEX(EF!$H$100:$H$115,MATCH(Emissions!$D79,EF!$D$100:$D$115,0))*INDEX(EF!$H$132:$H$147,MATCH(Emissions!$D79,EF!$D$132:$D$147,0))*kgtoGg</f>
        <v>2.0867105561598827</v>
      </c>
      <c r="Z79" s="22">
        <f>INDEX('Activity data'!Z$24:Z$39,MATCH(Emissions!$D79,'Activity data'!$D$24:$D$39,0))*INDEX(EF!$H$84:$H$99,MATCH(Emissions!$D79,EF!$D$84:$D$99,0))*INDEX(EF!$H$100:$H$115,MATCH(Emissions!$D79,EF!$D$100:$D$115,0))*INDEX(EF!$H$132:$H$147,MATCH(Emissions!$D79,EF!$D$132:$D$147,0))*kgtoGg</f>
        <v>1.9391398796124881</v>
      </c>
      <c r="AA79" s="22">
        <f>INDEX('Activity data'!AA$24:AA$39,MATCH(Emissions!$D79,'Activity data'!$D$24:$D$39,0))*INDEX(EF!$H$84:$H$99,MATCH(Emissions!$D79,EF!$D$84:$D$99,0))*INDEX(EF!$H$100:$H$115,MATCH(Emissions!$D79,EF!$D$100:$D$115,0))*INDEX(EF!$H$132:$H$147,MATCH(Emissions!$D79,EF!$D$132:$D$147,0))*kgtoGg</f>
        <v>2.0058724997690169</v>
      </c>
      <c r="AB79" s="22">
        <f>INDEX('Activity data'!AB$24:AB$39,MATCH(Emissions!$D79,'Activity data'!$D$24:$D$39,0))*INDEX(EF!$H$84:$H$99,MATCH(Emissions!$D79,EF!$D$84:$D$99,0))*INDEX(EF!$H$100:$H$115,MATCH(Emissions!$D79,EF!$D$100:$D$115,0))*INDEX(EF!$H$132:$H$147,MATCH(Emissions!$D79,EF!$D$132:$D$147,0))*kgtoGg</f>
        <v>1.7294926458599997</v>
      </c>
      <c r="AC79" s="22">
        <f>INDEX('Activity data'!AC$24:AC$39,MATCH(Emissions!$D79,'Activity data'!$D$24:$D$39,0))*INDEX(EF!$H$84:$H$99,MATCH(Emissions!$D79,EF!$D$84:$D$99,0))*INDEX(EF!$H$100:$H$115,MATCH(Emissions!$D79,EF!$D$100:$D$115,0))*INDEX(EF!$H$132:$H$147,MATCH(Emissions!$D79,EF!$D$132:$D$147,0))*kgtoGg</f>
        <v>1.7569372791599995</v>
      </c>
      <c r="AD79" s="22">
        <f>INDEX('Activity data'!AD$24:AD$39,MATCH(Emissions!$D79,'Activity data'!$D$24:$D$39,0))*INDEX(EF!$H$84:$H$99,MATCH(Emissions!$D79,EF!$D$84:$D$99,0))*INDEX(EF!$H$100:$H$115,MATCH(Emissions!$D79,EF!$D$100:$D$115,0))*INDEX(EF!$H$132:$H$147,MATCH(Emissions!$D79,EF!$D$132:$D$147,0))*kgtoGg</f>
        <v>1.7476396139750874</v>
      </c>
      <c r="AE79" s="22">
        <f>INDEX('Activity data'!AE$24:AE$39,MATCH(Emissions!$D79,'Activity data'!$D$24:$D$39,0))*INDEX(EF!$H$84:$H$99,MATCH(Emissions!$D79,EF!$D$84:$D$99,0))*INDEX(EF!$H$100:$H$115,MATCH(Emissions!$D79,EF!$D$100:$D$115,0))*INDEX(EF!$H$132:$H$147,MATCH(Emissions!$D79,EF!$D$132:$D$147,0))*kgtoGg</f>
        <v>1.7588516448488245</v>
      </c>
      <c r="AF79" s="22">
        <f>INDEX('Activity data'!AF$24:AF$39,MATCH(Emissions!$D79,'Activity data'!$D$24:$D$39,0))*INDEX(EF!$H$84:$H$99,MATCH(Emissions!$D79,EF!$D$84:$D$99,0))*INDEX(EF!$H$100:$H$115,MATCH(Emissions!$D79,EF!$D$100:$D$115,0))*INDEX(EF!$H$132:$H$147,MATCH(Emissions!$D79,EF!$D$132:$D$147,0))*kgtoGg</f>
        <v>1.7700636757225612</v>
      </c>
      <c r="AG79" s="22">
        <f>INDEX('Activity data'!AG$24:AG$39,MATCH(Emissions!$D79,'Activity data'!$D$24:$D$39,0))*INDEX(EF!$H$84:$H$99,MATCH(Emissions!$D79,EF!$D$84:$D$99,0))*INDEX(EF!$H$100:$H$115,MATCH(Emissions!$D79,EF!$D$100:$D$115,0))*INDEX(EF!$H$132:$H$147,MATCH(Emissions!$D79,EF!$D$132:$D$147,0))*kgtoGg</f>
        <v>1.7812757065962979</v>
      </c>
      <c r="AH79" s="22">
        <f>INDEX('Activity data'!AH$24:AH$39,MATCH(Emissions!$D79,'Activity data'!$D$24:$D$39,0))*INDEX(EF!$H$84:$H$99,MATCH(Emissions!$D79,EF!$D$84:$D$99,0))*INDEX(EF!$H$100:$H$115,MATCH(Emissions!$D79,EF!$D$100:$D$115,0))*INDEX(EF!$H$132:$H$147,MATCH(Emissions!$D79,EF!$D$132:$D$147,0))*kgtoGg</f>
        <v>1.7924877374700352</v>
      </c>
      <c r="AI79" s="22">
        <f>INDEX('Activity data'!AI$24:AI$39,MATCH(Emissions!$D79,'Activity data'!$D$24:$D$39,0))*INDEX(EF!$H$84:$H$99,MATCH(Emissions!$D79,EF!$D$84:$D$99,0))*INDEX(EF!$H$100:$H$115,MATCH(Emissions!$D79,EF!$D$100:$D$115,0))*INDEX(EF!$H$132:$H$147,MATCH(Emissions!$D79,EF!$D$132:$D$147,0))*kgtoGg</f>
        <v>1.8036997683437717</v>
      </c>
      <c r="AJ79" s="22">
        <f>INDEX('Activity data'!AJ$24:AJ$39,MATCH(Emissions!$D79,'Activity data'!$D$24:$D$39,0))*INDEX(EF!$H$84:$H$99,MATCH(Emissions!$D79,EF!$D$84:$D$99,0))*INDEX(EF!$H$100:$H$115,MATCH(Emissions!$D79,EF!$D$100:$D$115,0))*INDEX(EF!$H$132:$H$147,MATCH(Emissions!$D79,EF!$D$132:$D$147,0))*kgtoGg</f>
        <v>1.8149117992175088</v>
      </c>
      <c r="AK79" s="22">
        <f>INDEX('Activity data'!AK$24:AK$39,MATCH(Emissions!$D79,'Activity data'!$D$24:$D$39,0))*INDEX(EF!$H$84:$H$99,MATCH(Emissions!$D79,EF!$D$84:$D$99,0))*INDEX(EF!$H$100:$H$115,MATCH(Emissions!$D79,EF!$D$100:$D$115,0))*INDEX(EF!$H$132:$H$147,MATCH(Emissions!$D79,EF!$D$132:$D$147,0))*kgtoGg</f>
        <v>1.8337408160133097</v>
      </c>
      <c r="AL79" s="22">
        <f>INDEX('Activity data'!AL$24:AL$39,MATCH(Emissions!$D79,'Activity data'!$D$24:$D$39,0))*INDEX(EF!$H$84:$H$99,MATCH(Emissions!$D79,EF!$D$84:$D$99,0))*INDEX(EF!$H$100:$H$115,MATCH(Emissions!$D79,EF!$D$100:$D$115,0))*INDEX(EF!$H$132:$H$147,MATCH(Emissions!$D79,EF!$D$132:$D$147,0))*kgtoGg</f>
        <v>1.8525698328091103</v>
      </c>
      <c r="AM79" s="22">
        <f>INDEX('Activity data'!AM$24:AM$39,MATCH(Emissions!$D79,'Activity data'!$D$24:$D$39,0))*INDEX(EF!$H$84:$H$99,MATCH(Emissions!$D79,EF!$D$84:$D$99,0))*INDEX(EF!$H$100:$H$115,MATCH(Emissions!$D79,EF!$D$100:$D$115,0))*INDEX(EF!$H$132:$H$147,MATCH(Emissions!$D79,EF!$D$132:$D$147,0))*kgtoGg</f>
        <v>1.8713988496049114</v>
      </c>
      <c r="AN79" s="22">
        <f>INDEX('Activity data'!AN$24:AN$39,MATCH(Emissions!$D79,'Activity data'!$D$24:$D$39,0))*INDEX(EF!$H$84:$H$99,MATCH(Emissions!$D79,EF!$D$84:$D$99,0))*INDEX(EF!$H$100:$H$115,MATCH(Emissions!$D79,EF!$D$100:$D$115,0))*INDEX(EF!$H$132:$H$147,MATCH(Emissions!$D79,EF!$D$132:$D$147,0))*kgtoGg</f>
        <v>1.8902278664007113</v>
      </c>
      <c r="AO79" s="22">
        <f>INDEX('Activity data'!AO$24:AO$39,MATCH(Emissions!$D79,'Activity data'!$D$24:$D$39,0))*INDEX(EF!$H$84:$H$99,MATCH(Emissions!$D79,EF!$D$84:$D$99,0))*INDEX(EF!$H$100:$H$115,MATCH(Emissions!$D79,EF!$D$100:$D$115,0))*INDEX(EF!$H$132:$H$147,MATCH(Emissions!$D79,EF!$D$132:$D$147,0))*kgtoGg</f>
        <v>1.9090568831965125</v>
      </c>
      <c r="AP79" s="22">
        <f>INDEX('Activity data'!AP$24:AP$39,MATCH(Emissions!$D79,'Activity data'!$D$24:$D$39,0))*INDEX(EF!$H$84:$H$99,MATCH(Emissions!$D79,EF!$D$84:$D$99,0))*INDEX(EF!$H$100:$H$115,MATCH(Emissions!$D79,EF!$D$100:$D$115,0))*INDEX(EF!$H$132:$H$147,MATCH(Emissions!$D79,EF!$D$132:$D$147,0))*kgtoGg</f>
        <v>1.9278858999923132</v>
      </c>
      <c r="AQ79" s="22">
        <f>INDEX('Activity data'!AQ$24:AQ$39,MATCH(Emissions!$D79,'Activity data'!$D$24:$D$39,0))*INDEX(EF!$H$84:$H$99,MATCH(Emissions!$D79,EF!$D$84:$D$99,0))*INDEX(EF!$H$100:$H$115,MATCH(Emissions!$D79,EF!$D$100:$D$115,0))*INDEX(EF!$H$132:$H$147,MATCH(Emissions!$D79,EF!$D$132:$D$147,0))*kgtoGg</f>
        <v>1.9467149167881139</v>
      </c>
      <c r="AR79" s="22">
        <f>INDEX('Activity data'!AR$24:AR$39,MATCH(Emissions!$D79,'Activity data'!$D$24:$D$39,0))*INDEX(EF!$H$84:$H$99,MATCH(Emissions!$D79,EF!$D$84:$D$99,0))*INDEX(EF!$H$100:$H$115,MATCH(Emissions!$D79,EF!$D$100:$D$115,0))*INDEX(EF!$H$132:$H$147,MATCH(Emissions!$D79,EF!$D$132:$D$147,0))*kgtoGg</f>
        <v>1.9655439335839147</v>
      </c>
      <c r="AS79" s="22">
        <f>INDEX('Activity data'!AS$24:AS$39,MATCH(Emissions!$D79,'Activity data'!$D$24:$D$39,0))*INDEX(EF!$H$84:$H$99,MATCH(Emissions!$D79,EF!$D$84:$D$99,0))*INDEX(EF!$H$100:$H$115,MATCH(Emissions!$D79,EF!$D$100:$D$115,0))*INDEX(EF!$H$132:$H$147,MATCH(Emissions!$D79,EF!$D$132:$D$147,0))*kgtoGg</f>
        <v>1.9843729503797152</v>
      </c>
      <c r="AT79" s="22">
        <f>INDEX('Activity data'!AT$24:AT$39,MATCH(Emissions!$D79,'Activity data'!$D$24:$D$39,0))*INDEX(EF!$H$84:$H$99,MATCH(Emissions!$D79,EF!$D$84:$D$99,0))*INDEX(EF!$H$100:$H$115,MATCH(Emissions!$D79,EF!$D$100:$D$115,0))*INDEX(EF!$H$132:$H$147,MATCH(Emissions!$D79,EF!$D$132:$D$147,0))*kgtoGg</f>
        <v>2.0032019671755164</v>
      </c>
      <c r="AU79" s="22">
        <f>INDEX('Activity data'!AU$24:AU$39,MATCH(Emissions!$D79,'Activity data'!$D$24:$D$39,0))*INDEX(EF!$H$84:$H$99,MATCH(Emissions!$D79,EF!$D$84:$D$99,0))*INDEX(EF!$H$100:$H$115,MATCH(Emissions!$D79,EF!$D$100:$D$115,0))*INDEX(EF!$H$132:$H$147,MATCH(Emissions!$D79,EF!$D$132:$D$147,0))*kgtoGg</f>
        <v>2.0220309839713169</v>
      </c>
      <c r="AV79" s="22">
        <f>INDEX('Activity data'!AV$24:AV$39,MATCH(Emissions!$D79,'Activity data'!$D$24:$D$39,0))*INDEX(EF!$H$84:$H$99,MATCH(Emissions!$D79,EF!$D$84:$D$99,0))*INDEX(EF!$H$100:$H$115,MATCH(Emissions!$D79,EF!$D$100:$D$115,0))*INDEX(EF!$H$132:$H$147,MATCH(Emissions!$D79,EF!$D$132:$D$147,0))*kgtoGg</f>
        <v>2.0408600007671174</v>
      </c>
      <c r="AW79" s="22">
        <f>INDEX('Activity data'!AW$24:AW$39,MATCH(Emissions!$D79,'Activity data'!$D$24:$D$39,0))*INDEX(EF!$H$84:$H$99,MATCH(Emissions!$D79,EF!$D$84:$D$99,0))*INDEX(EF!$H$100:$H$115,MATCH(Emissions!$D79,EF!$D$100:$D$115,0))*INDEX(EF!$H$132:$H$147,MATCH(Emissions!$D79,EF!$D$132:$D$147,0))*kgtoGg</f>
        <v>2.0600101805096163</v>
      </c>
      <c r="AX79" s="22">
        <f>INDEX('Activity data'!AX$24:AX$39,MATCH(Emissions!$D79,'Activity data'!$D$24:$D$39,0))*INDEX(EF!$H$84:$H$99,MATCH(Emissions!$D79,EF!$D$84:$D$99,0))*INDEX(EF!$H$100:$H$115,MATCH(Emissions!$D79,EF!$D$100:$D$115,0))*INDEX(EF!$H$132:$H$147,MATCH(Emissions!$D79,EF!$D$132:$D$147,0))*kgtoGg</f>
        <v>2.0791603602521147</v>
      </c>
      <c r="AY79" s="22">
        <f>INDEX('Activity data'!AY$24:AY$39,MATCH(Emissions!$D79,'Activity data'!$D$24:$D$39,0))*INDEX(EF!$H$84:$H$99,MATCH(Emissions!$D79,EF!$D$84:$D$99,0))*INDEX(EF!$H$100:$H$115,MATCH(Emissions!$D79,EF!$D$100:$D$115,0))*INDEX(EF!$H$132:$H$147,MATCH(Emissions!$D79,EF!$D$132:$D$147,0))*kgtoGg</f>
        <v>2.0983105399946136</v>
      </c>
      <c r="AZ79" s="22">
        <f>INDEX('Activity data'!AZ$24:AZ$39,MATCH(Emissions!$D79,'Activity data'!$D$24:$D$39,0))*INDEX(EF!$H$84:$H$99,MATCH(Emissions!$D79,EF!$D$84:$D$99,0))*INDEX(EF!$H$100:$H$115,MATCH(Emissions!$D79,EF!$D$100:$D$115,0))*INDEX(EF!$H$132:$H$147,MATCH(Emissions!$D79,EF!$D$132:$D$147,0))*kgtoGg</f>
        <v>2.1174607197371125</v>
      </c>
      <c r="BA79" s="22">
        <f>INDEX('Activity data'!BA$24:BA$39,MATCH(Emissions!$D79,'Activity data'!$D$24:$D$39,0))*INDEX(EF!$H$84:$H$99,MATCH(Emissions!$D79,EF!$D$84:$D$99,0))*INDEX(EF!$H$100:$H$115,MATCH(Emissions!$D79,EF!$D$100:$D$115,0))*INDEX(EF!$H$132:$H$147,MATCH(Emissions!$D79,EF!$D$132:$D$147,0))*kgtoGg</f>
        <v>2.1366108994796109</v>
      </c>
      <c r="BB79" s="22">
        <f>INDEX('Activity data'!BB$24:BB$39,MATCH(Emissions!$D79,'Activity data'!$D$24:$D$39,0))*INDEX(EF!$H$84:$H$99,MATCH(Emissions!$D79,EF!$D$84:$D$99,0))*INDEX(EF!$H$100:$H$115,MATCH(Emissions!$D79,EF!$D$100:$D$115,0))*INDEX(EF!$H$132:$H$147,MATCH(Emissions!$D79,EF!$D$132:$D$147,0))*kgtoGg</f>
        <v>2.1557610792221098</v>
      </c>
      <c r="BC79" s="22">
        <f>INDEX('Activity data'!BC$24:BC$39,MATCH(Emissions!$D79,'Activity data'!$D$24:$D$39,0))*INDEX(EF!$H$84:$H$99,MATCH(Emissions!$D79,EF!$D$84:$D$99,0))*INDEX(EF!$H$100:$H$115,MATCH(Emissions!$D79,EF!$D$100:$D$115,0))*INDEX(EF!$H$132:$H$147,MATCH(Emissions!$D79,EF!$D$132:$D$147,0))*kgtoGg</f>
        <v>2.1749112589646082</v>
      </c>
      <c r="BD79" s="22">
        <f>INDEX('Activity data'!BD$24:BD$39,MATCH(Emissions!$D79,'Activity data'!$D$24:$D$39,0))*INDEX(EF!$H$84:$H$99,MATCH(Emissions!$D79,EF!$D$84:$D$99,0))*INDEX(EF!$H$100:$H$115,MATCH(Emissions!$D79,EF!$D$100:$D$115,0))*INDEX(EF!$H$132:$H$147,MATCH(Emissions!$D79,EF!$D$132:$D$147,0))*kgtoGg</f>
        <v>2.1940614387071071</v>
      </c>
      <c r="BE79" s="22">
        <f>INDEX('Activity data'!BE$24:BE$39,MATCH(Emissions!$D79,'Activity data'!$D$24:$D$39,0))*INDEX(EF!$H$84:$H$99,MATCH(Emissions!$D79,EF!$D$84:$D$99,0))*INDEX(EF!$H$100:$H$115,MATCH(Emissions!$D79,EF!$D$100:$D$115,0))*INDEX(EF!$H$132:$H$147,MATCH(Emissions!$D79,EF!$D$132:$D$147,0))*kgtoGg</f>
        <v>2.2132116184496056</v>
      </c>
      <c r="BF79" s="22">
        <f>INDEX('Activity data'!BF$24:BF$39,MATCH(Emissions!$D79,'Activity data'!$D$24:$D$39,0))*INDEX(EF!$H$84:$H$99,MATCH(Emissions!$D79,EF!$D$84:$D$99,0))*INDEX(EF!$H$100:$H$115,MATCH(Emissions!$D79,EF!$D$100:$D$115,0))*INDEX(EF!$H$132:$H$147,MATCH(Emissions!$D79,EF!$D$132:$D$147,0))*kgtoGg</f>
        <v>2.232361798192104</v>
      </c>
      <c r="BG79" s="22">
        <f>INDEX('Activity data'!BG$24:BG$39,MATCH(Emissions!$D79,'Activity data'!$D$24:$D$39,0))*INDEX(EF!$H$84:$H$99,MATCH(Emissions!$D79,EF!$D$84:$D$99,0))*INDEX(EF!$H$100:$H$115,MATCH(Emissions!$D79,EF!$D$100:$D$115,0))*INDEX(EF!$H$132:$H$147,MATCH(Emissions!$D79,EF!$D$132:$D$147,0))*kgtoGg</f>
        <v>2.2515119779346029</v>
      </c>
      <c r="BH79" s="22">
        <f>INDEX('Activity data'!BH$24:BH$39,MATCH(Emissions!$D79,'Activity data'!$D$24:$D$39,0))*INDEX(EF!$H$84:$H$99,MATCH(Emissions!$D79,EF!$D$84:$D$99,0))*INDEX(EF!$H$100:$H$115,MATCH(Emissions!$D79,EF!$D$100:$D$115,0))*INDEX(EF!$H$132:$H$147,MATCH(Emissions!$D79,EF!$D$132:$D$147,0))*kgtoGg</f>
        <v>2.2706621576771018</v>
      </c>
      <c r="BI79" s="22">
        <f>INDEX('Activity data'!BI$24:BI$39,MATCH(Emissions!$D79,'Activity data'!$D$24:$D$39,0))*INDEX(EF!$H$84:$H$99,MATCH(Emissions!$D79,EF!$D$84:$D$99,0))*INDEX(EF!$H$100:$H$115,MATCH(Emissions!$D79,EF!$D$100:$D$115,0))*INDEX(EF!$H$132:$H$147,MATCH(Emissions!$D79,EF!$D$132:$D$147,0))*kgtoGg</f>
        <v>2.2898123374196002</v>
      </c>
      <c r="BJ79" s="22">
        <f>INDEX('Activity data'!BJ$24:BJ$39,MATCH(Emissions!$D79,'Activity data'!$D$24:$D$39,0))*INDEX(EF!$H$84:$H$99,MATCH(Emissions!$D79,EF!$D$84:$D$99,0))*INDEX(EF!$H$100:$H$115,MATCH(Emissions!$D79,EF!$D$100:$D$115,0))*INDEX(EF!$H$132:$H$147,MATCH(Emissions!$D79,EF!$D$132:$D$147,0))*kgtoGg</f>
        <v>2.3089625171620991</v>
      </c>
      <c r="BK79" s="22">
        <f>INDEX('Activity data'!BK$24:BK$39,MATCH(Emissions!$D79,'Activity data'!$D$24:$D$39,0))*INDEX(EF!$H$84:$H$99,MATCH(Emissions!$D79,EF!$D$84:$D$99,0))*INDEX(EF!$H$100:$H$115,MATCH(Emissions!$D79,EF!$D$100:$D$115,0))*INDEX(EF!$H$132:$H$147,MATCH(Emissions!$D79,EF!$D$132:$D$147,0))*kgtoGg</f>
        <v>2.328112696904598</v>
      </c>
      <c r="BL79" s="22">
        <f>INDEX('Activity data'!BL$24:BL$39,MATCH(Emissions!$D79,'Activity data'!$D$24:$D$39,0))*INDEX(EF!$H$84:$H$99,MATCH(Emissions!$D79,EF!$D$84:$D$99,0))*INDEX(EF!$H$100:$H$115,MATCH(Emissions!$D79,EF!$D$100:$D$115,0))*INDEX(EF!$H$132:$H$147,MATCH(Emissions!$D79,EF!$D$132:$D$147,0))*kgtoGg</f>
        <v>2.3472628766470964</v>
      </c>
      <c r="BM79" s="22">
        <f>INDEX('Activity data'!BM$24:BM$39,MATCH(Emissions!$D79,'Activity data'!$D$24:$D$39,0))*INDEX(EF!$H$84:$H$99,MATCH(Emissions!$D79,EF!$D$84:$D$99,0))*INDEX(EF!$H$100:$H$115,MATCH(Emissions!$D79,EF!$D$100:$D$115,0))*INDEX(EF!$H$132:$H$147,MATCH(Emissions!$D79,EF!$D$132:$D$147,0))*kgtoGg</f>
        <v>2.3664130563895953</v>
      </c>
      <c r="BN79" s="22">
        <f>INDEX('Activity data'!BN$24:BN$39,MATCH(Emissions!$D79,'Activity data'!$D$24:$D$39,0))*INDEX(EF!$H$84:$H$99,MATCH(Emissions!$D79,EF!$D$84:$D$99,0))*INDEX(EF!$H$100:$H$115,MATCH(Emissions!$D79,EF!$D$100:$D$115,0))*INDEX(EF!$H$132:$H$147,MATCH(Emissions!$D79,EF!$D$132:$D$147,0))*kgtoGg</f>
        <v>2.3855632361320942</v>
      </c>
      <c r="BO79" s="22">
        <f>INDEX('Activity data'!BO$24:BO$39,MATCH(Emissions!$D79,'Activity data'!$D$24:$D$39,0))*INDEX(EF!$H$84:$H$99,MATCH(Emissions!$D79,EF!$D$84:$D$99,0))*INDEX(EF!$H$100:$H$115,MATCH(Emissions!$D79,EF!$D$100:$D$115,0))*INDEX(EF!$H$132:$H$147,MATCH(Emissions!$D79,EF!$D$132:$D$147,0))*kgtoGg</f>
        <v>2.4047134158745926</v>
      </c>
      <c r="BP79" s="22">
        <f>INDEX('Activity data'!BP$24:BP$39,MATCH(Emissions!$D79,'Activity data'!$D$24:$D$39,0))*INDEX(EF!$H$84:$H$99,MATCH(Emissions!$D79,EF!$D$84:$D$99,0))*INDEX(EF!$H$100:$H$115,MATCH(Emissions!$D79,EF!$D$100:$D$115,0))*INDEX(EF!$H$132:$H$147,MATCH(Emissions!$D79,EF!$D$132:$D$147,0))*kgtoGg</f>
        <v>2.4238635956170911</v>
      </c>
    </row>
    <row r="80" spans="1:68" x14ac:dyDescent="0.25">
      <c r="A80" t="str">
        <f t="shared" si="19"/>
        <v>3C Aggregated and non-CO2 emissions on land</v>
      </c>
      <c r="B80" t="str">
        <f t="shared" si="26"/>
        <v>3C1 Biomass burning (N2O)</v>
      </c>
      <c r="C80" t="str">
        <f t="shared" si="25"/>
        <v>3C1c Biomass burning in Grasslands</v>
      </c>
      <c r="D80" t="str">
        <f>EF!D110</f>
        <v>Low shrublands</v>
      </c>
      <c r="E80" t="s">
        <v>651</v>
      </c>
      <c r="F80" t="str">
        <f t="shared" si="27"/>
        <v>N2O</v>
      </c>
      <c r="G80" t="str">
        <f t="shared" si="28"/>
        <v>Gg N2O</v>
      </c>
      <c r="H80" s="22">
        <f>INDEX('Activity data'!H$24:H$39,MATCH(Emissions!$D80,'Activity data'!$D$24:$D$39,0))*INDEX(EF!$H$84:$H$99,MATCH(Emissions!$D80,EF!$D$84:$D$99,0))*INDEX(EF!$H$100:$H$115,MATCH(Emissions!$D80,EF!$D$100:$D$115,0))*INDEX(EF!$H$132:$H$147,MATCH(Emissions!$D80,EF!$D$132:$D$147,0))*kgtoGg</f>
        <v>0.10138378574782032</v>
      </c>
      <c r="I80" s="22">
        <f>INDEX('Activity data'!I$24:I$39,MATCH(Emissions!$D80,'Activity data'!$D$24:$D$39,0))*INDEX(EF!$H$84:$H$99,MATCH(Emissions!$D80,EF!$D$84:$D$99,0))*INDEX(EF!$H$100:$H$115,MATCH(Emissions!$D80,EF!$D$100:$D$115,0))*INDEX(EF!$H$132:$H$147,MATCH(Emissions!$D80,EF!$D$132:$D$147,0))*kgtoGg</f>
        <v>0.10138378574782032</v>
      </c>
      <c r="J80" s="22">
        <f>INDEX('Activity data'!J$24:J$39,MATCH(Emissions!$D80,'Activity data'!$D$24:$D$39,0))*INDEX(EF!$H$84:$H$99,MATCH(Emissions!$D80,EF!$D$84:$D$99,0))*INDEX(EF!$H$100:$H$115,MATCH(Emissions!$D80,EF!$D$100:$D$115,0))*INDEX(EF!$H$132:$H$147,MATCH(Emissions!$D80,EF!$D$132:$D$147,0))*kgtoGg</f>
        <v>0.10138378574782032</v>
      </c>
      <c r="K80" s="22">
        <f>INDEX('Activity data'!K$24:K$39,MATCH(Emissions!$D80,'Activity data'!$D$24:$D$39,0))*INDEX(EF!$H$84:$H$99,MATCH(Emissions!$D80,EF!$D$84:$D$99,0))*INDEX(EF!$H$100:$H$115,MATCH(Emissions!$D80,EF!$D$100:$D$115,0))*INDEX(EF!$H$132:$H$147,MATCH(Emissions!$D80,EF!$D$132:$D$147,0))*kgtoGg</f>
        <v>0.10138378574782032</v>
      </c>
      <c r="L80" s="22">
        <f>INDEX('Activity data'!L$24:L$39,MATCH(Emissions!$D80,'Activity data'!$D$24:$D$39,0))*INDEX(EF!$H$84:$H$99,MATCH(Emissions!$D80,EF!$D$84:$D$99,0))*INDEX(EF!$H$100:$H$115,MATCH(Emissions!$D80,EF!$D$100:$D$115,0))*INDEX(EF!$H$132:$H$147,MATCH(Emissions!$D80,EF!$D$132:$D$147,0))*kgtoGg</f>
        <v>0.10138378574782032</v>
      </c>
      <c r="M80" s="22">
        <f>INDEX('Activity data'!M$24:M$39,MATCH(Emissions!$D80,'Activity data'!$D$24:$D$39,0))*INDEX(EF!$H$84:$H$99,MATCH(Emissions!$D80,EF!$D$84:$D$99,0))*INDEX(EF!$H$100:$H$115,MATCH(Emissions!$D80,EF!$D$100:$D$115,0))*INDEX(EF!$H$132:$H$147,MATCH(Emissions!$D80,EF!$D$132:$D$147,0))*kgtoGg</f>
        <v>0.10138378574782032</v>
      </c>
      <c r="N80" s="22">
        <f>INDEX('Activity data'!N$24:N$39,MATCH(Emissions!$D80,'Activity data'!$D$24:$D$39,0))*INDEX(EF!$H$84:$H$99,MATCH(Emissions!$D80,EF!$D$84:$D$99,0))*INDEX(EF!$H$100:$H$115,MATCH(Emissions!$D80,EF!$D$100:$D$115,0))*INDEX(EF!$H$132:$H$147,MATCH(Emissions!$D80,EF!$D$132:$D$147,0))*kgtoGg</f>
        <v>0.10138378574782032</v>
      </c>
      <c r="O80" s="22">
        <f>INDEX('Activity data'!O$24:O$39,MATCH(Emissions!$D80,'Activity data'!$D$24:$D$39,0))*INDEX(EF!$H$84:$H$99,MATCH(Emissions!$D80,EF!$D$84:$D$99,0))*INDEX(EF!$H$100:$H$115,MATCH(Emissions!$D80,EF!$D$100:$D$115,0))*INDEX(EF!$H$132:$H$147,MATCH(Emissions!$D80,EF!$D$132:$D$147,0))*kgtoGg</f>
        <v>0.10138378574782032</v>
      </c>
      <c r="P80" s="22">
        <f>INDEX('Activity data'!P$24:P$39,MATCH(Emissions!$D80,'Activity data'!$D$24:$D$39,0))*INDEX(EF!$H$84:$H$99,MATCH(Emissions!$D80,EF!$D$84:$D$99,0))*INDEX(EF!$H$100:$H$115,MATCH(Emissions!$D80,EF!$D$100:$D$115,0))*INDEX(EF!$H$132:$H$147,MATCH(Emissions!$D80,EF!$D$132:$D$147,0))*kgtoGg</f>
        <v>0.10138378574782032</v>
      </c>
      <c r="Q80" s="22">
        <f>INDEX('Activity data'!Q$24:Q$39,MATCH(Emissions!$D80,'Activity data'!$D$24:$D$39,0))*INDEX(EF!$H$84:$H$99,MATCH(Emissions!$D80,EF!$D$84:$D$99,0))*INDEX(EF!$H$100:$H$115,MATCH(Emissions!$D80,EF!$D$100:$D$115,0))*INDEX(EF!$H$132:$H$147,MATCH(Emissions!$D80,EF!$D$132:$D$147,0))*kgtoGg</f>
        <v>0.10138378574782032</v>
      </c>
      <c r="R80" s="22">
        <f>INDEX('Activity data'!R$24:R$39,MATCH(Emissions!$D80,'Activity data'!$D$24:$D$39,0))*INDEX(EF!$H$84:$H$99,MATCH(Emissions!$D80,EF!$D$84:$D$99,0))*INDEX(EF!$H$100:$H$115,MATCH(Emissions!$D80,EF!$D$100:$D$115,0))*INDEX(EF!$H$132:$H$147,MATCH(Emissions!$D80,EF!$D$132:$D$147,0))*kgtoGg</f>
        <v>8.5231141447125972E-2</v>
      </c>
      <c r="S80" s="22">
        <f>INDEX('Activity data'!S$24:S$39,MATCH(Emissions!$D80,'Activity data'!$D$24:$D$39,0))*INDEX(EF!$H$84:$H$99,MATCH(Emissions!$D80,EF!$D$84:$D$99,0))*INDEX(EF!$H$100:$H$115,MATCH(Emissions!$D80,EF!$D$100:$D$115,0))*INDEX(EF!$H$132:$H$147,MATCH(Emissions!$D80,EF!$D$132:$D$147,0))*kgtoGg</f>
        <v>7.1709459975422038E-2</v>
      </c>
      <c r="T80" s="22">
        <f>INDEX('Activity data'!T$24:T$39,MATCH(Emissions!$D80,'Activity data'!$D$24:$D$39,0))*INDEX(EF!$H$84:$H$99,MATCH(Emissions!$D80,EF!$D$84:$D$99,0))*INDEX(EF!$H$100:$H$115,MATCH(Emissions!$D80,EF!$D$100:$D$115,0))*INDEX(EF!$H$132:$H$147,MATCH(Emissions!$D80,EF!$D$132:$D$147,0))*kgtoGg</f>
        <v>0.17455023310662754</v>
      </c>
      <c r="U80" s="22">
        <f>INDEX('Activity data'!U$24:U$39,MATCH(Emissions!$D80,'Activity data'!$D$24:$D$39,0))*INDEX(EF!$H$84:$H$99,MATCH(Emissions!$D80,EF!$D$84:$D$99,0))*INDEX(EF!$H$100:$H$115,MATCH(Emissions!$D80,EF!$D$100:$D$115,0))*INDEX(EF!$H$132:$H$147,MATCH(Emissions!$D80,EF!$D$132:$D$147,0))*kgtoGg</f>
        <v>0.10888098161808096</v>
      </c>
      <c r="V80" s="22">
        <f>INDEX('Activity data'!V$24:V$39,MATCH(Emissions!$D80,'Activity data'!$D$24:$D$39,0))*INDEX(EF!$H$84:$H$99,MATCH(Emissions!$D80,EF!$D$84:$D$99,0))*INDEX(EF!$H$100:$H$115,MATCH(Emissions!$D80,EF!$D$100:$D$115,0))*INDEX(EF!$H$132:$H$147,MATCH(Emissions!$D80,EF!$D$132:$D$147,0))*kgtoGg</f>
        <v>6.6547112591845162E-2</v>
      </c>
      <c r="W80" s="22">
        <f>INDEX('Activity data'!W$24:W$39,MATCH(Emissions!$D80,'Activity data'!$D$24:$D$39,0))*INDEX(EF!$H$84:$H$99,MATCH(Emissions!$D80,EF!$D$84:$D$99,0))*INDEX(EF!$H$100:$H$115,MATCH(Emissions!$D80,EF!$D$100:$D$115,0))*INDEX(EF!$H$132:$H$147,MATCH(Emissions!$D80,EF!$D$132:$D$147,0))*kgtoGg</f>
        <v>0.112929624616876</v>
      </c>
      <c r="X80" s="22">
        <f>INDEX('Activity data'!X$24:X$39,MATCH(Emissions!$D80,'Activity data'!$D$24:$D$39,0))*INDEX(EF!$H$84:$H$99,MATCH(Emissions!$D80,EF!$D$84:$D$99,0))*INDEX(EF!$H$100:$H$115,MATCH(Emissions!$D80,EF!$D$100:$D$115,0))*INDEX(EF!$H$132:$H$147,MATCH(Emissions!$D80,EF!$D$132:$D$147,0))*kgtoGg</f>
        <v>8.765508628459226E-2</v>
      </c>
      <c r="Y80" s="22">
        <f>INDEX('Activity data'!Y$24:Y$39,MATCH(Emissions!$D80,'Activity data'!$D$24:$D$39,0))*INDEX(EF!$H$84:$H$99,MATCH(Emissions!$D80,EF!$D$84:$D$99,0))*INDEX(EF!$H$100:$H$115,MATCH(Emissions!$D80,EF!$D$100:$D$115,0))*INDEX(EF!$H$132:$H$147,MATCH(Emissions!$D80,EF!$D$132:$D$147,0))*kgtoGg</f>
        <v>7.5430542861045974E-2</v>
      </c>
      <c r="Z80" s="22">
        <f>INDEX('Activity data'!Z$24:Z$39,MATCH(Emissions!$D80,'Activity data'!$D$24:$D$39,0))*INDEX(EF!$H$84:$H$99,MATCH(Emissions!$D80,EF!$D$84:$D$99,0))*INDEX(EF!$H$100:$H$115,MATCH(Emissions!$D80,EF!$D$100:$D$115,0))*INDEX(EF!$H$132:$H$147,MATCH(Emissions!$D80,EF!$D$132:$D$147,0))*kgtoGg</f>
        <v>9.1349964361162508E-2</v>
      </c>
      <c r="AA80" s="22">
        <f>INDEX('Activity data'!AA$24:AA$39,MATCH(Emissions!$D80,'Activity data'!$D$24:$D$39,0))*INDEX(EF!$H$84:$H$99,MATCH(Emissions!$D80,EF!$D$84:$D$99,0))*INDEX(EF!$H$100:$H$115,MATCH(Emissions!$D80,EF!$D$100:$D$115,0))*INDEX(EF!$H$132:$H$147,MATCH(Emissions!$D80,EF!$D$132:$D$147,0))*kgtoGg</f>
        <v>0.12220612702188222</v>
      </c>
      <c r="AB80" s="22">
        <f>INDEX('Activity data'!AB$24:AB$39,MATCH(Emissions!$D80,'Activity data'!$D$24:$D$39,0))*INDEX(EF!$H$84:$H$99,MATCH(Emissions!$D80,EF!$D$84:$D$99,0))*INDEX(EF!$H$100:$H$115,MATCH(Emissions!$D80,EF!$D$100:$D$115,0))*INDEX(EF!$H$132:$H$147,MATCH(Emissions!$D80,EF!$D$132:$D$147,0))*kgtoGg</f>
        <v>0.29256780571200003</v>
      </c>
      <c r="AC80" s="22">
        <f>INDEX('Activity data'!AC$24:AC$39,MATCH(Emissions!$D80,'Activity data'!$D$24:$D$39,0))*INDEX(EF!$H$84:$H$99,MATCH(Emissions!$D80,EF!$D$84:$D$99,0))*INDEX(EF!$H$100:$H$115,MATCH(Emissions!$D80,EF!$D$100:$D$115,0))*INDEX(EF!$H$132:$H$147,MATCH(Emissions!$D80,EF!$D$132:$D$147,0))*kgtoGg</f>
        <v>0.29394949671360004</v>
      </c>
      <c r="AD80" s="22">
        <f>INDEX('Activity data'!AD$24:AD$39,MATCH(Emissions!$D80,'Activity data'!$D$24:$D$39,0))*INDEX(EF!$H$84:$H$99,MATCH(Emissions!$D80,EF!$D$84:$D$99,0))*INDEX(EF!$H$100:$H$115,MATCH(Emissions!$D80,EF!$D$100:$D$115,0))*INDEX(EF!$H$132:$H$147,MATCH(Emissions!$D80,EF!$D$132:$D$147,0))*kgtoGg</f>
        <v>0.15509939522155319</v>
      </c>
      <c r="AE80" s="22">
        <f>INDEX('Activity data'!AE$24:AE$39,MATCH(Emissions!$D80,'Activity data'!$D$24:$D$39,0))*INDEX(EF!$H$84:$H$99,MATCH(Emissions!$D80,EF!$D$84:$D$99,0))*INDEX(EF!$H$100:$H$115,MATCH(Emissions!$D80,EF!$D$100:$D$115,0))*INDEX(EF!$H$132:$H$147,MATCH(Emissions!$D80,EF!$D$132:$D$147,0))*kgtoGg</f>
        <v>0.15463335341286163</v>
      </c>
      <c r="AF80" s="22">
        <f>INDEX('Activity data'!AF$24:AF$39,MATCH(Emissions!$D80,'Activity data'!$D$24:$D$39,0))*INDEX(EF!$H$84:$H$99,MATCH(Emissions!$D80,EF!$D$84:$D$99,0))*INDEX(EF!$H$100:$H$115,MATCH(Emissions!$D80,EF!$D$100:$D$115,0))*INDEX(EF!$H$132:$H$147,MATCH(Emissions!$D80,EF!$D$132:$D$147,0))*kgtoGg</f>
        <v>0.15416731160417008</v>
      </c>
      <c r="AG80" s="22">
        <f>INDEX('Activity data'!AG$24:AG$39,MATCH(Emissions!$D80,'Activity data'!$D$24:$D$39,0))*INDEX(EF!$H$84:$H$99,MATCH(Emissions!$D80,EF!$D$84:$D$99,0))*INDEX(EF!$H$100:$H$115,MATCH(Emissions!$D80,EF!$D$100:$D$115,0))*INDEX(EF!$H$132:$H$147,MATCH(Emissions!$D80,EF!$D$132:$D$147,0))*kgtoGg</f>
        <v>0.15370126979547846</v>
      </c>
      <c r="AH80" s="22">
        <f>INDEX('Activity data'!AH$24:AH$39,MATCH(Emissions!$D80,'Activity data'!$D$24:$D$39,0))*INDEX(EF!$H$84:$H$99,MATCH(Emissions!$D80,EF!$D$84:$D$99,0))*INDEX(EF!$H$100:$H$115,MATCH(Emissions!$D80,EF!$D$100:$D$115,0))*INDEX(EF!$H$132:$H$147,MATCH(Emissions!$D80,EF!$D$132:$D$147,0))*kgtoGg</f>
        <v>0.15323522798678688</v>
      </c>
      <c r="AI80" s="22">
        <f>INDEX('Activity data'!AI$24:AI$39,MATCH(Emissions!$D80,'Activity data'!$D$24:$D$39,0))*INDEX(EF!$H$84:$H$99,MATCH(Emissions!$D80,EF!$D$84:$D$99,0))*INDEX(EF!$H$100:$H$115,MATCH(Emissions!$D80,EF!$D$100:$D$115,0))*INDEX(EF!$H$132:$H$147,MATCH(Emissions!$D80,EF!$D$132:$D$147,0))*kgtoGg</f>
        <v>0.15276918617809529</v>
      </c>
      <c r="AJ80" s="22">
        <f>INDEX('Activity data'!AJ$24:AJ$39,MATCH(Emissions!$D80,'Activity data'!$D$24:$D$39,0))*INDEX(EF!$H$84:$H$99,MATCH(Emissions!$D80,EF!$D$84:$D$99,0))*INDEX(EF!$H$100:$H$115,MATCH(Emissions!$D80,EF!$D$100:$D$115,0))*INDEX(EF!$H$132:$H$147,MATCH(Emissions!$D80,EF!$D$132:$D$147,0))*kgtoGg</f>
        <v>0.1523031443694037</v>
      </c>
      <c r="AK80" s="22">
        <f>INDEX('Activity data'!AK$24:AK$39,MATCH(Emissions!$D80,'Activity data'!$D$24:$D$39,0))*INDEX(EF!$H$84:$H$99,MATCH(Emissions!$D80,EF!$D$84:$D$99,0))*INDEX(EF!$H$100:$H$115,MATCH(Emissions!$D80,EF!$D$100:$D$115,0))*INDEX(EF!$H$132:$H$147,MATCH(Emissions!$D80,EF!$D$132:$D$147,0))*kgtoGg</f>
        <v>0.15183710256071217</v>
      </c>
      <c r="AL80" s="22">
        <f>INDEX('Activity data'!AL$24:AL$39,MATCH(Emissions!$D80,'Activity data'!$D$24:$D$39,0))*INDEX(EF!$H$84:$H$99,MATCH(Emissions!$D80,EF!$D$84:$D$99,0))*INDEX(EF!$H$100:$H$115,MATCH(Emissions!$D80,EF!$D$100:$D$115,0))*INDEX(EF!$H$132:$H$147,MATCH(Emissions!$D80,EF!$D$132:$D$147,0))*kgtoGg</f>
        <v>0.15137106075202056</v>
      </c>
      <c r="AM80" s="22">
        <f>INDEX('Activity data'!AM$24:AM$39,MATCH(Emissions!$D80,'Activity data'!$D$24:$D$39,0))*INDEX(EF!$H$84:$H$99,MATCH(Emissions!$D80,EF!$D$84:$D$99,0))*INDEX(EF!$H$100:$H$115,MATCH(Emissions!$D80,EF!$D$100:$D$115,0))*INDEX(EF!$H$132:$H$147,MATCH(Emissions!$D80,EF!$D$132:$D$147,0))*kgtoGg</f>
        <v>0.15090501894332897</v>
      </c>
      <c r="AN80" s="22">
        <f>INDEX('Activity data'!AN$24:AN$39,MATCH(Emissions!$D80,'Activity data'!$D$24:$D$39,0))*INDEX(EF!$H$84:$H$99,MATCH(Emissions!$D80,EF!$D$84:$D$99,0))*INDEX(EF!$H$100:$H$115,MATCH(Emissions!$D80,EF!$D$100:$D$115,0))*INDEX(EF!$H$132:$H$147,MATCH(Emissions!$D80,EF!$D$132:$D$147,0))*kgtoGg</f>
        <v>0.15043897713463741</v>
      </c>
      <c r="AO80" s="22">
        <f>INDEX('Activity data'!AO$24:AO$39,MATCH(Emissions!$D80,'Activity data'!$D$24:$D$39,0))*INDEX(EF!$H$84:$H$99,MATCH(Emissions!$D80,EF!$D$84:$D$99,0))*INDEX(EF!$H$100:$H$115,MATCH(Emissions!$D80,EF!$D$100:$D$115,0))*INDEX(EF!$H$132:$H$147,MATCH(Emissions!$D80,EF!$D$132:$D$147,0))*kgtoGg</f>
        <v>0.14997293532594583</v>
      </c>
      <c r="AP80" s="22">
        <f>INDEX('Activity data'!AP$24:AP$39,MATCH(Emissions!$D80,'Activity data'!$D$24:$D$39,0))*INDEX(EF!$H$84:$H$99,MATCH(Emissions!$D80,EF!$D$84:$D$99,0))*INDEX(EF!$H$100:$H$115,MATCH(Emissions!$D80,EF!$D$100:$D$115,0))*INDEX(EF!$H$132:$H$147,MATCH(Emissions!$D80,EF!$D$132:$D$147,0))*kgtoGg</f>
        <v>0.14950689351725424</v>
      </c>
      <c r="AQ80" s="22">
        <f>INDEX('Activity data'!AQ$24:AQ$39,MATCH(Emissions!$D80,'Activity data'!$D$24:$D$39,0))*INDEX(EF!$H$84:$H$99,MATCH(Emissions!$D80,EF!$D$84:$D$99,0))*INDEX(EF!$H$100:$H$115,MATCH(Emissions!$D80,EF!$D$100:$D$115,0))*INDEX(EF!$H$132:$H$147,MATCH(Emissions!$D80,EF!$D$132:$D$147,0))*kgtoGg</f>
        <v>0.14904085170856263</v>
      </c>
      <c r="AR80" s="22">
        <f>INDEX('Activity data'!AR$24:AR$39,MATCH(Emissions!$D80,'Activity data'!$D$24:$D$39,0))*INDEX(EF!$H$84:$H$99,MATCH(Emissions!$D80,EF!$D$84:$D$99,0))*INDEX(EF!$H$100:$H$115,MATCH(Emissions!$D80,EF!$D$100:$D$115,0))*INDEX(EF!$H$132:$H$147,MATCH(Emissions!$D80,EF!$D$132:$D$147,0))*kgtoGg</f>
        <v>0.14857480989987112</v>
      </c>
      <c r="AS80" s="22">
        <f>INDEX('Activity data'!AS$24:AS$39,MATCH(Emissions!$D80,'Activity data'!$D$24:$D$39,0))*INDEX(EF!$H$84:$H$99,MATCH(Emissions!$D80,EF!$D$84:$D$99,0))*INDEX(EF!$H$100:$H$115,MATCH(Emissions!$D80,EF!$D$100:$D$115,0))*INDEX(EF!$H$132:$H$147,MATCH(Emissions!$D80,EF!$D$132:$D$147,0))*kgtoGg</f>
        <v>0.14810876809117951</v>
      </c>
      <c r="AT80" s="22">
        <f>INDEX('Activity data'!AT$24:AT$39,MATCH(Emissions!$D80,'Activity data'!$D$24:$D$39,0))*INDEX(EF!$H$84:$H$99,MATCH(Emissions!$D80,EF!$D$84:$D$99,0))*INDEX(EF!$H$100:$H$115,MATCH(Emissions!$D80,EF!$D$100:$D$115,0))*INDEX(EF!$H$132:$H$147,MATCH(Emissions!$D80,EF!$D$132:$D$147,0))*kgtoGg</f>
        <v>0.1476427262824879</v>
      </c>
      <c r="AU80" s="22">
        <f>INDEX('Activity data'!AU$24:AU$39,MATCH(Emissions!$D80,'Activity data'!$D$24:$D$39,0))*INDEX(EF!$H$84:$H$99,MATCH(Emissions!$D80,EF!$D$84:$D$99,0))*INDEX(EF!$H$100:$H$115,MATCH(Emissions!$D80,EF!$D$100:$D$115,0))*INDEX(EF!$H$132:$H$147,MATCH(Emissions!$D80,EF!$D$132:$D$147,0))*kgtoGg</f>
        <v>0.14717668447379634</v>
      </c>
      <c r="AV80" s="22">
        <f>INDEX('Activity data'!AV$24:AV$39,MATCH(Emissions!$D80,'Activity data'!$D$24:$D$39,0))*INDEX(EF!$H$84:$H$99,MATCH(Emissions!$D80,EF!$D$84:$D$99,0))*INDEX(EF!$H$100:$H$115,MATCH(Emissions!$D80,EF!$D$100:$D$115,0))*INDEX(EF!$H$132:$H$147,MATCH(Emissions!$D80,EF!$D$132:$D$147,0))*kgtoGg</f>
        <v>0.14671064266510475</v>
      </c>
      <c r="AW80" s="22">
        <f>INDEX('Activity data'!AW$24:AW$39,MATCH(Emissions!$D80,'Activity data'!$D$24:$D$39,0))*INDEX(EF!$H$84:$H$99,MATCH(Emissions!$D80,EF!$D$84:$D$99,0))*INDEX(EF!$H$100:$H$115,MATCH(Emissions!$D80,EF!$D$100:$D$115,0))*INDEX(EF!$H$132:$H$147,MATCH(Emissions!$D80,EF!$D$132:$D$147,0))*kgtoGg</f>
        <v>0.14624460085641319</v>
      </c>
      <c r="AX80" s="22">
        <f>INDEX('Activity data'!AX$24:AX$39,MATCH(Emissions!$D80,'Activity data'!$D$24:$D$39,0))*INDEX(EF!$H$84:$H$99,MATCH(Emissions!$D80,EF!$D$84:$D$99,0))*INDEX(EF!$H$100:$H$115,MATCH(Emissions!$D80,EF!$D$100:$D$115,0))*INDEX(EF!$H$132:$H$147,MATCH(Emissions!$D80,EF!$D$132:$D$147,0))*kgtoGg</f>
        <v>0.14577855904772158</v>
      </c>
      <c r="AY80" s="22">
        <f>INDEX('Activity data'!AY$24:AY$39,MATCH(Emissions!$D80,'Activity data'!$D$24:$D$39,0))*INDEX(EF!$H$84:$H$99,MATCH(Emissions!$D80,EF!$D$84:$D$99,0))*INDEX(EF!$H$100:$H$115,MATCH(Emissions!$D80,EF!$D$100:$D$115,0))*INDEX(EF!$H$132:$H$147,MATCH(Emissions!$D80,EF!$D$132:$D$147,0))*kgtoGg</f>
        <v>0.14531251723903005</v>
      </c>
      <c r="AZ80" s="22">
        <f>INDEX('Activity data'!AZ$24:AZ$39,MATCH(Emissions!$D80,'Activity data'!$D$24:$D$39,0))*INDEX(EF!$H$84:$H$99,MATCH(Emissions!$D80,EF!$D$84:$D$99,0))*INDEX(EF!$H$100:$H$115,MATCH(Emissions!$D80,EF!$D$100:$D$115,0))*INDEX(EF!$H$132:$H$147,MATCH(Emissions!$D80,EF!$D$132:$D$147,0))*kgtoGg</f>
        <v>0.14484647543033843</v>
      </c>
      <c r="BA80" s="22">
        <f>INDEX('Activity data'!BA$24:BA$39,MATCH(Emissions!$D80,'Activity data'!$D$24:$D$39,0))*INDEX(EF!$H$84:$H$99,MATCH(Emissions!$D80,EF!$D$84:$D$99,0))*INDEX(EF!$H$100:$H$115,MATCH(Emissions!$D80,EF!$D$100:$D$115,0))*INDEX(EF!$H$132:$H$147,MATCH(Emissions!$D80,EF!$D$132:$D$147,0))*kgtoGg</f>
        <v>0.14438043362164685</v>
      </c>
      <c r="BB80" s="22">
        <f>INDEX('Activity data'!BB$24:BB$39,MATCH(Emissions!$D80,'Activity data'!$D$24:$D$39,0))*INDEX(EF!$H$84:$H$99,MATCH(Emissions!$D80,EF!$D$84:$D$99,0))*INDEX(EF!$H$100:$H$115,MATCH(Emissions!$D80,EF!$D$100:$D$115,0))*INDEX(EF!$H$132:$H$147,MATCH(Emissions!$D80,EF!$D$132:$D$147,0))*kgtoGg</f>
        <v>0.14391439181295529</v>
      </c>
      <c r="BC80" s="22">
        <f>INDEX('Activity data'!BC$24:BC$39,MATCH(Emissions!$D80,'Activity data'!$D$24:$D$39,0))*INDEX(EF!$H$84:$H$99,MATCH(Emissions!$D80,EF!$D$84:$D$99,0))*INDEX(EF!$H$100:$H$115,MATCH(Emissions!$D80,EF!$D$100:$D$115,0))*INDEX(EF!$H$132:$H$147,MATCH(Emissions!$D80,EF!$D$132:$D$147,0))*kgtoGg</f>
        <v>0.1434483500042637</v>
      </c>
      <c r="BD80" s="22">
        <f>INDEX('Activity data'!BD$24:BD$39,MATCH(Emissions!$D80,'Activity data'!$D$24:$D$39,0))*INDEX(EF!$H$84:$H$99,MATCH(Emissions!$D80,EF!$D$84:$D$99,0))*INDEX(EF!$H$100:$H$115,MATCH(Emissions!$D80,EF!$D$100:$D$115,0))*INDEX(EF!$H$132:$H$147,MATCH(Emissions!$D80,EF!$D$132:$D$147,0))*kgtoGg</f>
        <v>0.14298230819557212</v>
      </c>
      <c r="BE80" s="22">
        <f>INDEX('Activity data'!BE$24:BE$39,MATCH(Emissions!$D80,'Activity data'!$D$24:$D$39,0))*INDEX(EF!$H$84:$H$99,MATCH(Emissions!$D80,EF!$D$84:$D$99,0))*INDEX(EF!$H$100:$H$115,MATCH(Emissions!$D80,EF!$D$100:$D$115,0))*INDEX(EF!$H$132:$H$147,MATCH(Emissions!$D80,EF!$D$132:$D$147,0))*kgtoGg</f>
        <v>0.14251626638688056</v>
      </c>
      <c r="BF80" s="22">
        <f>INDEX('Activity data'!BF$24:BF$39,MATCH(Emissions!$D80,'Activity data'!$D$24:$D$39,0))*INDEX(EF!$H$84:$H$99,MATCH(Emissions!$D80,EF!$D$84:$D$99,0))*INDEX(EF!$H$100:$H$115,MATCH(Emissions!$D80,EF!$D$100:$D$115,0))*INDEX(EF!$H$132:$H$147,MATCH(Emissions!$D80,EF!$D$132:$D$147,0))*kgtoGg</f>
        <v>0.142050224578189</v>
      </c>
      <c r="BG80" s="22">
        <f>INDEX('Activity data'!BG$24:BG$39,MATCH(Emissions!$D80,'Activity data'!$D$24:$D$39,0))*INDEX(EF!$H$84:$H$99,MATCH(Emissions!$D80,EF!$D$84:$D$99,0))*INDEX(EF!$H$100:$H$115,MATCH(Emissions!$D80,EF!$D$100:$D$115,0))*INDEX(EF!$H$132:$H$147,MATCH(Emissions!$D80,EF!$D$132:$D$147,0))*kgtoGg</f>
        <v>0.14158418276949739</v>
      </c>
      <c r="BH80" s="22">
        <f>INDEX('Activity data'!BH$24:BH$39,MATCH(Emissions!$D80,'Activity data'!$D$24:$D$39,0))*INDEX(EF!$H$84:$H$99,MATCH(Emissions!$D80,EF!$D$84:$D$99,0))*INDEX(EF!$H$100:$H$115,MATCH(Emissions!$D80,EF!$D$100:$D$115,0))*INDEX(EF!$H$132:$H$147,MATCH(Emissions!$D80,EF!$D$132:$D$147,0))*kgtoGg</f>
        <v>0.14111814096080577</v>
      </c>
      <c r="BI80" s="22">
        <f>INDEX('Activity data'!BI$24:BI$39,MATCH(Emissions!$D80,'Activity data'!$D$24:$D$39,0))*INDEX(EF!$H$84:$H$99,MATCH(Emissions!$D80,EF!$D$84:$D$99,0))*INDEX(EF!$H$100:$H$115,MATCH(Emissions!$D80,EF!$D$100:$D$115,0))*INDEX(EF!$H$132:$H$147,MATCH(Emissions!$D80,EF!$D$132:$D$147,0))*kgtoGg</f>
        <v>0.14065209915211424</v>
      </c>
      <c r="BJ80" s="22">
        <f>INDEX('Activity data'!BJ$24:BJ$39,MATCH(Emissions!$D80,'Activity data'!$D$24:$D$39,0))*INDEX(EF!$H$84:$H$99,MATCH(Emissions!$D80,EF!$D$84:$D$99,0))*INDEX(EF!$H$100:$H$115,MATCH(Emissions!$D80,EF!$D$100:$D$115,0))*INDEX(EF!$H$132:$H$147,MATCH(Emissions!$D80,EF!$D$132:$D$147,0))*kgtoGg</f>
        <v>0.14018605734342263</v>
      </c>
      <c r="BK80" s="22">
        <f>INDEX('Activity data'!BK$24:BK$39,MATCH(Emissions!$D80,'Activity data'!$D$24:$D$39,0))*INDEX(EF!$H$84:$H$99,MATCH(Emissions!$D80,EF!$D$84:$D$99,0))*INDEX(EF!$H$100:$H$115,MATCH(Emissions!$D80,EF!$D$100:$D$115,0))*INDEX(EF!$H$132:$H$147,MATCH(Emissions!$D80,EF!$D$132:$D$147,0))*kgtoGg</f>
        <v>0.13972001553473104</v>
      </c>
      <c r="BL80" s="22">
        <f>INDEX('Activity data'!BL$24:BL$39,MATCH(Emissions!$D80,'Activity data'!$D$24:$D$39,0))*INDEX(EF!$H$84:$H$99,MATCH(Emissions!$D80,EF!$D$84:$D$99,0))*INDEX(EF!$H$100:$H$115,MATCH(Emissions!$D80,EF!$D$100:$D$115,0))*INDEX(EF!$H$132:$H$147,MATCH(Emissions!$D80,EF!$D$132:$D$147,0))*kgtoGg</f>
        <v>0.13925397372603948</v>
      </c>
      <c r="BM80" s="22">
        <f>INDEX('Activity data'!BM$24:BM$39,MATCH(Emissions!$D80,'Activity data'!$D$24:$D$39,0))*INDEX(EF!$H$84:$H$99,MATCH(Emissions!$D80,EF!$D$84:$D$99,0))*INDEX(EF!$H$100:$H$115,MATCH(Emissions!$D80,EF!$D$100:$D$115,0))*INDEX(EF!$H$132:$H$147,MATCH(Emissions!$D80,EF!$D$132:$D$147,0))*kgtoGg</f>
        <v>0.13878793191734787</v>
      </c>
      <c r="BN80" s="22">
        <f>INDEX('Activity data'!BN$24:BN$39,MATCH(Emissions!$D80,'Activity data'!$D$24:$D$39,0))*INDEX(EF!$H$84:$H$99,MATCH(Emissions!$D80,EF!$D$84:$D$99,0))*INDEX(EF!$H$100:$H$115,MATCH(Emissions!$D80,EF!$D$100:$D$115,0))*INDEX(EF!$H$132:$H$147,MATCH(Emissions!$D80,EF!$D$132:$D$147,0))*kgtoGg</f>
        <v>0.13832189010865634</v>
      </c>
      <c r="BO80" s="22">
        <f>INDEX('Activity data'!BO$24:BO$39,MATCH(Emissions!$D80,'Activity data'!$D$24:$D$39,0))*INDEX(EF!$H$84:$H$99,MATCH(Emissions!$D80,EF!$D$84:$D$99,0))*INDEX(EF!$H$100:$H$115,MATCH(Emissions!$D80,EF!$D$100:$D$115,0))*INDEX(EF!$H$132:$H$147,MATCH(Emissions!$D80,EF!$D$132:$D$147,0))*kgtoGg</f>
        <v>0.13785584829996475</v>
      </c>
      <c r="BP80" s="22">
        <f>INDEX('Activity data'!BP$24:BP$39,MATCH(Emissions!$D80,'Activity data'!$D$24:$D$39,0))*INDEX(EF!$H$84:$H$99,MATCH(Emissions!$D80,EF!$D$84:$D$99,0))*INDEX(EF!$H$100:$H$115,MATCH(Emissions!$D80,EF!$D$100:$D$115,0))*INDEX(EF!$H$132:$H$147,MATCH(Emissions!$D80,EF!$D$132:$D$147,0))*kgtoGg</f>
        <v>0.13738980649127319</v>
      </c>
    </row>
    <row r="81" spans="1:68" x14ac:dyDescent="0.25">
      <c r="A81" t="str">
        <f t="shared" si="19"/>
        <v>3C Aggregated and non-CO2 emissions on land</v>
      </c>
      <c r="B81" t="str">
        <f t="shared" si="26"/>
        <v>3C1 Biomass burning (N2O)</v>
      </c>
      <c r="C81" t="str">
        <f t="shared" si="25"/>
        <v>3C1c Biomass burning in Grasslands</v>
      </c>
      <c r="D81" t="str">
        <f>EF!D111</f>
        <v>Degraded land</v>
      </c>
      <c r="E81" t="s">
        <v>641</v>
      </c>
      <c r="F81" t="str">
        <f t="shared" si="27"/>
        <v>N2O</v>
      </c>
      <c r="G81" t="str">
        <f t="shared" si="28"/>
        <v>Gg N2O</v>
      </c>
      <c r="H81" s="22">
        <f>INDEX('Activity data'!H$24:H$39,MATCH(Emissions!$D81,'Activity data'!$D$24:$D$39,0))*INDEX(EF!$H$84:$H$99,MATCH(Emissions!$D81,EF!$D$84:$D$99,0))*INDEX(EF!$H$100:$H$115,MATCH(Emissions!$D81,EF!$D$100:$D$115,0))*INDEX(EF!$H$132:$H$147,MATCH(Emissions!$D81,EF!$D$132:$D$147,0))*kgtoGg</f>
        <v>2.5919889901996538E-2</v>
      </c>
      <c r="I81" s="22">
        <f>INDEX('Activity data'!I$24:I$39,MATCH(Emissions!$D81,'Activity data'!$D$24:$D$39,0))*INDEX(EF!$H$84:$H$99,MATCH(Emissions!$D81,EF!$D$84:$D$99,0))*INDEX(EF!$H$100:$H$115,MATCH(Emissions!$D81,EF!$D$100:$D$115,0))*INDEX(EF!$H$132:$H$147,MATCH(Emissions!$D81,EF!$D$132:$D$147,0))*kgtoGg</f>
        <v>2.5919889901996538E-2</v>
      </c>
      <c r="J81" s="22">
        <f>INDEX('Activity data'!J$24:J$39,MATCH(Emissions!$D81,'Activity data'!$D$24:$D$39,0))*INDEX(EF!$H$84:$H$99,MATCH(Emissions!$D81,EF!$D$84:$D$99,0))*INDEX(EF!$H$100:$H$115,MATCH(Emissions!$D81,EF!$D$100:$D$115,0))*INDEX(EF!$H$132:$H$147,MATCH(Emissions!$D81,EF!$D$132:$D$147,0))*kgtoGg</f>
        <v>2.5919889901996538E-2</v>
      </c>
      <c r="K81" s="22">
        <f>INDEX('Activity data'!K$24:K$39,MATCH(Emissions!$D81,'Activity data'!$D$24:$D$39,0))*INDEX(EF!$H$84:$H$99,MATCH(Emissions!$D81,EF!$D$84:$D$99,0))*INDEX(EF!$H$100:$H$115,MATCH(Emissions!$D81,EF!$D$100:$D$115,0))*INDEX(EF!$H$132:$H$147,MATCH(Emissions!$D81,EF!$D$132:$D$147,0))*kgtoGg</f>
        <v>2.5919889901996538E-2</v>
      </c>
      <c r="L81" s="22">
        <f>INDEX('Activity data'!L$24:L$39,MATCH(Emissions!$D81,'Activity data'!$D$24:$D$39,0))*INDEX(EF!$H$84:$H$99,MATCH(Emissions!$D81,EF!$D$84:$D$99,0))*INDEX(EF!$H$100:$H$115,MATCH(Emissions!$D81,EF!$D$100:$D$115,0))*INDEX(EF!$H$132:$H$147,MATCH(Emissions!$D81,EF!$D$132:$D$147,0))*kgtoGg</f>
        <v>2.5919889901996538E-2</v>
      </c>
      <c r="M81" s="22">
        <f>INDEX('Activity data'!M$24:M$39,MATCH(Emissions!$D81,'Activity data'!$D$24:$D$39,0))*INDEX(EF!$H$84:$H$99,MATCH(Emissions!$D81,EF!$D$84:$D$99,0))*INDEX(EF!$H$100:$H$115,MATCH(Emissions!$D81,EF!$D$100:$D$115,0))*INDEX(EF!$H$132:$H$147,MATCH(Emissions!$D81,EF!$D$132:$D$147,0))*kgtoGg</f>
        <v>2.5919889901996538E-2</v>
      </c>
      <c r="N81" s="22">
        <f>INDEX('Activity data'!N$24:N$39,MATCH(Emissions!$D81,'Activity data'!$D$24:$D$39,0))*INDEX(EF!$H$84:$H$99,MATCH(Emissions!$D81,EF!$D$84:$D$99,0))*INDEX(EF!$H$100:$H$115,MATCH(Emissions!$D81,EF!$D$100:$D$115,0))*INDEX(EF!$H$132:$H$147,MATCH(Emissions!$D81,EF!$D$132:$D$147,0))*kgtoGg</f>
        <v>2.5919889901996538E-2</v>
      </c>
      <c r="O81" s="22">
        <f>INDEX('Activity data'!O$24:O$39,MATCH(Emissions!$D81,'Activity data'!$D$24:$D$39,0))*INDEX(EF!$H$84:$H$99,MATCH(Emissions!$D81,EF!$D$84:$D$99,0))*INDEX(EF!$H$100:$H$115,MATCH(Emissions!$D81,EF!$D$100:$D$115,0))*INDEX(EF!$H$132:$H$147,MATCH(Emissions!$D81,EF!$D$132:$D$147,0))*kgtoGg</f>
        <v>2.5919889901996538E-2</v>
      </c>
      <c r="P81" s="22">
        <f>INDEX('Activity data'!P$24:P$39,MATCH(Emissions!$D81,'Activity data'!$D$24:$D$39,0))*INDEX(EF!$H$84:$H$99,MATCH(Emissions!$D81,EF!$D$84:$D$99,0))*INDEX(EF!$H$100:$H$115,MATCH(Emissions!$D81,EF!$D$100:$D$115,0))*INDEX(EF!$H$132:$H$147,MATCH(Emissions!$D81,EF!$D$132:$D$147,0))*kgtoGg</f>
        <v>2.5919889901996538E-2</v>
      </c>
      <c r="Q81" s="22">
        <f>INDEX('Activity data'!Q$24:Q$39,MATCH(Emissions!$D81,'Activity data'!$D$24:$D$39,0))*INDEX(EF!$H$84:$H$99,MATCH(Emissions!$D81,EF!$D$84:$D$99,0))*INDEX(EF!$H$100:$H$115,MATCH(Emissions!$D81,EF!$D$100:$D$115,0))*INDEX(EF!$H$132:$H$147,MATCH(Emissions!$D81,EF!$D$132:$D$147,0))*kgtoGg</f>
        <v>2.5919889901996538E-2</v>
      </c>
      <c r="R81" s="22">
        <f>INDEX('Activity data'!R$24:R$39,MATCH(Emissions!$D81,'Activity data'!$D$24:$D$39,0))*INDEX(EF!$H$84:$H$99,MATCH(Emissions!$D81,EF!$D$84:$D$99,0))*INDEX(EF!$H$100:$H$115,MATCH(Emissions!$D81,EF!$D$100:$D$115,0))*INDEX(EF!$H$132:$H$147,MATCH(Emissions!$D81,EF!$D$132:$D$147,0))*kgtoGg</f>
        <v>2.8520988552148289E-2</v>
      </c>
      <c r="S81" s="22">
        <f>INDEX('Activity data'!S$24:S$39,MATCH(Emissions!$D81,'Activity data'!$D$24:$D$39,0))*INDEX(EF!$H$84:$H$99,MATCH(Emissions!$D81,EF!$D$84:$D$99,0))*INDEX(EF!$H$100:$H$115,MATCH(Emissions!$D81,EF!$D$100:$D$115,0))*INDEX(EF!$H$132:$H$147,MATCH(Emissions!$D81,EF!$D$132:$D$147,0))*kgtoGg</f>
        <v>2.5817163949345238E-2</v>
      </c>
      <c r="T81" s="22">
        <f>INDEX('Activity data'!T$24:T$39,MATCH(Emissions!$D81,'Activity data'!$D$24:$D$39,0))*INDEX(EF!$H$84:$H$99,MATCH(Emissions!$D81,EF!$D$84:$D$99,0))*INDEX(EF!$H$100:$H$115,MATCH(Emissions!$D81,EF!$D$100:$D$115,0))*INDEX(EF!$H$132:$H$147,MATCH(Emissions!$D81,EF!$D$132:$D$147,0))*kgtoGg</f>
        <v>3.4558561052314238E-2</v>
      </c>
      <c r="U81" s="22">
        <f>INDEX('Activity data'!U$24:U$39,MATCH(Emissions!$D81,'Activity data'!$D$24:$D$39,0))*INDEX(EF!$H$84:$H$99,MATCH(Emissions!$D81,EF!$D$84:$D$99,0))*INDEX(EF!$H$100:$H$115,MATCH(Emissions!$D81,EF!$D$100:$D$115,0))*INDEX(EF!$H$132:$H$147,MATCH(Emissions!$D81,EF!$D$132:$D$147,0))*kgtoGg</f>
        <v>1.0165992861435118E-2</v>
      </c>
      <c r="V81" s="22">
        <f>INDEX('Activity data'!V$24:V$39,MATCH(Emissions!$D81,'Activity data'!$D$24:$D$39,0))*INDEX(EF!$H$84:$H$99,MATCH(Emissions!$D81,EF!$D$84:$D$99,0))*INDEX(EF!$H$100:$H$115,MATCH(Emissions!$D81,EF!$D$100:$D$115,0))*INDEX(EF!$H$132:$H$147,MATCH(Emissions!$D81,EF!$D$132:$D$147,0))*kgtoGg</f>
        <v>3.0536743094739811E-2</v>
      </c>
      <c r="W81" s="22">
        <f>INDEX('Activity data'!W$24:W$39,MATCH(Emissions!$D81,'Activity data'!$D$24:$D$39,0))*INDEX(EF!$H$84:$H$99,MATCH(Emissions!$D81,EF!$D$84:$D$99,0))*INDEX(EF!$H$100:$H$115,MATCH(Emissions!$D81,EF!$D$100:$D$115,0))*INDEX(EF!$H$132:$H$147,MATCH(Emissions!$D81,EF!$D$132:$D$147,0))*kgtoGg</f>
        <v>3.7407752569246472E-2</v>
      </c>
      <c r="X81" s="22">
        <f>INDEX('Activity data'!X$24:X$39,MATCH(Emissions!$D81,'Activity data'!$D$24:$D$39,0))*INDEX(EF!$H$84:$H$99,MATCH(Emissions!$D81,EF!$D$84:$D$99,0))*INDEX(EF!$H$100:$H$115,MATCH(Emissions!$D81,EF!$D$100:$D$115,0))*INDEX(EF!$H$132:$H$147,MATCH(Emissions!$D81,EF!$D$132:$D$147,0))*kgtoGg</f>
        <v>5.5423558793658186E-2</v>
      </c>
      <c r="Y81" s="22">
        <f>INDEX('Activity data'!Y$24:Y$39,MATCH(Emissions!$D81,'Activity data'!$D$24:$D$39,0))*INDEX(EF!$H$84:$H$99,MATCH(Emissions!$D81,EF!$D$84:$D$99,0))*INDEX(EF!$H$100:$H$115,MATCH(Emissions!$D81,EF!$D$100:$D$115,0))*INDEX(EF!$H$132:$H$147,MATCH(Emissions!$D81,EF!$D$132:$D$147,0))*kgtoGg</f>
        <v>8.4312810194933779E-3</v>
      </c>
      <c r="Z81" s="22">
        <f>INDEX('Activity data'!Z$24:Z$39,MATCH(Emissions!$D81,'Activity data'!$D$24:$D$39,0))*INDEX(EF!$H$84:$H$99,MATCH(Emissions!$D81,EF!$D$84:$D$99,0))*INDEX(EF!$H$100:$H$115,MATCH(Emissions!$D81,EF!$D$100:$D$115,0))*INDEX(EF!$H$132:$H$147,MATCH(Emissions!$D81,EF!$D$132:$D$147,0))*kgtoGg</f>
        <v>3.9442889367055235E-2</v>
      </c>
      <c r="AA81" s="22">
        <f>INDEX('Activity data'!AA$24:AA$39,MATCH(Emissions!$D81,'Activity data'!$D$24:$D$39,0))*INDEX(EF!$H$84:$H$99,MATCH(Emissions!$D81,EF!$D$84:$D$99,0))*INDEX(EF!$H$100:$H$115,MATCH(Emissions!$D81,EF!$D$100:$D$115,0))*INDEX(EF!$H$132:$H$147,MATCH(Emissions!$D81,EF!$D$132:$D$147,0))*kgtoGg</f>
        <v>2.5603959141955752E-2</v>
      </c>
      <c r="AB81" s="22">
        <f>INDEX('Activity data'!AB$24:AB$39,MATCH(Emissions!$D81,'Activity data'!$D$24:$D$39,0))*INDEX(EF!$H$84:$H$99,MATCH(Emissions!$D81,EF!$D$84:$D$99,0))*INDEX(EF!$H$100:$H$115,MATCH(Emissions!$D81,EF!$D$100:$D$115,0))*INDEX(EF!$H$132:$H$147,MATCH(Emissions!$D81,EF!$D$132:$D$147,0))*kgtoGg</f>
        <v>3.4459387199999997E-2</v>
      </c>
      <c r="AC81" s="22">
        <f>INDEX('Activity data'!AC$24:AC$39,MATCH(Emissions!$D81,'Activity data'!$D$24:$D$39,0))*INDEX(EF!$H$84:$H$99,MATCH(Emissions!$D81,EF!$D$84:$D$99,0))*INDEX(EF!$H$100:$H$115,MATCH(Emissions!$D81,EF!$D$100:$D$115,0))*INDEX(EF!$H$132:$H$147,MATCH(Emissions!$D81,EF!$D$132:$D$147,0))*kgtoGg</f>
        <v>4.0562650800000002E-2</v>
      </c>
      <c r="AD81" s="22">
        <f>INDEX('Activity data'!AD$24:AD$39,MATCH(Emissions!$D81,'Activity data'!$D$24:$D$39,0))*INDEX(EF!$H$84:$H$99,MATCH(Emissions!$D81,EF!$D$84:$D$99,0))*INDEX(EF!$H$100:$H$115,MATCH(Emissions!$D81,EF!$D$100:$D$115,0))*INDEX(EF!$H$132:$H$147,MATCH(Emissions!$D81,EF!$D$132:$D$147,0))*kgtoGg</f>
        <v>2.434480550007732E-2</v>
      </c>
      <c r="AE81" s="22">
        <f>INDEX('Activity data'!AE$24:AE$39,MATCH(Emissions!$D81,'Activity data'!$D$24:$D$39,0))*INDEX(EF!$H$84:$H$99,MATCH(Emissions!$D81,EF!$D$84:$D$99,0))*INDEX(EF!$H$100:$H$115,MATCH(Emissions!$D81,EF!$D$100:$D$115,0))*INDEX(EF!$H$132:$H$147,MATCH(Emissions!$D81,EF!$D$132:$D$147,0))*kgtoGg</f>
        <v>2.434480550007732E-2</v>
      </c>
      <c r="AF81" s="22">
        <f>INDEX('Activity data'!AF$24:AF$39,MATCH(Emissions!$D81,'Activity data'!$D$24:$D$39,0))*INDEX(EF!$H$84:$H$99,MATCH(Emissions!$D81,EF!$D$84:$D$99,0))*INDEX(EF!$H$100:$H$115,MATCH(Emissions!$D81,EF!$D$100:$D$115,0))*INDEX(EF!$H$132:$H$147,MATCH(Emissions!$D81,EF!$D$132:$D$147,0))*kgtoGg</f>
        <v>2.434480550007732E-2</v>
      </c>
      <c r="AG81" s="22">
        <f>INDEX('Activity data'!AG$24:AG$39,MATCH(Emissions!$D81,'Activity data'!$D$24:$D$39,0))*INDEX(EF!$H$84:$H$99,MATCH(Emissions!$D81,EF!$D$84:$D$99,0))*INDEX(EF!$H$100:$H$115,MATCH(Emissions!$D81,EF!$D$100:$D$115,0))*INDEX(EF!$H$132:$H$147,MATCH(Emissions!$D81,EF!$D$132:$D$147,0))*kgtoGg</f>
        <v>2.434480550007732E-2</v>
      </c>
      <c r="AH81" s="22">
        <f>INDEX('Activity data'!AH$24:AH$39,MATCH(Emissions!$D81,'Activity data'!$D$24:$D$39,0))*INDEX(EF!$H$84:$H$99,MATCH(Emissions!$D81,EF!$D$84:$D$99,0))*INDEX(EF!$H$100:$H$115,MATCH(Emissions!$D81,EF!$D$100:$D$115,0))*INDEX(EF!$H$132:$H$147,MATCH(Emissions!$D81,EF!$D$132:$D$147,0))*kgtoGg</f>
        <v>2.434480550007732E-2</v>
      </c>
      <c r="AI81" s="22">
        <f>INDEX('Activity data'!AI$24:AI$39,MATCH(Emissions!$D81,'Activity data'!$D$24:$D$39,0))*INDEX(EF!$H$84:$H$99,MATCH(Emissions!$D81,EF!$D$84:$D$99,0))*INDEX(EF!$H$100:$H$115,MATCH(Emissions!$D81,EF!$D$100:$D$115,0))*INDEX(EF!$H$132:$H$147,MATCH(Emissions!$D81,EF!$D$132:$D$147,0))*kgtoGg</f>
        <v>2.434480550007732E-2</v>
      </c>
      <c r="AJ81" s="22">
        <f>INDEX('Activity data'!AJ$24:AJ$39,MATCH(Emissions!$D81,'Activity data'!$D$24:$D$39,0))*INDEX(EF!$H$84:$H$99,MATCH(Emissions!$D81,EF!$D$84:$D$99,0))*INDEX(EF!$H$100:$H$115,MATCH(Emissions!$D81,EF!$D$100:$D$115,0))*INDEX(EF!$H$132:$H$147,MATCH(Emissions!$D81,EF!$D$132:$D$147,0))*kgtoGg</f>
        <v>2.434480550007732E-2</v>
      </c>
      <c r="AK81" s="22">
        <f>INDEX('Activity data'!AK$24:AK$39,MATCH(Emissions!$D81,'Activity data'!$D$24:$D$39,0))*INDEX(EF!$H$84:$H$99,MATCH(Emissions!$D81,EF!$D$84:$D$99,0))*INDEX(EF!$H$100:$H$115,MATCH(Emissions!$D81,EF!$D$100:$D$115,0))*INDEX(EF!$H$132:$H$147,MATCH(Emissions!$D81,EF!$D$132:$D$147,0))*kgtoGg</f>
        <v>2.434480550007732E-2</v>
      </c>
      <c r="AL81" s="22">
        <f>INDEX('Activity data'!AL$24:AL$39,MATCH(Emissions!$D81,'Activity data'!$D$24:$D$39,0))*INDEX(EF!$H$84:$H$99,MATCH(Emissions!$D81,EF!$D$84:$D$99,0))*INDEX(EF!$H$100:$H$115,MATCH(Emissions!$D81,EF!$D$100:$D$115,0))*INDEX(EF!$H$132:$H$147,MATCH(Emissions!$D81,EF!$D$132:$D$147,0))*kgtoGg</f>
        <v>2.434480550007732E-2</v>
      </c>
      <c r="AM81" s="22">
        <f>INDEX('Activity data'!AM$24:AM$39,MATCH(Emissions!$D81,'Activity data'!$D$24:$D$39,0))*INDEX(EF!$H$84:$H$99,MATCH(Emissions!$D81,EF!$D$84:$D$99,0))*INDEX(EF!$H$100:$H$115,MATCH(Emissions!$D81,EF!$D$100:$D$115,0))*INDEX(EF!$H$132:$H$147,MATCH(Emissions!$D81,EF!$D$132:$D$147,0))*kgtoGg</f>
        <v>2.434480550007732E-2</v>
      </c>
      <c r="AN81" s="22">
        <f>INDEX('Activity data'!AN$24:AN$39,MATCH(Emissions!$D81,'Activity data'!$D$24:$D$39,0))*INDEX(EF!$H$84:$H$99,MATCH(Emissions!$D81,EF!$D$84:$D$99,0))*INDEX(EF!$H$100:$H$115,MATCH(Emissions!$D81,EF!$D$100:$D$115,0))*INDEX(EF!$H$132:$H$147,MATCH(Emissions!$D81,EF!$D$132:$D$147,0))*kgtoGg</f>
        <v>2.434480550007732E-2</v>
      </c>
      <c r="AO81" s="22">
        <f>INDEX('Activity data'!AO$24:AO$39,MATCH(Emissions!$D81,'Activity data'!$D$24:$D$39,0))*INDEX(EF!$H$84:$H$99,MATCH(Emissions!$D81,EF!$D$84:$D$99,0))*INDEX(EF!$H$100:$H$115,MATCH(Emissions!$D81,EF!$D$100:$D$115,0))*INDEX(EF!$H$132:$H$147,MATCH(Emissions!$D81,EF!$D$132:$D$147,0))*kgtoGg</f>
        <v>2.434480550007732E-2</v>
      </c>
      <c r="AP81" s="22">
        <f>INDEX('Activity data'!AP$24:AP$39,MATCH(Emissions!$D81,'Activity data'!$D$24:$D$39,0))*INDEX(EF!$H$84:$H$99,MATCH(Emissions!$D81,EF!$D$84:$D$99,0))*INDEX(EF!$H$100:$H$115,MATCH(Emissions!$D81,EF!$D$100:$D$115,0))*INDEX(EF!$H$132:$H$147,MATCH(Emissions!$D81,EF!$D$132:$D$147,0))*kgtoGg</f>
        <v>2.434480550007732E-2</v>
      </c>
      <c r="AQ81" s="22">
        <f>INDEX('Activity data'!AQ$24:AQ$39,MATCH(Emissions!$D81,'Activity data'!$D$24:$D$39,0))*INDEX(EF!$H$84:$H$99,MATCH(Emissions!$D81,EF!$D$84:$D$99,0))*INDEX(EF!$H$100:$H$115,MATCH(Emissions!$D81,EF!$D$100:$D$115,0))*INDEX(EF!$H$132:$H$147,MATCH(Emissions!$D81,EF!$D$132:$D$147,0))*kgtoGg</f>
        <v>2.434480550007732E-2</v>
      </c>
      <c r="AR81" s="22">
        <f>INDEX('Activity data'!AR$24:AR$39,MATCH(Emissions!$D81,'Activity data'!$D$24:$D$39,0))*INDEX(EF!$H$84:$H$99,MATCH(Emissions!$D81,EF!$D$84:$D$99,0))*INDEX(EF!$H$100:$H$115,MATCH(Emissions!$D81,EF!$D$100:$D$115,0))*INDEX(EF!$H$132:$H$147,MATCH(Emissions!$D81,EF!$D$132:$D$147,0))*kgtoGg</f>
        <v>2.434480550007732E-2</v>
      </c>
      <c r="AS81" s="22">
        <f>INDEX('Activity data'!AS$24:AS$39,MATCH(Emissions!$D81,'Activity data'!$D$24:$D$39,0))*INDEX(EF!$H$84:$H$99,MATCH(Emissions!$D81,EF!$D$84:$D$99,0))*INDEX(EF!$H$100:$H$115,MATCH(Emissions!$D81,EF!$D$100:$D$115,0))*INDEX(EF!$H$132:$H$147,MATCH(Emissions!$D81,EF!$D$132:$D$147,0))*kgtoGg</f>
        <v>2.434480550007732E-2</v>
      </c>
      <c r="AT81" s="22">
        <f>INDEX('Activity data'!AT$24:AT$39,MATCH(Emissions!$D81,'Activity data'!$D$24:$D$39,0))*INDEX(EF!$H$84:$H$99,MATCH(Emissions!$D81,EF!$D$84:$D$99,0))*INDEX(EF!$H$100:$H$115,MATCH(Emissions!$D81,EF!$D$100:$D$115,0))*INDEX(EF!$H$132:$H$147,MATCH(Emissions!$D81,EF!$D$132:$D$147,0))*kgtoGg</f>
        <v>2.434480550007732E-2</v>
      </c>
      <c r="AU81" s="22">
        <f>INDEX('Activity data'!AU$24:AU$39,MATCH(Emissions!$D81,'Activity data'!$D$24:$D$39,0))*INDEX(EF!$H$84:$H$99,MATCH(Emissions!$D81,EF!$D$84:$D$99,0))*INDEX(EF!$H$100:$H$115,MATCH(Emissions!$D81,EF!$D$100:$D$115,0))*INDEX(EF!$H$132:$H$147,MATCH(Emissions!$D81,EF!$D$132:$D$147,0))*kgtoGg</f>
        <v>2.434480550007732E-2</v>
      </c>
      <c r="AV81" s="22">
        <f>INDEX('Activity data'!AV$24:AV$39,MATCH(Emissions!$D81,'Activity data'!$D$24:$D$39,0))*INDEX(EF!$H$84:$H$99,MATCH(Emissions!$D81,EF!$D$84:$D$99,0))*INDEX(EF!$H$100:$H$115,MATCH(Emissions!$D81,EF!$D$100:$D$115,0))*INDEX(EF!$H$132:$H$147,MATCH(Emissions!$D81,EF!$D$132:$D$147,0))*kgtoGg</f>
        <v>2.434480550007732E-2</v>
      </c>
      <c r="AW81" s="22">
        <f>INDEX('Activity data'!AW$24:AW$39,MATCH(Emissions!$D81,'Activity data'!$D$24:$D$39,0))*INDEX(EF!$H$84:$H$99,MATCH(Emissions!$D81,EF!$D$84:$D$99,0))*INDEX(EF!$H$100:$H$115,MATCH(Emissions!$D81,EF!$D$100:$D$115,0))*INDEX(EF!$H$132:$H$147,MATCH(Emissions!$D81,EF!$D$132:$D$147,0))*kgtoGg</f>
        <v>2.434480550007732E-2</v>
      </c>
      <c r="AX81" s="22">
        <f>INDEX('Activity data'!AX$24:AX$39,MATCH(Emissions!$D81,'Activity data'!$D$24:$D$39,0))*INDEX(EF!$H$84:$H$99,MATCH(Emissions!$D81,EF!$D$84:$D$99,0))*INDEX(EF!$H$100:$H$115,MATCH(Emissions!$D81,EF!$D$100:$D$115,0))*INDEX(EF!$H$132:$H$147,MATCH(Emissions!$D81,EF!$D$132:$D$147,0))*kgtoGg</f>
        <v>2.434480550007732E-2</v>
      </c>
      <c r="AY81" s="22">
        <f>INDEX('Activity data'!AY$24:AY$39,MATCH(Emissions!$D81,'Activity data'!$D$24:$D$39,0))*INDEX(EF!$H$84:$H$99,MATCH(Emissions!$D81,EF!$D$84:$D$99,0))*INDEX(EF!$H$100:$H$115,MATCH(Emissions!$D81,EF!$D$100:$D$115,0))*INDEX(EF!$H$132:$H$147,MATCH(Emissions!$D81,EF!$D$132:$D$147,0))*kgtoGg</f>
        <v>2.434480550007732E-2</v>
      </c>
      <c r="AZ81" s="22">
        <f>INDEX('Activity data'!AZ$24:AZ$39,MATCH(Emissions!$D81,'Activity data'!$D$24:$D$39,0))*INDEX(EF!$H$84:$H$99,MATCH(Emissions!$D81,EF!$D$84:$D$99,0))*INDEX(EF!$H$100:$H$115,MATCH(Emissions!$D81,EF!$D$100:$D$115,0))*INDEX(EF!$H$132:$H$147,MATCH(Emissions!$D81,EF!$D$132:$D$147,0))*kgtoGg</f>
        <v>2.434480550007732E-2</v>
      </c>
      <c r="BA81" s="22">
        <f>INDEX('Activity data'!BA$24:BA$39,MATCH(Emissions!$D81,'Activity data'!$D$24:$D$39,0))*INDEX(EF!$H$84:$H$99,MATCH(Emissions!$D81,EF!$D$84:$D$99,0))*INDEX(EF!$H$100:$H$115,MATCH(Emissions!$D81,EF!$D$100:$D$115,0))*INDEX(EF!$H$132:$H$147,MATCH(Emissions!$D81,EF!$D$132:$D$147,0))*kgtoGg</f>
        <v>2.434480550007732E-2</v>
      </c>
      <c r="BB81" s="22">
        <f>INDEX('Activity data'!BB$24:BB$39,MATCH(Emissions!$D81,'Activity data'!$D$24:$D$39,0))*INDEX(EF!$H$84:$H$99,MATCH(Emissions!$D81,EF!$D$84:$D$99,0))*INDEX(EF!$H$100:$H$115,MATCH(Emissions!$D81,EF!$D$100:$D$115,0))*INDEX(EF!$H$132:$H$147,MATCH(Emissions!$D81,EF!$D$132:$D$147,0))*kgtoGg</f>
        <v>2.434480550007732E-2</v>
      </c>
      <c r="BC81" s="22">
        <f>INDEX('Activity data'!BC$24:BC$39,MATCH(Emissions!$D81,'Activity data'!$D$24:$D$39,0))*INDEX(EF!$H$84:$H$99,MATCH(Emissions!$D81,EF!$D$84:$D$99,0))*INDEX(EF!$H$100:$H$115,MATCH(Emissions!$D81,EF!$D$100:$D$115,0))*INDEX(EF!$H$132:$H$147,MATCH(Emissions!$D81,EF!$D$132:$D$147,0))*kgtoGg</f>
        <v>2.434480550007732E-2</v>
      </c>
      <c r="BD81" s="22">
        <f>INDEX('Activity data'!BD$24:BD$39,MATCH(Emissions!$D81,'Activity data'!$D$24:$D$39,0))*INDEX(EF!$H$84:$H$99,MATCH(Emissions!$D81,EF!$D$84:$D$99,0))*INDEX(EF!$H$100:$H$115,MATCH(Emissions!$D81,EF!$D$100:$D$115,0))*INDEX(EF!$H$132:$H$147,MATCH(Emissions!$D81,EF!$D$132:$D$147,0))*kgtoGg</f>
        <v>2.434480550007732E-2</v>
      </c>
      <c r="BE81" s="22">
        <f>INDEX('Activity data'!BE$24:BE$39,MATCH(Emissions!$D81,'Activity data'!$D$24:$D$39,0))*INDEX(EF!$H$84:$H$99,MATCH(Emissions!$D81,EF!$D$84:$D$99,0))*INDEX(EF!$H$100:$H$115,MATCH(Emissions!$D81,EF!$D$100:$D$115,0))*INDEX(EF!$H$132:$H$147,MATCH(Emissions!$D81,EF!$D$132:$D$147,0))*kgtoGg</f>
        <v>2.434480550007732E-2</v>
      </c>
      <c r="BF81" s="22">
        <f>INDEX('Activity data'!BF$24:BF$39,MATCH(Emissions!$D81,'Activity data'!$D$24:$D$39,0))*INDEX(EF!$H$84:$H$99,MATCH(Emissions!$D81,EF!$D$84:$D$99,0))*INDEX(EF!$H$100:$H$115,MATCH(Emissions!$D81,EF!$D$100:$D$115,0))*INDEX(EF!$H$132:$H$147,MATCH(Emissions!$D81,EF!$D$132:$D$147,0))*kgtoGg</f>
        <v>2.434480550007732E-2</v>
      </c>
      <c r="BG81" s="22">
        <f>INDEX('Activity data'!BG$24:BG$39,MATCH(Emissions!$D81,'Activity data'!$D$24:$D$39,0))*INDEX(EF!$H$84:$H$99,MATCH(Emissions!$D81,EF!$D$84:$D$99,0))*INDEX(EF!$H$100:$H$115,MATCH(Emissions!$D81,EF!$D$100:$D$115,0))*INDEX(EF!$H$132:$H$147,MATCH(Emissions!$D81,EF!$D$132:$D$147,0))*kgtoGg</f>
        <v>2.434480550007732E-2</v>
      </c>
      <c r="BH81" s="22">
        <f>INDEX('Activity data'!BH$24:BH$39,MATCH(Emissions!$D81,'Activity data'!$D$24:$D$39,0))*INDEX(EF!$H$84:$H$99,MATCH(Emissions!$D81,EF!$D$84:$D$99,0))*INDEX(EF!$H$100:$H$115,MATCH(Emissions!$D81,EF!$D$100:$D$115,0))*INDEX(EF!$H$132:$H$147,MATCH(Emissions!$D81,EF!$D$132:$D$147,0))*kgtoGg</f>
        <v>2.434480550007732E-2</v>
      </c>
      <c r="BI81" s="22">
        <f>INDEX('Activity data'!BI$24:BI$39,MATCH(Emissions!$D81,'Activity data'!$D$24:$D$39,0))*INDEX(EF!$H$84:$H$99,MATCH(Emissions!$D81,EF!$D$84:$D$99,0))*INDEX(EF!$H$100:$H$115,MATCH(Emissions!$D81,EF!$D$100:$D$115,0))*INDEX(EF!$H$132:$H$147,MATCH(Emissions!$D81,EF!$D$132:$D$147,0))*kgtoGg</f>
        <v>2.434480550007732E-2</v>
      </c>
      <c r="BJ81" s="22">
        <f>INDEX('Activity data'!BJ$24:BJ$39,MATCH(Emissions!$D81,'Activity data'!$D$24:$D$39,0))*INDEX(EF!$H$84:$H$99,MATCH(Emissions!$D81,EF!$D$84:$D$99,0))*INDEX(EF!$H$100:$H$115,MATCH(Emissions!$D81,EF!$D$100:$D$115,0))*INDEX(EF!$H$132:$H$147,MATCH(Emissions!$D81,EF!$D$132:$D$147,0))*kgtoGg</f>
        <v>2.434480550007732E-2</v>
      </c>
      <c r="BK81" s="22">
        <f>INDEX('Activity data'!BK$24:BK$39,MATCH(Emissions!$D81,'Activity data'!$D$24:$D$39,0))*INDEX(EF!$H$84:$H$99,MATCH(Emissions!$D81,EF!$D$84:$D$99,0))*INDEX(EF!$H$100:$H$115,MATCH(Emissions!$D81,EF!$D$100:$D$115,0))*INDEX(EF!$H$132:$H$147,MATCH(Emissions!$D81,EF!$D$132:$D$147,0))*kgtoGg</f>
        <v>2.434480550007732E-2</v>
      </c>
      <c r="BL81" s="22">
        <f>INDEX('Activity data'!BL$24:BL$39,MATCH(Emissions!$D81,'Activity data'!$D$24:$D$39,0))*INDEX(EF!$H$84:$H$99,MATCH(Emissions!$D81,EF!$D$84:$D$99,0))*INDEX(EF!$H$100:$H$115,MATCH(Emissions!$D81,EF!$D$100:$D$115,0))*INDEX(EF!$H$132:$H$147,MATCH(Emissions!$D81,EF!$D$132:$D$147,0))*kgtoGg</f>
        <v>2.434480550007732E-2</v>
      </c>
      <c r="BM81" s="22">
        <f>INDEX('Activity data'!BM$24:BM$39,MATCH(Emissions!$D81,'Activity data'!$D$24:$D$39,0))*INDEX(EF!$H$84:$H$99,MATCH(Emissions!$D81,EF!$D$84:$D$99,0))*INDEX(EF!$H$100:$H$115,MATCH(Emissions!$D81,EF!$D$100:$D$115,0))*INDEX(EF!$H$132:$H$147,MATCH(Emissions!$D81,EF!$D$132:$D$147,0))*kgtoGg</f>
        <v>2.434480550007732E-2</v>
      </c>
      <c r="BN81" s="22">
        <f>INDEX('Activity data'!BN$24:BN$39,MATCH(Emissions!$D81,'Activity data'!$D$24:$D$39,0))*INDEX(EF!$H$84:$H$99,MATCH(Emissions!$D81,EF!$D$84:$D$99,0))*INDEX(EF!$H$100:$H$115,MATCH(Emissions!$D81,EF!$D$100:$D$115,0))*INDEX(EF!$H$132:$H$147,MATCH(Emissions!$D81,EF!$D$132:$D$147,0))*kgtoGg</f>
        <v>2.434480550007732E-2</v>
      </c>
      <c r="BO81" s="22">
        <f>INDEX('Activity data'!BO$24:BO$39,MATCH(Emissions!$D81,'Activity data'!$D$24:$D$39,0))*INDEX(EF!$H$84:$H$99,MATCH(Emissions!$D81,EF!$D$84:$D$99,0))*INDEX(EF!$H$100:$H$115,MATCH(Emissions!$D81,EF!$D$100:$D$115,0))*INDEX(EF!$H$132:$H$147,MATCH(Emissions!$D81,EF!$D$132:$D$147,0))*kgtoGg</f>
        <v>2.434480550007732E-2</v>
      </c>
      <c r="BP81" s="22">
        <f>INDEX('Activity data'!BP$24:BP$39,MATCH(Emissions!$D81,'Activity data'!$D$24:$D$39,0))*INDEX(EF!$H$84:$H$99,MATCH(Emissions!$D81,EF!$D$84:$D$99,0))*INDEX(EF!$H$100:$H$115,MATCH(Emissions!$D81,EF!$D$100:$D$115,0))*INDEX(EF!$H$132:$H$147,MATCH(Emissions!$D81,EF!$D$132:$D$147,0))*kgtoGg</f>
        <v>2.434480550007732E-2</v>
      </c>
    </row>
    <row r="82" spans="1:68" x14ac:dyDescent="0.25">
      <c r="A82" t="str">
        <f t="shared" si="19"/>
        <v>3C Aggregated and non-CO2 emissions on land</v>
      </c>
      <c r="B82" t="str">
        <f t="shared" si="26"/>
        <v>3C1 Biomass burning (N2O)</v>
      </c>
      <c r="C82" t="str">
        <f t="shared" si="25"/>
        <v>3C1d Biomass burning in Wetlands</v>
      </c>
      <c r="D82" t="str">
        <f>EF!D112</f>
        <v>Wetlands</v>
      </c>
      <c r="E82" t="s">
        <v>652</v>
      </c>
      <c r="F82" t="str">
        <f t="shared" si="27"/>
        <v>N2O</v>
      </c>
      <c r="G82" t="str">
        <f t="shared" si="28"/>
        <v>Gg N2O</v>
      </c>
      <c r="H82" s="22">
        <f>INDEX('Activity data'!H$24:H$39,MATCH(Emissions!$D82,'Activity data'!$D$24:$D$39,0))*INDEX(EF!$H$84:$H$99,MATCH(Emissions!$D82,EF!$D$84:$D$99,0))*INDEX(EF!$H$100:$H$115,MATCH(Emissions!$D82,EF!$D$100:$D$115,0))*INDEX(EF!$H$132:$H$147,MATCH(Emissions!$D82,EF!$D$132:$D$147,0))*kgtoGg</f>
        <v>7.357077670844267E-2</v>
      </c>
      <c r="I82" s="22">
        <f>INDEX('Activity data'!I$24:I$39,MATCH(Emissions!$D82,'Activity data'!$D$24:$D$39,0))*INDEX(EF!$H$84:$H$99,MATCH(Emissions!$D82,EF!$D$84:$D$99,0))*INDEX(EF!$H$100:$H$115,MATCH(Emissions!$D82,EF!$D$100:$D$115,0))*INDEX(EF!$H$132:$H$147,MATCH(Emissions!$D82,EF!$D$132:$D$147,0))*kgtoGg</f>
        <v>7.357077670844267E-2</v>
      </c>
      <c r="J82" s="22">
        <f>INDEX('Activity data'!J$24:J$39,MATCH(Emissions!$D82,'Activity data'!$D$24:$D$39,0))*INDEX(EF!$H$84:$H$99,MATCH(Emissions!$D82,EF!$D$84:$D$99,0))*INDEX(EF!$H$100:$H$115,MATCH(Emissions!$D82,EF!$D$100:$D$115,0))*INDEX(EF!$H$132:$H$147,MATCH(Emissions!$D82,EF!$D$132:$D$147,0))*kgtoGg</f>
        <v>7.357077670844267E-2</v>
      </c>
      <c r="K82" s="22">
        <f>INDEX('Activity data'!K$24:K$39,MATCH(Emissions!$D82,'Activity data'!$D$24:$D$39,0))*INDEX(EF!$H$84:$H$99,MATCH(Emissions!$D82,EF!$D$84:$D$99,0))*INDEX(EF!$H$100:$H$115,MATCH(Emissions!$D82,EF!$D$100:$D$115,0))*INDEX(EF!$H$132:$H$147,MATCH(Emissions!$D82,EF!$D$132:$D$147,0))*kgtoGg</f>
        <v>7.357077670844267E-2</v>
      </c>
      <c r="L82" s="22">
        <f>INDEX('Activity data'!L$24:L$39,MATCH(Emissions!$D82,'Activity data'!$D$24:$D$39,0))*INDEX(EF!$H$84:$H$99,MATCH(Emissions!$D82,EF!$D$84:$D$99,0))*INDEX(EF!$H$100:$H$115,MATCH(Emissions!$D82,EF!$D$100:$D$115,0))*INDEX(EF!$H$132:$H$147,MATCH(Emissions!$D82,EF!$D$132:$D$147,0))*kgtoGg</f>
        <v>7.357077670844267E-2</v>
      </c>
      <c r="M82" s="22">
        <f>INDEX('Activity data'!M$24:M$39,MATCH(Emissions!$D82,'Activity data'!$D$24:$D$39,0))*INDEX(EF!$H$84:$H$99,MATCH(Emissions!$D82,EF!$D$84:$D$99,0))*INDEX(EF!$H$100:$H$115,MATCH(Emissions!$D82,EF!$D$100:$D$115,0))*INDEX(EF!$H$132:$H$147,MATCH(Emissions!$D82,EF!$D$132:$D$147,0))*kgtoGg</f>
        <v>7.357077670844267E-2</v>
      </c>
      <c r="N82" s="22">
        <f>INDEX('Activity data'!N$24:N$39,MATCH(Emissions!$D82,'Activity data'!$D$24:$D$39,0))*INDEX(EF!$H$84:$H$99,MATCH(Emissions!$D82,EF!$D$84:$D$99,0))*INDEX(EF!$H$100:$H$115,MATCH(Emissions!$D82,EF!$D$100:$D$115,0))*INDEX(EF!$H$132:$H$147,MATCH(Emissions!$D82,EF!$D$132:$D$147,0))*kgtoGg</f>
        <v>7.357077670844267E-2</v>
      </c>
      <c r="O82" s="22">
        <f>INDEX('Activity data'!O$24:O$39,MATCH(Emissions!$D82,'Activity data'!$D$24:$D$39,0))*INDEX(EF!$H$84:$H$99,MATCH(Emissions!$D82,EF!$D$84:$D$99,0))*INDEX(EF!$H$100:$H$115,MATCH(Emissions!$D82,EF!$D$100:$D$115,0))*INDEX(EF!$H$132:$H$147,MATCH(Emissions!$D82,EF!$D$132:$D$147,0))*kgtoGg</f>
        <v>7.357077670844267E-2</v>
      </c>
      <c r="P82" s="22">
        <f>INDEX('Activity data'!P$24:P$39,MATCH(Emissions!$D82,'Activity data'!$D$24:$D$39,0))*INDEX(EF!$H$84:$H$99,MATCH(Emissions!$D82,EF!$D$84:$D$99,0))*INDEX(EF!$H$100:$H$115,MATCH(Emissions!$D82,EF!$D$100:$D$115,0))*INDEX(EF!$H$132:$H$147,MATCH(Emissions!$D82,EF!$D$132:$D$147,0))*kgtoGg</f>
        <v>7.357077670844267E-2</v>
      </c>
      <c r="Q82" s="22">
        <f>INDEX('Activity data'!Q$24:Q$39,MATCH(Emissions!$D82,'Activity data'!$D$24:$D$39,0))*INDEX(EF!$H$84:$H$99,MATCH(Emissions!$D82,EF!$D$84:$D$99,0))*INDEX(EF!$H$100:$H$115,MATCH(Emissions!$D82,EF!$D$100:$D$115,0))*INDEX(EF!$H$132:$H$147,MATCH(Emissions!$D82,EF!$D$132:$D$147,0))*kgtoGg</f>
        <v>7.357077670844267E-2</v>
      </c>
      <c r="R82" s="22">
        <f>INDEX('Activity data'!R$24:R$39,MATCH(Emissions!$D82,'Activity data'!$D$24:$D$39,0))*INDEX(EF!$H$84:$H$99,MATCH(Emissions!$D82,EF!$D$84:$D$99,0))*INDEX(EF!$H$100:$H$115,MATCH(Emissions!$D82,EF!$D$100:$D$115,0))*INDEX(EF!$H$132:$H$147,MATCH(Emissions!$D82,EF!$D$132:$D$147,0))*kgtoGg</f>
        <v>6.5083674793923713E-2</v>
      </c>
      <c r="S82" s="22">
        <f>INDEX('Activity data'!S$24:S$39,MATCH(Emissions!$D82,'Activity data'!$D$24:$D$39,0))*INDEX(EF!$H$84:$H$99,MATCH(Emissions!$D82,EF!$D$84:$D$99,0))*INDEX(EF!$H$100:$H$115,MATCH(Emissions!$D82,EF!$D$100:$D$115,0))*INDEX(EF!$H$132:$H$147,MATCH(Emissions!$D82,EF!$D$132:$D$147,0))*kgtoGg</f>
        <v>7.8612973491927987E-2</v>
      </c>
      <c r="T82" s="22">
        <f>INDEX('Activity data'!T$24:T$39,MATCH(Emissions!$D82,'Activity data'!$D$24:$D$39,0))*INDEX(EF!$H$84:$H$99,MATCH(Emissions!$D82,EF!$D$84:$D$99,0))*INDEX(EF!$H$100:$H$115,MATCH(Emissions!$D82,EF!$D$100:$D$115,0))*INDEX(EF!$H$132:$H$147,MATCH(Emissions!$D82,EF!$D$132:$D$147,0))*kgtoGg</f>
        <v>8.8983449145904836E-2</v>
      </c>
      <c r="U82" s="22">
        <f>INDEX('Activity data'!U$24:U$39,MATCH(Emissions!$D82,'Activity data'!$D$24:$D$39,0))*INDEX(EF!$H$84:$H$99,MATCH(Emissions!$D82,EF!$D$84:$D$99,0))*INDEX(EF!$H$100:$H$115,MATCH(Emissions!$D82,EF!$D$100:$D$115,0))*INDEX(EF!$H$132:$H$147,MATCH(Emissions!$D82,EF!$D$132:$D$147,0))*kgtoGg</f>
        <v>7.2791997693814531E-2</v>
      </c>
      <c r="V82" s="22">
        <f>INDEX('Activity data'!V$24:V$39,MATCH(Emissions!$D82,'Activity data'!$D$24:$D$39,0))*INDEX(EF!$H$84:$H$99,MATCH(Emissions!$D82,EF!$D$84:$D$99,0))*INDEX(EF!$H$100:$H$115,MATCH(Emissions!$D82,EF!$D$100:$D$115,0))*INDEX(EF!$H$132:$H$147,MATCH(Emissions!$D82,EF!$D$132:$D$147,0))*kgtoGg</f>
        <v>6.2381788416642367E-2</v>
      </c>
      <c r="W82" s="22">
        <f>INDEX('Activity data'!W$24:W$39,MATCH(Emissions!$D82,'Activity data'!$D$24:$D$39,0))*INDEX(EF!$H$84:$H$99,MATCH(Emissions!$D82,EF!$D$84:$D$99,0))*INDEX(EF!$H$100:$H$115,MATCH(Emissions!$D82,EF!$D$100:$D$115,0))*INDEX(EF!$H$132:$H$147,MATCH(Emissions!$D82,EF!$D$132:$D$147,0))*kgtoGg</f>
        <v>9.2301206682713535E-2</v>
      </c>
      <c r="X82" s="22">
        <f>INDEX('Activity data'!X$24:X$39,MATCH(Emissions!$D82,'Activity data'!$D$24:$D$39,0))*INDEX(EF!$H$84:$H$99,MATCH(Emissions!$D82,EF!$D$84:$D$99,0))*INDEX(EF!$H$100:$H$115,MATCH(Emissions!$D82,EF!$D$100:$D$115,0))*INDEX(EF!$H$132:$H$147,MATCH(Emissions!$D82,EF!$D$132:$D$147,0))*kgtoGg</f>
        <v>8.1930731028736672E-2</v>
      </c>
      <c r="Y82" s="22">
        <f>INDEX('Activity data'!Y$24:Y$39,MATCH(Emissions!$D82,'Activity data'!$D$24:$D$39,0))*INDEX(EF!$H$84:$H$99,MATCH(Emissions!$D82,EF!$D$84:$D$99,0))*INDEX(EF!$H$100:$H$115,MATCH(Emissions!$D82,EF!$D$100:$D$115,0))*INDEX(EF!$H$132:$H$147,MATCH(Emissions!$D82,EF!$D$132:$D$147,0))*kgtoGg</f>
        <v>7.2176126534287191E-2</v>
      </c>
      <c r="Z82" s="22">
        <f>INDEX('Activity data'!Z$24:Z$39,MATCH(Emissions!$D82,'Activity data'!$D$24:$D$39,0))*INDEX(EF!$H$84:$H$99,MATCH(Emissions!$D82,EF!$D$84:$D$99,0))*INDEX(EF!$H$100:$H$115,MATCH(Emissions!$D82,EF!$D$100:$D$115,0))*INDEX(EF!$H$132:$H$147,MATCH(Emissions!$D82,EF!$D$132:$D$147,0))*kgtoGg</f>
        <v>6.5818746823036997E-2</v>
      </c>
      <c r="AA82" s="22">
        <f>INDEX('Activity data'!AA$24:AA$39,MATCH(Emissions!$D82,'Activity data'!$D$24:$D$39,0))*INDEX(EF!$H$84:$H$99,MATCH(Emissions!$D82,EF!$D$84:$D$99,0))*INDEX(EF!$H$100:$H$115,MATCH(Emissions!$D82,EF!$D$100:$D$115,0))*INDEX(EF!$H$132:$H$147,MATCH(Emissions!$D82,EF!$D$132:$D$147,0))*kgtoGg</f>
        <v>7.3924405954880992E-2</v>
      </c>
      <c r="AB82" s="22">
        <f>INDEX('Activity data'!AB$24:AB$39,MATCH(Emissions!$D82,'Activity data'!$D$24:$D$39,0))*INDEX(EF!$H$84:$H$99,MATCH(Emissions!$D82,EF!$D$84:$D$99,0))*INDEX(EF!$H$100:$H$115,MATCH(Emissions!$D82,EF!$D$100:$D$115,0))*INDEX(EF!$H$132:$H$147,MATCH(Emissions!$D82,EF!$D$132:$D$147,0))*kgtoGg</f>
        <v>9.8940084389999974E-2</v>
      </c>
      <c r="AC82" s="22">
        <f>INDEX('Activity data'!AC$24:AC$39,MATCH(Emissions!$D82,'Activity data'!$D$24:$D$39,0))*INDEX(EF!$H$84:$H$99,MATCH(Emissions!$D82,EF!$D$84:$D$99,0))*INDEX(EF!$H$100:$H$115,MATCH(Emissions!$D82,EF!$D$100:$D$115,0))*INDEX(EF!$H$132:$H$147,MATCH(Emissions!$D82,EF!$D$132:$D$147,0))*kgtoGg</f>
        <v>0.10685917493999998</v>
      </c>
      <c r="AD82" s="22">
        <f>INDEX('Activity data'!AD$24:AD$39,MATCH(Emissions!$D82,'Activity data'!$D$24:$D$39,0))*INDEX(EF!$H$84:$H$99,MATCH(Emissions!$D82,EF!$D$84:$D$99,0))*INDEX(EF!$H$100:$H$115,MATCH(Emissions!$D82,EF!$D$100:$D$115,0))*INDEX(EF!$H$132:$H$147,MATCH(Emissions!$D82,EF!$D$132:$D$147,0))*kgtoGg</f>
        <v>7.8813449993659371E-2</v>
      </c>
      <c r="AE82" s="22">
        <f>INDEX('Activity data'!AE$24:AE$39,MATCH(Emissions!$D82,'Activity data'!$D$24:$D$39,0))*INDEX(EF!$H$84:$H$99,MATCH(Emissions!$D82,EF!$D$84:$D$99,0))*INDEX(EF!$H$100:$H$115,MATCH(Emissions!$D82,EF!$D$100:$D$115,0))*INDEX(EF!$H$132:$H$147,MATCH(Emissions!$D82,EF!$D$132:$D$147,0))*kgtoGg</f>
        <v>7.8813449993659371E-2</v>
      </c>
      <c r="AF82" s="22">
        <f>INDEX('Activity data'!AF$24:AF$39,MATCH(Emissions!$D82,'Activity data'!$D$24:$D$39,0))*INDEX(EF!$H$84:$H$99,MATCH(Emissions!$D82,EF!$D$84:$D$99,0))*INDEX(EF!$H$100:$H$115,MATCH(Emissions!$D82,EF!$D$100:$D$115,0))*INDEX(EF!$H$132:$H$147,MATCH(Emissions!$D82,EF!$D$132:$D$147,0))*kgtoGg</f>
        <v>7.8813449993659371E-2</v>
      </c>
      <c r="AG82" s="22">
        <f>INDEX('Activity data'!AG$24:AG$39,MATCH(Emissions!$D82,'Activity data'!$D$24:$D$39,0))*INDEX(EF!$H$84:$H$99,MATCH(Emissions!$D82,EF!$D$84:$D$99,0))*INDEX(EF!$H$100:$H$115,MATCH(Emissions!$D82,EF!$D$100:$D$115,0))*INDEX(EF!$H$132:$H$147,MATCH(Emissions!$D82,EF!$D$132:$D$147,0))*kgtoGg</f>
        <v>7.8813449993659371E-2</v>
      </c>
      <c r="AH82" s="22">
        <f>INDEX('Activity data'!AH$24:AH$39,MATCH(Emissions!$D82,'Activity data'!$D$24:$D$39,0))*INDEX(EF!$H$84:$H$99,MATCH(Emissions!$D82,EF!$D$84:$D$99,0))*INDEX(EF!$H$100:$H$115,MATCH(Emissions!$D82,EF!$D$100:$D$115,0))*INDEX(EF!$H$132:$H$147,MATCH(Emissions!$D82,EF!$D$132:$D$147,0))*kgtoGg</f>
        <v>7.8813449993659371E-2</v>
      </c>
      <c r="AI82" s="22">
        <f>INDEX('Activity data'!AI$24:AI$39,MATCH(Emissions!$D82,'Activity data'!$D$24:$D$39,0))*INDEX(EF!$H$84:$H$99,MATCH(Emissions!$D82,EF!$D$84:$D$99,0))*INDEX(EF!$H$100:$H$115,MATCH(Emissions!$D82,EF!$D$100:$D$115,0))*INDEX(EF!$H$132:$H$147,MATCH(Emissions!$D82,EF!$D$132:$D$147,0))*kgtoGg</f>
        <v>7.8813449993659371E-2</v>
      </c>
      <c r="AJ82" s="22">
        <f>INDEX('Activity data'!AJ$24:AJ$39,MATCH(Emissions!$D82,'Activity data'!$D$24:$D$39,0))*INDEX(EF!$H$84:$H$99,MATCH(Emissions!$D82,EF!$D$84:$D$99,0))*INDEX(EF!$H$100:$H$115,MATCH(Emissions!$D82,EF!$D$100:$D$115,0))*INDEX(EF!$H$132:$H$147,MATCH(Emissions!$D82,EF!$D$132:$D$147,0))*kgtoGg</f>
        <v>7.8813449993659371E-2</v>
      </c>
      <c r="AK82" s="22">
        <f>INDEX('Activity data'!AK$24:AK$39,MATCH(Emissions!$D82,'Activity data'!$D$24:$D$39,0))*INDEX(EF!$H$84:$H$99,MATCH(Emissions!$D82,EF!$D$84:$D$99,0))*INDEX(EF!$H$100:$H$115,MATCH(Emissions!$D82,EF!$D$100:$D$115,0))*INDEX(EF!$H$132:$H$147,MATCH(Emissions!$D82,EF!$D$132:$D$147,0))*kgtoGg</f>
        <v>7.8813449993659371E-2</v>
      </c>
      <c r="AL82" s="22">
        <f>INDEX('Activity data'!AL$24:AL$39,MATCH(Emissions!$D82,'Activity data'!$D$24:$D$39,0))*INDEX(EF!$H$84:$H$99,MATCH(Emissions!$D82,EF!$D$84:$D$99,0))*INDEX(EF!$H$100:$H$115,MATCH(Emissions!$D82,EF!$D$100:$D$115,0))*INDEX(EF!$H$132:$H$147,MATCH(Emissions!$D82,EF!$D$132:$D$147,0))*kgtoGg</f>
        <v>7.8813449993659371E-2</v>
      </c>
      <c r="AM82" s="22">
        <f>INDEX('Activity data'!AM$24:AM$39,MATCH(Emissions!$D82,'Activity data'!$D$24:$D$39,0))*INDEX(EF!$H$84:$H$99,MATCH(Emissions!$D82,EF!$D$84:$D$99,0))*INDEX(EF!$H$100:$H$115,MATCH(Emissions!$D82,EF!$D$100:$D$115,0))*INDEX(EF!$H$132:$H$147,MATCH(Emissions!$D82,EF!$D$132:$D$147,0))*kgtoGg</f>
        <v>7.8813449993659371E-2</v>
      </c>
      <c r="AN82" s="22">
        <f>INDEX('Activity data'!AN$24:AN$39,MATCH(Emissions!$D82,'Activity data'!$D$24:$D$39,0))*INDEX(EF!$H$84:$H$99,MATCH(Emissions!$D82,EF!$D$84:$D$99,0))*INDEX(EF!$H$100:$H$115,MATCH(Emissions!$D82,EF!$D$100:$D$115,0))*INDEX(EF!$H$132:$H$147,MATCH(Emissions!$D82,EF!$D$132:$D$147,0))*kgtoGg</f>
        <v>7.8813449993659371E-2</v>
      </c>
      <c r="AO82" s="22">
        <f>INDEX('Activity data'!AO$24:AO$39,MATCH(Emissions!$D82,'Activity data'!$D$24:$D$39,0))*INDEX(EF!$H$84:$H$99,MATCH(Emissions!$D82,EF!$D$84:$D$99,0))*INDEX(EF!$H$100:$H$115,MATCH(Emissions!$D82,EF!$D$100:$D$115,0))*INDEX(EF!$H$132:$H$147,MATCH(Emissions!$D82,EF!$D$132:$D$147,0))*kgtoGg</f>
        <v>7.8813449993659371E-2</v>
      </c>
      <c r="AP82" s="22">
        <f>INDEX('Activity data'!AP$24:AP$39,MATCH(Emissions!$D82,'Activity data'!$D$24:$D$39,0))*INDEX(EF!$H$84:$H$99,MATCH(Emissions!$D82,EF!$D$84:$D$99,0))*INDEX(EF!$H$100:$H$115,MATCH(Emissions!$D82,EF!$D$100:$D$115,0))*INDEX(EF!$H$132:$H$147,MATCH(Emissions!$D82,EF!$D$132:$D$147,0))*kgtoGg</f>
        <v>7.8813449993659371E-2</v>
      </c>
      <c r="AQ82" s="22">
        <f>INDEX('Activity data'!AQ$24:AQ$39,MATCH(Emissions!$D82,'Activity data'!$D$24:$D$39,0))*INDEX(EF!$H$84:$H$99,MATCH(Emissions!$D82,EF!$D$84:$D$99,0))*INDEX(EF!$H$100:$H$115,MATCH(Emissions!$D82,EF!$D$100:$D$115,0))*INDEX(EF!$H$132:$H$147,MATCH(Emissions!$D82,EF!$D$132:$D$147,0))*kgtoGg</f>
        <v>7.8813449993659371E-2</v>
      </c>
      <c r="AR82" s="22">
        <f>INDEX('Activity data'!AR$24:AR$39,MATCH(Emissions!$D82,'Activity data'!$D$24:$D$39,0))*INDEX(EF!$H$84:$H$99,MATCH(Emissions!$D82,EF!$D$84:$D$99,0))*INDEX(EF!$H$100:$H$115,MATCH(Emissions!$D82,EF!$D$100:$D$115,0))*INDEX(EF!$H$132:$H$147,MATCH(Emissions!$D82,EF!$D$132:$D$147,0))*kgtoGg</f>
        <v>7.8813449993659371E-2</v>
      </c>
      <c r="AS82" s="22">
        <f>INDEX('Activity data'!AS$24:AS$39,MATCH(Emissions!$D82,'Activity data'!$D$24:$D$39,0))*INDEX(EF!$H$84:$H$99,MATCH(Emissions!$D82,EF!$D$84:$D$99,0))*INDEX(EF!$H$100:$H$115,MATCH(Emissions!$D82,EF!$D$100:$D$115,0))*INDEX(EF!$H$132:$H$147,MATCH(Emissions!$D82,EF!$D$132:$D$147,0))*kgtoGg</f>
        <v>7.8813449993659371E-2</v>
      </c>
      <c r="AT82" s="22">
        <f>INDEX('Activity data'!AT$24:AT$39,MATCH(Emissions!$D82,'Activity data'!$D$24:$D$39,0))*INDEX(EF!$H$84:$H$99,MATCH(Emissions!$D82,EF!$D$84:$D$99,0))*INDEX(EF!$H$100:$H$115,MATCH(Emissions!$D82,EF!$D$100:$D$115,0))*INDEX(EF!$H$132:$H$147,MATCH(Emissions!$D82,EF!$D$132:$D$147,0))*kgtoGg</f>
        <v>7.8813449993659371E-2</v>
      </c>
      <c r="AU82" s="22">
        <f>INDEX('Activity data'!AU$24:AU$39,MATCH(Emissions!$D82,'Activity data'!$D$24:$D$39,0))*INDEX(EF!$H$84:$H$99,MATCH(Emissions!$D82,EF!$D$84:$D$99,0))*INDEX(EF!$H$100:$H$115,MATCH(Emissions!$D82,EF!$D$100:$D$115,0))*INDEX(EF!$H$132:$H$147,MATCH(Emissions!$D82,EF!$D$132:$D$147,0))*kgtoGg</f>
        <v>7.8813449993659371E-2</v>
      </c>
      <c r="AV82" s="22">
        <f>INDEX('Activity data'!AV$24:AV$39,MATCH(Emissions!$D82,'Activity data'!$D$24:$D$39,0))*INDEX(EF!$H$84:$H$99,MATCH(Emissions!$D82,EF!$D$84:$D$99,0))*INDEX(EF!$H$100:$H$115,MATCH(Emissions!$D82,EF!$D$100:$D$115,0))*INDEX(EF!$H$132:$H$147,MATCH(Emissions!$D82,EF!$D$132:$D$147,0))*kgtoGg</f>
        <v>7.8813449993659371E-2</v>
      </c>
      <c r="AW82" s="22">
        <f>INDEX('Activity data'!AW$24:AW$39,MATCH(Emissions!$D82,'Activity data'!$D$24:$D$39,0))*INDEX(EF!$H$84:$H$99,MATCH(Emissions!$D82,EF!$D$84:$D$99,0))*INDEX(EF!$H$100:$H$115,MATCH(Emissions!$D82,EF!$D$100:$D$115,0))*INDEX(EF!$H$132:$H$147,MATCH(Emissions!$D82,EF!$D$132:$D$147,0))*kgtoGg</f>
        <v>7.8813449993659371E-2</v>
      </c>
      <c r="AX82" s="22">
        <f>INDEX('Activity data'!AX$24:AX$39,MATCH(Emissions!$D82,'Activity data'!$D$24:$D$39,0))*INDEX(EF!$H$84:$H$99,MATCH(Emissions!$D82,EF!$D$84:$D$99,0))*INDEX(EF!$H$100:$H$115,MATCH(Emissions!$D82,EF!$D$100:$D$115,0))*INDEX(EF!$H$132:$H$147,MATCH(Emissions!$D82,EF!$D$132:$D$147,0))*kgtoGg</f>
        <v>7.8813449993659371E-2</v>
      </c>
      <c r="AY82" s="22">
        <f>INDEX('Activity data'!AY$24:AY$39,MATCH(Emissions!$D82,'Activity data'!$D$24:$D$39,0))*INDEX(EF!$H$84:$H$99,MATCH(Emissions!$D82,EF!$D$84:$D$99,0))*INDEX(EF!$H$100:$H$115,MATCH(Emissions!$D82,EF!$D$100:$D$115,0))*INDEX(EF!$H$132:$H$147,MATCH(Emissions!$D82,EF!$D$132:$D$147,0))*kgtoGg</f>
        <v>7.8813449993659371E-2</v>
      </c>
      <c r="AZ82" s="22">
        <f>INDEX('Activity data'!AZ$24:AZ$39,MATCH(Emissions!$D82,'Activity data'!$D$24:$D$39,0))*INDEX(EF!$H$84:$H$99,MATCH(Emissions!$D82,EF!$D$84:$D$99,0))*INDEX(EF!$H$100:$H$115,MATCH(Emissions!$D82,EF!$D$100:$D$115,0))*INDEX(EF!$H$132:$H$147,MATCH(Emissions!$D82,EF!$D$132:$D$147,0))*kgtoGg</f>
        <v>7.8813449993659371E-2</v>
      </c>
      <c r="BA82" s="22">
        <f>INDEX('Activity data'!BA$24:BA$39,MATCH(Emissions!$D82,'Activity data'!$D$24:$D$39,0))*INDEX(EF!$H$84:$H$99,MATCH(Emissions!$D82,EF!$D$84:$D$99,0))*INDEX(EF!$H$100:$H$115,MATCH(Emissions!$D82,EF!$D$100:$D$115,0))*INDEX(EF!$H$132:$H$147,MATCH(Emissions!$D82,EF!$D$132:$D$147,0))*kgtoGg</f>
        <v>7.8813449993659371E-2</v>
      </c>
      <c r="BB82" s="22">
        <f>INDEX('Activity data'!BB$24:BB$39,MATCH(Emissions!$D82,'Activity data'!$D$24:$D$39,0))*INDEX(EF!$H$84:$H$99,MATCH(Emissions!$D82,EF!$D$84:$D$99,0))*INDEX(EF!$H$100:$H$115,MATCH(Emissions!$D82,EF!$D$100:$D$115,0))*INDEX(EF!$H$132:$H$147,MATCH(Emissions!$D82,EF!$D$132:$D$147,0))*kgtoGg</f>
        <v>7.8813449993659371E-2</v>
      </c>
      <c r="BC82" s="22">
        <f>INDEX('Activity data'!BC$24:BC$39,MATCH(Emissions!$D82,'Activity data'!$D$24:$D$39,0))*INDEX(EF!$H$84:$H$99,MATCH(Emissions!$D82,EF!$D$84:$D$99,0))*INDEX(EF!$H$100:$H$115,MATCH(Emissions!$D82,EF!$D$100:$D$115,0))*INDEX(EF!$H$132:$H$147,MATCH(Emissions!$D82,EF!$D$132:$D$147,0))*kgtoGg</f>
        <v>7.8813449993659371E-2</v>
      </c>
      <c r="BD82" s="22">
        <f>INDEX('Activity data'!BD$24:BD$39,MATCH(Emissions!$D82,'Activity data'!$D$24:$D$39,0))*INDEX(EF!$H$84:$H$99,MATCH(Emissions!$D82,EF!$D$84:$D$99,0))*INDEX(EF!$H$100:$H$115,MATCH(Emissions!$D82,EF!$D$100:$D$115,0))*INDEX(EF!$H$132:$H$147,MATCH(Emissions!$D82,EF!$D$132:$D$147,0))*kgtoGg</f>
        <v>7.8813449993659371E-2</v>
      </c>
      <c r="BE82" s="22">
        <f>INDEX('Activity data'!BE$24:BE$39,MATCH(Emissions!$D82,'Activity data'!$D$24:$D$39,0))*INDEX(EF!$H$84:$H$99,MATCH(Emissions!$D82,EF!$D$84:$D$99,0))*INDEX(EF!$H$100:$H$115,MATCH(Emissions!$D82,EF!$D$100:$D$115,0))*INDEX(EF!$H$132:$H$147,MATCH(Emissions!$D82,EF!$D$132:$D$147,0))*kgtoGg</f>
        <v>7.8813449993659371E-2</v>
      </c>
      <c r="BF82" s="22">
        <f>INDEX('Activity data'!BF$24:BF$39,MATCH(Emissions!$D82,'Activity data'!$D$24:$D$39,0))*INDEX(EF!$H$84:$H$99,MATCH(Emissions!$D82,EF!$D$84:$D$99,0))*INDEX(EF!$H$100:$H$115,MATCH(Emissions!$D82,EF!$D$100:$D$115,0))*INDEX(EF!$H$132:$H$147,MATCH(Emissions!$D82,EF!$D$132:$D$147,0))*kgtoGg</f>
        <v>7.8813449993659371E-2</v>
      </c>
      <c r="BG82" s="22">
        <f>INDEX('Activity data'!BG$24:BG$39,MATCH(Emissions!$D82,'Activity data'!$D$24:$D$39,0))*INDEX(EF!$H$84:$H$99,MATCH(Emissions!$D82,EF!$D$84:$D$99,0))*INDEX(EF!$H$100:$H$115,MATCH(Emissions!$D82,EF!$D$100:$D$115,0))*INDEX(EF!$H$132:$H$147,MATCH(Emissions!$D82,EF!$D$132:$D$147,0))*kgtoGg</f>
        <v>7.8813449993659371E-2</v>
      </c>
      <c r="BH82" s="22">
        <f>INDEX('Activity data'!BH$24:BH$39,MATCH(Emissions!$D82,'Activity data'!$D$24:$D$39,0))*INDEX(EF!$H$84:$H$99,MATCH(Emissions!$D82,EF!$D$84:$D$99,0))*INDEX(EF!$H$100:$H$115,MATCH(Emissions!$D82,EF!$D$100:$D$115,0))*INDEX(EF!$H$132:$H$147,MATCH(Emissions!$D82,EF!$D$132:$D$147,0))*kgtoGg</f>
        <v>7.8813449993659371E-2</v>
      </c>
      <c r="BI82" s="22">
        <f>INDEX('Activity data'!BI$24:BI$39,MATCH(Emissions!$D82,'Activity data'!$D$24:$D$39,0))*INDEX(EF!$H$84:$H$99,MATCH(Emissions!$D82,EF!$D$84:$D$99,0))*INDEX(EF!$H$100:$H$115,MATCH(Emissions!$D82,EF!$D$100:$D$115,0))*INDEX(EF!$H$132:$H$147,MATCH(Emissions!$D82,EF!$D$132:$D$147,0))*kgtoGg</f>
        <v>7.8813449993659371E-2</v>
      </c>
      <c r="BJ82" s="22">
        <f>INDEX('Activity data'!BJ$24:BJ$39,MATCH(Emissions!$D82,'Activity data'!$D$24:$D$39,0))*INDEX(EF!$H$84:$H$99,MATCH(Emissions!$D82,EF!$D$84:$D$99,0))*INDEX(EF!$H$100:$H$115,MATCH(Emissions!$D82,EF!$D$100:$D$115,0))*INDEX(EF!$H$132:$H$147,MATCH(Emissions!$D82,EF!$D$132:$D$147,0))*kgtoGg</f>
        <v>7.8813449993659371E-2</v>
      </c>
      <c r="BK82" s="22">
        <f>INDEX('Activity data'!BK$24:BK$39,MATCH(Emissions!$D82,'Activity data'!$D$24:$D$39,0))*INDEX(EF!$H$84:$H$99,MATCH(Emissions!$D82,EF!$D$84:$D$99,0))*INDEX(EF!$H$100:$H$115,MATCH(Emissions!$D82,EF!$D$100:$D$115,0))*INDEX(EF!$H$132:$H$147,MATCH(Emissions!$D82,EF!$D$132:$D$147,0))*kgtoGg</f>
        <v>7.8813449993659371E-2</v>
      </c>
      <c r="BL82" s="22">
        <f>INDEX('Activity data'!BL$24:BL$39,MATCH(Emissions!$D82,'Activity data'!$D$24:$D$39,0))*INDEX(EF!$H$84:$H$99,MATCH(Emissions!$D82,EF!$D$84:$D$99,0))*INDEX(EF!$H$100:$H$115,MATCH(Emissions!$D82,EF!$D$100:$D$115,0))*INDEX(EF!$H$132:$H$147,MATCH(Emissions!$D82,EF!$D$132:$D$147,0))*kgtoGg</f>
        <v>7.8813449993659371E-2</v>
      </c>
      <c r="BM82" s="22">
        <f>INDEX('Activity data'!BM$24:BM$39,MATCH(Emissions!$D82,'Activity data'!$D$24:$D$39,0))*INDEX(EF!$H$84:$H$99,MATCH(Emissions!$D82,EF!$D$84:$D$99,0))*INDEX(EF!$H$100:$H$115,MATCH(Emissions!$D82,EF!$D$100:$D$115,0))*INDEX(EF!$H$132:$H$147,MATCH(Emissions!$D82,EF!$D$132:$D$147,0))*kgtoGg</f>
        <v>7.8813449993659371E-2</v>
      </c>
      <c r="BN82" s="22">
        <f>INDEX('Activity data'!BN$24:BN$39,MATCH(Emissions!$D82,'Activity data'!$D$24:$D$39,0))*INDEX(EF!$H$84:$H$99,MATCH(Emissions!$D82,EF!$D$84:$D$99,0))*INDEX(EF!$H$100:$H$115,MATCH(Emissions!$D82,EF!$D$100:$D$115,0))*INDEX(EF!$H$132:$H$147,MATCH(Emissions!$D82,EF!$D$132:$D$147,0))*kgtoGg</f>
        <v>7.8813449993659371E-2</v>
      </c>
      <c r="BO82" s="22">
        <f>INDEX('Activity data'!BO$24:BO$39,MATCH(Emissions!$D82,'Activity data'!$D$24:$D$39,0))*INDEX(EF!$H$84:$H$99,MATCH(Emissions!$D82,EF!$D$84:$D$99,0))*INDEX(EF!$H$100:$H$115,MATCH(Emissions!$D82,EF!$D$100:$D$115,0))*INDEX(EF!$H$132:$H$147,MATCH(Emissions!$D82,EF!$D$132:$D$147,0))*kgtoGg</f>
        <v>7.8813449993659371E-2</v>
      </c>
      <c r="BP82" s="22">
        <f>INDEX('Activity data'!BP$24:BP$39,MATCH(Emissions!$D82,'Activity data'!$D$24:$D$39,0))*INDEX(EF!$H$84:$H$99,MATCH(Emissions!$D82,EF!$D$84:$D$99,0))*INDEX(EF!$H$100:$H$115,MATCH(Emissions!$D82,EF!$D$100:$D$115,0))*INDEX(EF!$H$132:$H$147,MATCH(Emissions!$D82,EF!$D$132:$D$147,0))*kgtoGg</f>
        <v>7.8813449993659371E-2</v>
      </c>
    </row>
    <row r="83" spans="1:68" x14ac:dyDescent="0.25">
      <c r="A83" t="str">
        <f t="shared" si="19"/>
        <v>3C Aggregated and non-CO2 emissions on land</v>
      </c>
      <c r="B83" t="str">
        <f t="shared" si="26"/>
        <v>3C1 Biomass burning (N2O)</v>
      </c>
      <c r="C83" t="str">
        <f t="shared" si="25"/>
        <v>3C1e Biomass burning in Settlements</v>
      </c>
      <c r="D83" t="str">
        <f>EF!D113</f>
        <v>Settlements</v>
      </c>
      <c r="E83" t="s">
        <v>653</v>
      </c>
      <c r="F83" t="str">
        <f t="shared" si="27"/>
        <v>N2O</v>
      </c>
      <c r="G83" t="str">
        <f t="shared" si="28"/>
        <v>Gg N2O</v>
      </c>
      <c r="H83" s="22">
        <f>INDEX('Activity data'!H$24:H$39,MATCH(Emissions!$D83,'Activity data'!$D$24:$D$39,0))*INDEX(EF!$H$84:$H$99,MATCH(Emissions!$D83,EF!$D$84:$D$99,0))*INDEX(EF!$H$100:$H$115,MATCH(Emissions!$D83,EF!$D$100:$D$115,0))*INDEX(EF!$H$132:$H$147,MATCH(Emissions!$D83,EF!$D$132:$D$147,0))*kgtoGg</f>
        <v>4.462880557297625E-2</v>
      </c>
      <c r="I83" s="22">
        <f>INDEX('Activity data'!I$24:I$39,MATCH(Emissions!$D83,'Activity data'!$D$24:$D$39,0))*INDEX(EF!$H$84:$H$99,MATCH(Emissions!$D83,EF!$D$84:$D$99,0))*INDEX(EF!$H$100:$H$115,MATCH(Emissions!$D83,EF!$D$100:$D$115,0))*INDEX(EF!$H$132:$H$147,MATCH(Emissions!$D83,EF!$D$132:$D$147,0))*kgtoGg</f>
        <v>4.462880557297625E-2</v>
      </c>
      <c r="J83" s="22">
        <f>INDEX('Activity data'!J$24:J$39,MATCH(Emissions!$D83,'Activity data'!$D$24:$D$39,0))*INDEX(EF!$H$84:$H$99,MATCH(Emissions!$D83,EF!$D$84:$D$99,0))*INDEX(EF!$H$100:$H$115,MATCH(Emissions!$D83,EF!$D$100:$D$115,0))*INDEX(EF!$H$132:$H$147,MATCH(Emissions!$D83,EF!$D$132:$D$147,0))*kgtoGg</f>
        <v>4.462880557297625E-2</v>
      </c>
      <c r="K83" s="22">
        <f>INDEX('Activity data'!K$24:K$39,MATCH(Emissions!$D83,'Activity data'!$D$24:$D$39,0))*INDEX(EF!$H$84:$H$99,MATCH(Emissions!$D83,EF!$D$84:$D$99,0))*INDEX(EF!$H$100:$H$115,MATCH(Emissions!$D83,EF!$D$100:$D$115,0))*INDEX(EF!$H$132:$H$147,MATCH(Emissions!$D83,EF!$D$132:$D$147,0))*kgtoGg</f>
        <v>4.462880557297625E-2</v>
      </c>
      <c r="L83" s="22">
        <f>INDEX('Activity data'!L$24:L$39,MATCH(Emissions!$D83,'Activity data'!$D$24:$D$39,0))*INDEX(EF!$H$84:$H$99,MATCH(Emissions!$D83,EF!$D$84:$D$99,0))*INDEX(EF!$H$100:$H$115,MATCH(Emissions!$D83,EF!$D$100:$D$115,0))*INDEX(EF!$H$132:$H$147,MATCH(Emissions!$D83,EF!$D$132:$D$147,0))*kgtoGg</f>
        <v>4.462880557297625E-2</v>
      </c>
      <c r="M83" s="22">
        <f>INDEX('Activity data'!M$24:M$39,MATCH(Emissions!$D83,'Activity data'!$D$24:$D$39,0))*INDEX(EF!$H$84:$H$99,MATCH(Emissions!$D83,EF!$D$84:$D$99,0))*INDEX(EF!$H$100:$H$115,MATCH(Emissions!$D83,EF!$D$100:$D$115,0))*INDEX(EF!$H$132:$H$147,MATCH(Emissions!$D83,EF!$D$132:$D$147,0))*kgtoGg</f>
        <v>4.462880557297625E-2</v>
      </c>
      <c r="N83" s="22">
        <f>INDEX('Activity data'!N$24:N$39,MATCH(Emissions!$D83,'Activity data'!$D$24:$D$39,0))*INDEX(EF!$H$84:$H$99,MATCH(Emissions!$D83,EF!$D$84:$D$99,0))*INDEX(EF!$H$100:$H$115,MATCH(Emissions!$D83,EF!$D$100:$D$115,0))*INDEX(EF!$H$132:$H$147,MATCH(Emissions!$D83,EF!$D$132:$D$147,0))*kgtoGg</f>
        <v>4.462880557297625E-2</v>
      </c>
      <c r="O83" s="22">
        <f>INDEX('Activity data'!O$24:O$39,MATCH(Emissions!$D83,'Activity data'!$D$24:$D$39,0))*INDEX(EF!$H$84:$H$99,MATCH(Emissions!$D83,EF!$D$84:$D$99,0))*INDEX(EF!$H$100:$H$115,MATCH(Emissions!$D83,EF!$D$100:$D$115,0))*INDEX(EF!$H$132:$H$147,MATCH(Emissions!$D83,EF!$D$132:$D$147,0))*kgtoGg</f>
        <v>4.462880557297625E-2</v>
      </c>
      <c r="P83" s="22">
        <f>INDEX('Activity data'!P$24:P$39,MATCH(Emissions!$D83,'Activity data'!$D$24:$D$39,0))*INDEX(EF!$H$84:$H$99,MATCH(Emissions!$D83,EF!$D$84:$D$99,0))*INDEX(EF!$H$100:$H$115,MATCH(Emissions!$D83,EF!$D$100:$D$115,0))*INDEX(EF!$H$132:$H$147,MATCH(Emissions!$D83,EF!$D$132:$D$147,0))*kgtoGg</f>
        <v>4.462880557297625E-2</v>
      </c>
      <c r="Q83" s="22">
        <f>INDEX('Activity data'!Q$24:Q$39,MATCH(Emissions!$D83,'Activity data'!$D$24:$D$39,0))*INDEX(EF!$H$84:$H$99,MATCH(Emissions!$D83,EF!$D$84:$D$99,0))*INDEX(EF!$H$100:$H$115,MATCH(Emissions!$D83,EF!$D$100:$D$115,0))*INDEX(EF!$H$132:$H$147,MATCH(Emissions!$D83,EF!$D$132:$D$147,0))*kgtoGg</f>
        <v>4.462880557297625E-2</v>
      </c>
      <c r="R83" s="22">
        <f>INDEX('Activity data'!R$24:R$39,MATCH(Emissions!$D83,'Activity data'!$D$24:$D$39,0))*INDEX(EF!$H$84:$H$99,MATCH(Emissions!$D83,EF!$D$84:$D$99,0))*INDEX(EF!$H$100:$H$115,MATCH(Emissions!$D83,EF!$D$100:$D$115,0))*INDEX(EF!$H$132:$H$147,MATCH(Emissions!$D83,EF!$D$132:$D$147,0))*kgtoGg</f>
        <v>4.8614087979466203E-2</v>
      </c>
      <c r="S83" s="22">
        <f>INDEX('Activity data'!S$24:S$39,MATCH(Emissions!$D83,'Activity data'!$D$24:$D$39,0))*INDEX(EF!$H$84:$H$99,MATCH(Emissions!$D83,EF!$D$84:$D$99,0))*INDEX(EF!$H$100:$H$115,MATCH(Emissions!$D83,EF!$D$100:$D$115,0))*INDEX(EF!$H$132:$H$147,MATCH(Emissions!$D83,EF!$D$132:$D$147,0))*kgtoGg</f>
        <v>5.3839059429649942E-2</v>
      </c>
      <c r="T83" s="22">
        <f>INDEX('Activity data'!T$24:T$39,MATCH(Emissions!$D83,'Activity data'!$D$24:$D$39,0))*INDEX(EF!$H$84:$H$99,MATCH(Emissions!$D83,EF!$D$84:$D$99,0))*INDEX(EF!$H$100:$H$115,MATCH(Emissions!$D83,EF!$D$100:$D$115,0))*INDEX(EF!$H$132:$H$147,MATCH(Emissions!$D83,EF!$D$132:$D$147,0))*kgtoGg</f>
        <v>4.76008805879857E-2</v>
      </c>
      <c r="U83" s="22">
        <f>INDEX('Activity data'!U$24:U$39,MATCH(Emissions!$D83,'Activity data'!$D$24:$D$39,0))*INDEX(EF!$H$84:$H$99,MATCH(Emissions!$D83,EF!$D$84:$D$99,0))*INDEX(EF!$H$100:$H$115,MATCH(Emissions!$D83,EF!$D$100:$D$115,0))*INDEX(EF!$H$132:$H$147,MATCH(Emissions!$D83,EF!$D$132:$D$147,0))*kgtoGg</f>
        <v>4.1064699572356617E-2</v>
      </c>
      <c r="V83" s="22">
        <f>INDEX('Activity data'!V$24:V$39,MATCH(Emissions!$D83,'Activity data'!$D$24:$D$39,0))*INDEX(EF!$H$84:$H$99,MATCH(Emissions!$D83,EF!$D$84:$D$99,0))*INDEX(EF!$H$100:$H$115,MATCH(Emissions!$D83,EF!$D$100:$D$115,0))*INDEX(EF!$H$132:$H$147,MATCH(Emissions!$D83,EF!$D$132:$D$147,0))*kgtoGg</f>
        <v>3.2025300295422769E-2</v>
      </c>
      <c r="W83" s="22">
        <f>INDEX('Activity data'!W$24:W$39,MATCH(Emissions!$D83,'Activity data'!$D$24:$D$39,0))*INDEX(EF!$H$84:$H$99,MATCH(Emissions!$D83,EF!$D$84:$D$99,0))*INDEX(EF!$H$100:$H$115,MATCH(Emissions!$D83,EF!$D$100:$D$115,0))*INDEX(EF!$H$132:$H$147,MATCH(Emissions!$D83,EF!$D$132:$D$147,0))*kgtoGg</f>
        <v>7.2513862331447368E-2</v>
      </c>
      <c r="X83" s="22">
        <f>INDEX('Activity data'!X$24:X$39,MATCH(Emissions!$D83,'Activity data'!$D$24:$D$39,0))*INDEX(EF!$H$84:$H$99,MATCH(Emissions!$D83,EF!$D$84:$D$99,0))*INDEX(EF!$H$100:$H$115,MATCH(Emissions!$D83,EF!$D$100:$D$115,0))*INDEX(EF!$H$132:$H$147,MATCH(Emissions!$D83,EF!$D$132:$D$147,0))*kgtoGg</f>
        <v>6.3514196677708815E-2</v>
      </c>
      <c r="Y83" s="22">
        <f>INDEX('Activity data'!Y$24:Y$39,MATCH(Emissions!$D83,'Activity data'!$D$24:$D$39,0))*INDEX(EF!$H$84:$H$99,MATCH(Emissions!$D83,EF!$D$84:$D$99,0))*INDEX(EF!$H$100:$H$115,MATCH(Emissions!$D83,EF!$D$100:$D$115,0))*INDEX(EF!$H$132:$H$147,MATCH(Emissions!$D83,EF!$D$132:$D$147,0))*kgtoGg</f>
        <v>7.0249045809314473E-2</v>
      </c>
      <c r="Z83" s="22">
        <f>INDEX('Activity data'!Z$24:Z$39,MATCH(Emissions!$D83,'Activity data'!$D$24:$D$39,0))*INDEX(EF!$H$84:$H$99,MATCH(Emissions!$D83,EF!$D$84:$D$99,0))*INDEX(EF!$H$100:$H$115,MATCH(Emissions!$D83,EF!$D$100:$D$115,0))*INDEX(EF!$H$132:$H$147,MATCH(Emissions!$D83,EF!$D$132:$D$147,0))*kgtoGg</f>
        <v>4.3369249717684813E-2</v>
      </c>
      <c r="AA83" s="22">
        <f>INDEX('Activity data'!AA$24:AA$39,MATCH(Emissions!$D83,'Activity data'!$D$24:$D$39,0))*INDEX(EF!$H$84:$H$99,MATCH(Emissions!$D83,EF!$D$84:$D$99,0))*INDEX(EF!$H$100:$H$115,MATCH(Emissions!$D83,EF!$D$100:$D$115,0))*INDEX(EF!$H$132:$H$147,MATCH(Emissions!$D83,EF!$D$132:$D$147,0))*kgtoGg</f>
        <v>5.2190114067044435E-2</v>
      </c>
      <c r="AB83" s="22">
        <f>INDEX('Activity data'!AB$24:AB$39,MATCH(Emissions!$D83,'Activity data'!$D$24:$D$39,0))*INDEX(EF!$H$84:$H$99,MATCH(Emissions!$D83,EF!$D$84:$D$99,0))*INDEX(EF!$H$100:$H$115,MATCH(Emissions!$D83,EF!$D$100:$D$115,0))*INDEX(EF!$H$132:$H$147,MATCH(Emissions!$D83,EF!$D$132:$D$147,0))*kgtoGg</f>
        <v>3.9028768379999995E-2</v>
      </c>
      <c r="AC83" s="22">
        <f>INDEX('Activity data'!AC$24:AC$39,MATCH(Emissions!$D83,'Activity data'!$D$24:$D$39,0))*INDEX(EF!$H$84:$H$99,MATCH(Emissions!$D83,EF!$D$84:$D$99,0))*INDEX(EF!$H$100:$H$115,MATCH(Emissions!$D83,EF!$D$100:$D$115,0))*INDEX(EF!$H$132:$H$147,MATCH(Emissions!$D83,EF!$D$132:$D$147,0))*kgtoGg</f>
        <v>2.72036394E-2</v>
      </c>
      <c r="AD83" s="22">
        <f>INDEX('Activity data'!AD$24:AD$39,MATCH(Emissions!$D83,'Activity data'!$D$24:$D$39,0))*INDEX(EF!$H$84:$H$99,MATCH(Emissions!$D83,EF!$D$84:$D$99,0))*INDEX(EF!$H$100:$H$115,MATCH(Emissions!$D83,EF!$D$100:$D$115,0))*INDEX(EF!$H$132:$H$147,MATCH(Emissions!$D83,EF!$D$132:$D$147,0))*kgtoGg</f>
        <v>3.9235523819963862E-2</v>
      </c>
      <c r="AE83" s="22">
        <f>INDEX('Activity data'!AE$24:AE$39,MATCH(Emissions!$D83,'Activity data'!$D$24:$D$39,0))*INDEX(EF!$H$84:$H$99,MATCH(Emissions!$D83,EF!$D$84:$D$99,0))*INDEX(EF!$H$100:$H$115,MATCH(Emissions!$D83,EF!$D$100:$D$115,0))*INDEX(EF!$H$132:$H$147,MATCH(Emissions!$D83,EF!$D$132:$D$147,0))*kgtoGg</f>
        <v>3.9318445103539788E-2</v>
      </c>
      <c r="AF83" s="22">
        <f>INDEX('Activity data'!AF$24:AF$39,MATCH(Emissions!$D83,'Activity data'!$D$24:$D$39,0))*INDEX(EF!$H$84:$H$99,MATCH(Emissions!$D83,EF!$D$84:$D$99,0))*INDEX(EF!$H$100:$H$115,MATCH(Emissions!$D83,EF!$D$100:$D$115,0))*INDEX(EF!$H$132:$H$147,MATCH(Emissions!$D83,EF!$D$132:$D$147,0))*kgtoGg</f>
        <v>3.9401366387115715E-2</v>
      </c>
      <c r="AG83" s="22">
        <f>INDEX('Activity data'!AG$24:AG$39,MATCH(Emissions!$D83,'Activity data'!$D$24:$D$39,0))*INDEX(EF!$H$84:$H$99,MATCH(Emissions!$D83,EF!$D$84:$D$99,0))*INDEX(EF!$H$100:$H$115,MATCH(Emissions!$D83,EF!$D$100:$D$115,0))*INDEX(EF!$H$132:$H$147,MATCH(Emissions!$D83,EF!$D$132:$D$147,0))*kgtoGg</f>
        <v>3.9484287670691648E-2</v>
      </c>
      <c r="AH83" s="22">
        <f>INDEX('Activity data'!AH$24:AH$39,MATCH(Emissions!$D83,'Activity data'!$D$24:$D$39,0))*INDEX(EF!$H$84:$H$99,MATCH(Emissions!$D83,EF!$D$84:$D$99,0))*INDEX(EF!$H$100:$H$115,MATCH(Emissions!$D83,EF!$D$100:$D$115,0))*INDEX(EF!$H$132:$H$147,MATCH(Emissions!$D83,EF!$D$132:$D$147,0))*kgtoGg</f>
        <v>3.9567208954267574E-2</v>
      </c>
      <c r="AI83" s="22">
        <f>INDEX('Activity data'!AI$24:AI$39,MATCH(Emissions!$D83,'Activity data'!$D$24:$D$39,0))*INDEX(EF!$H$84:$H$99,MATCH(Emissions!$D83,EF!$D$84:$D$99,0))*INDEX(EF!$H$100:$H$115,MATCH(Emissions!$D83,EF!$D$100:$D$115,0))*INDEX(EF!$H$132:$H$147,MATCH(Emissions!$D83,EF!$D$132:$D$147,0))*kgtoGg</f>
        <v>3.9650130237843507E-2</v>
      </c>
      <c r="AJ83" s="22">
        <f>INDEX('Activity data'!AJ$24:AJ$39,MATCH(Emissions!$D83,'Activity data'!$D$24:$D$39,0))*INDEX(EF!$H$84:$H$99,MATCH(Emissions!$D83,EF!$D$84:$D$99,0))*INDEX(EF!$H$100:$H$115,MATCH(Emissions!$D83,EF!$D$100:$D$115,0))*INDEX(EF!$H$132:$H$147,MATCH(Emissions!$D83,EF!$D$132:$D$147,0))*kgtoGg</f>
        <v>3.9733051521419427E-2</v>
      </c>
      <c r="AK83" s="22">
        <f>INDEX('Activity data'!AK$24:AK$39,MATCH(Emissions!$D83,'Activity data'!$D$24:$D$39,0))*INDEX(EF!$H$84:$H$99,MATCH(Emissions!$D83,EF!$D$84:$D$99,0))*INDEX(EF!$H$100:$H$115,MATCH(Emissions!$D83,EF!$D$100:$D$115,0))*INDEX(EF!$H$132:$H$147,MATCH(Emissions!$D83,EF!$D$132:$D$147,0))*kgtoGg</f>
        <v>3.981597280499536E-2</v>
      </c>
      <c r="AL83" s="22">
        <f>INDEX('Activity data'!AL$24:AL$39,MATCH(Emissions!$D83,'Activity data'!$D$24:$D$39,0))*INDEX(EF!$H$84:$H$99,MATCH(Emissions!$D83,EF!$D$84:$D$99,0))*INDEX(EF!$H$100:$H$115,MATCH(Emissions!$D83,EF!$D$100:$D$115,0))*INDEX(EF!$H$132:$H$147,MATCH(Emissions!$D83,EF!$D$132:$D$147,0))*kgtoGg</f>
        <v>3.9898894088571286E-2</v>
      </c>
      <c r="AM83" s="22">
        <f>INDEX('Activity data'!AM$24:AM$39,MATCH(Emissions!$D83,'Activity data'!$D$24:$D$39,0))*INDEX(EF!$H$84:$H$99,MATCH(Emissions!$D83,EF!$D$84:$D$99,0))*INDEX(EF!$H$100:$H$115,MATCH(Emissions!$D83,EF!$D$100:$D$115,0))*INDEX(EF!$H$132:$H$147,MATCH(Emissions!$D83,EF!$D$132:$D$147,0))*kgtoGg</f>
        <v>3.9981815372147227E-2</v>
      </c>
      <c r="AN83" s="22">
        <f>INDEX('Activity data'!AN$24:AN$39,MATCH(Emissions!$D83,'Activity data'!$D$24:$D$39,0))*INDEX(EF!$H$84:$H$99,MATCH(Emissions!$D83,EF!$D$84:$D$99,0))*INDEX(EF!$H$100:$H$115,MATCH(Emissions!$D83,EF!$D$100:$D$115,0))*INDEX(EF!$H$132:$H$147,MATCH(Emissions!$D83,EF!$D$132:$D$147,0))*kgtoGg</f>
        <v>4.0064736655723153E-2</v>
      </c>
      <c r="AO83" s="22">
        <f>INDEX('Activity data'!AO$24:AO$39,MATCH(Emissions!$D83,'Activity data'!$D$24:$D$39,0))*INDEX(EF!$H$84:$H$99,MATCH(Emissions!$D83,EF!$D$84:$D$99,0))*INDEX(EF!$H$100:$H$115,MATCH(Emissions!$D83,EF!$D$100:$D$115,0))*INDEX(EF!$H$132:$H$147,MATCH(Emissions!$D83,EF!$D$132:$D$147,0))*kgtoGg</f>
        <v>4.0147657939299079E-2</v>
      </c>
      <c r="AP83" s="22">
        <f>INDEX('Activity data'!AP$24:AP$39,MATCH(Emissions!$D83,'Activity data'!$D$24:$D$39,0))*INDEX(EF!$H$84:$H$99,MATCH(Emissions!$D83,EF!$D$84:$D$99,0))*INDEX(EF!$H$100:$H$115,MATCH(Emissions!$D83,EF!$D$100:$D$115,0))*INDEX(EF!$H$132:$H$147,MATCH(Emissions!$D83,EF!$D$132:$D$147,0))*kgtoGg</f>
        <v>4.0230579222875013E-2</v>
      </c>
      <c r="AQ83" s="22">
        <f>INDEX('Activity data'!AQ$24:AQ$39,MATCH(Emissions!$D83,'Activity data'!$D$24:$D$39,0))*INDEX(EF!$H$84:$H$99,MATCH(Emissions!$D83,EF!$D$84:$D$99,0))*INDEX(EF!$H$100:$H$115,MATCH(Emissions!$D83,EF!$D$100:$D$115,0))*INDEX(EF!$H$132:$H$147,MATCH(Emissions!$D83,EF!$D$132:$D$147,0))*kgtoGg</f>
        <v>4.0313500506450946E-2</v>
      </c>
      <c r="AR83" s="22">
        <f>INDEX('Activity data'!AR$24:AR$39,MATCH(Emissions!$D83,'Activity data'!$D$24:$D$39,0))*INDEX(EF!$H$84:$H$99,MATCH(Emissions!$D83,EF!$D$84:$D$99,0))*INDEX(EF!$H$100:$H$115,MATCH(Emissions!$D83,EF!$D$100:$D$115,0))*INDEX(EF!$H$132:$H$147,MATCH(Emissions!$D83,EF!$D$132:$D$147,0))*kgtoGg</f>
        <v>4.0396421790026865E-2</v>
      </c>
      <c r="AS83" s="22">
        <f>INDEX('Activity data'!AS$24:AS$39,MATCH(Emissions!$D83,'Activity data'!$D$24:$D$39,0))*INDEX(EF!$H$84:$H$99,MATCH(Emissions!$D83,EF!$D$84:$D$99,0))*INDEX(EF!$H$100:$H$115,MATCH(Emissions!$D83,EF!$D$100:$D$115,0))*INDEX(EF!$H$132:$H$147,MATCH(Emissions!$D83,EF!$D$132:$D$147,0))*kgtoGg</f>
        <v>4.0479343073602798E-2</v>
      </c>
      <c r="AT83" s="22">
        <f>INDEX('Activity data'!AT$24:AT$39,MATCH(Emissions!$D83,'Activity data'!$D$24:$D$39,0))*INDEX(EF!$H$84:$H$99,MATCH(Emissions!$D83,EF!$D$84:$D$99,0))*INDEX(EF!$H$100:$H$115,MATCH(Emissions!$D83,EF!$D$100:$D$115,0))*INDEX(EF!$H$132:$H$147,MATCH(Emissions!$D83,EF!$D$132:$D$147,0))*kgtoGg</f>
        <v>4.0562264357178725E-2</v>
      </c>
      <c r="AU83" s="22">
        <f>INDEX('Activity data'!AU$24:AU$39,MATCH(Emissions!$D83,'Activity data'!$D$24:$D$39,0))*INDEX(EF!$H$84:$H$99,MATCH(Emissions!$D83,EF!$D$84:$D$99,0))*INDEX(EF!$H$100:$H$115,MATCH(Emissions!$D83,EF!$D$100:$D$115,0))*INDEX(EF!$H$132:$H$147,MATCH(Emissions!$D83,EF!$D$132:$D$147,0))*kgtoGg</f>
        <v>4.0645185640754658E-2</v>
      </c>
      <c r="AV83" s="22">
        <f>INDEX('Activity data'!AV$24:AV$39,MATCH(Emissions!$D83,'Activity data'!$D$24:$D$39,0))*INDEX(EF!$H$84:$H$99,MATCH(Emissions!$D83,EF!$D$84:$D$99,0))*INDEX(EF!$H$100:$H$115,MATCH(Emissions!$D83,EF!$D$100:$D$115,0))*INDEX(EF!$H$132:$H$147,MATCH(Emissions!$D83,EF!$D$132:$D$147,0))*kgtoGg</f>
        <v>4.0728106924330584E-2</v>
      </c>
      <c r="AW83" s="22">
        <f>INDEX('Activity data'!AW$24:AW$39,MATCH(Emissions!$D83,'Activity data'!$D$24:$D$39,0))*INDEX(EF!$H$84:$H$99,MATCH(Emissions!$D83,EF!$D$84:$D$99,0))*INDEX(EF!$H$100:$H$115,MATCH(Emissions!$D83,EF!$D$100:$D$115,0))*INDEX(EF!$H$132:$H$147,MATCH(Emissions!$D83,EF!$D$132:$D$147,0))*kgtoGg</f>
        <v>4.0811028207906511E-2</v>
      </c>
      <c r="AX83" s="22">
        <f>INDEX('Activity data'!AX$24:AX$39,MATCH(Emissions!$D83,'Activity data'!$D$24:$D$39,0))*INDEX(EF!$H$84:$H$99,MATCH(Emissions!$D83,EF!$D$84:$D$99,0))*INDEX(EF!$H$100:$H$115,MATCH(Emissions!$D83,EF!$D$100:$D$115,0))*INDEX(EF!$H$132:$H$147,MATCH(Emissions!$D83,EF!$D$132:$D$147,0))*kgtoGg</f>
        <v>4.0893949491482444E-2</v>
      </c>
      <c r="AY83" s="22">
        <f>INDEX('Activity data'!AY$24:AY$39,MATCH(Emissions!$D83,'Activity data'!$D$24:$D$39,0))*INDEX(EF!$H$84:$H$99,MATCH(Emissions!$D83,EF!$D$84:$D$99,0))*INDEX(EF!$H$100:$H$115,MATCH(Emissions!$D83,EF!$D$100:$D$115,0))*INDEX(EF!$H$132:$H$147,MATCH(Emissions!$D83,EF!$D$132:$D$147,0))*kgtoGg</f>
        <v>4.097687077505837E-2</v>
      </c>
      <c r="AZ83" s="22">
        <f>INDEX('Activity data'!AZ$24:AZ$39,MATCH(Emissions!$D83,'Activity data'!$D$24:$D$39,0))*INDEX(EF!$H$84:$H$99,MATCH(Emissions!$D83,EF!$D$84:$D$99,0))*INDEX(EF!$H$100:$H$115,MATCH(Emissions!$D83,EF!$D$100:$D$115,0))*INDEX(EF!$H$132:$H$147,MATCH(Emissions!$D83,EF!$D$132:$D$147,0))*kgtoGg</f>
        <v>4.1059792058634303E-2</v>
      </c>
      <c r="BA83" s="22">
        <f>INDEX('Activity data'!BA$24:BA$39,MATCH(Emissions!$D83,'Activity data'!$D$24:$D$39,0))*INDEX(EF!$H$84:$H$99,MATCH(Emissions!$D83,EF!$D$84:$D$99,0))*INDEX(EF!$H$100:$H$115,MATCH(Emissions!$D83,EF!$D$100:$D$115,0))*INDEX(EF!$H$132:$H$147,MATCH(Emissions!$D83,EF!$D$132:$D$147,0))*kgtoGg</f>
        <v>4.114271334221023E-2</v>
      </c>
      <c r="BB83" s="22">
        <f>INDEX('Activity data'!BB$24:BB$39,MATCH(Emissions!$D83,'Activity data'!$D$24:$D$39,0))*INDEX(EF!$H$84:$H$99,MATCH(Emissions!$D83,EF!$D$84:$D$99,0))*INDEX(EF!$H$100:$H$115,MATCH(Emissions!$D83,EF!$D$100:$D$115,0))*INDEX(EF!$H$132:$H$147,MATCH(Emissions!$D83,EF!$D$132:$D$147,0))*kgtoGg</f>
        <v>4.1225634625786156E-2</v>
      </c>
      <c r="BC83" s="22">
        <f>INDEX('Activity data'!BC$24:BC$39,MATCH(Emissions!$D83,'Activity data'!$D$24:$D$39,0))*INDEX(EF!$H$84:$H$99,MATCH(Emissions!$D83,EF!$D$84:$D$99,0))*INDEX(EF!$H$100:$H$115,MATCH(Emissions!$D83,EF!$D$100:$D$115,0))*INDEX(EF!$H$132:$H$147,MATCH(Emissions!$D83,EF!$D$132:$D$147,0))*kgtoGg</f>
        <v>4.1308555909362089E-2</v>
      </c>
      <c r="BD83" s="22">
        <f>INDEX('Activity data'!BD$24:BD$39,MATCH(Emissions!$D83,'Activity data'!$D$24:$D$39,0))*INDEX(EF!$H$84:$H$99,MATCH(Emissions!$D83,EF!$D$84:$D$99,0))*INDEX(EF!$H$100:$H$115,MATCH(Emissions!$D83,EF!$D$100:$D$115,0))*INDEX(EF!$H$132:$H$147,MATCH(Emissions!$D83,EF!$D$132:$D$147,0))*kgtoGg</f>
        <v>4.1391477192938023E-2</v>
      </c>
      <c r="BE83" s="22">
        <f>INDEX('Activity data'!BE$24:BE$39,MATCH(Emissions!$D83,'Activity data'!$D$24:$D$39,0))*INDEX(EF!$H$84:$H$99,MATCH(Emissions!$D83,EF!$D$84:$D$99,0))*INDEX(EF!$H$100:$H$115,MATCH(Emissions!$D83,EF!$D$100:$D$115,0))*INDEX(EF!$H$132:$H$147,MATCH(Emissions!$D83,EF!$D$132:$D$147,0))*kgtoGg</f>
        <v>4.1474398476513949E-2</v>
      </c>
      <c r="BF83" s="22">
        <f>INDEX('Activity data'!BF$24:BF$39,MATCH(Emissions!$D83,'Activity data'!$D$24:$D$39,0))*INDEX(EF!$H$84:$H$99,MATCH(Emissions!$D83,EF!$D$84:$D$99,0))*INDEX(EF!$H$100:$H$115,MATCH(Emissions!$D83,EF!$D$100:$D$115,0))*INDEX(EF!$H$132:$H$147,MATCH(Emissions!$D83,EF!$D$132:$D$147,0))*kgtoGg</f>
        <v>4.1557319760089875E-2</v>
      </c>
      <c r="BG83" s="22">
        <f>INDEX('Activity data'!BG$24:BG$39,MATCH(Emissions!$D83,'Activity data'!$D$24:$D$39,0))*INDEX(EF!$H$84:$H$99,MATCH(Emissions!$D83,EF!$D$84:$D$99,0))*INDEX(EF!$H$100:$H$115,MATCH(Emissions!$D83,EF!$D$100:$D$115,0))*INDEX(EF!$H$132:$H$147,MATCH(Emissions!$D83,EF!$D$132:$D$147,0))*kgtoGg</f>
        <v>4.1640241043665809E-2</v>
      </c>
      <c r="BH83" s="22">
        <f>INDEX('Activity data'!BH$24:BH$39,MATCH(Emissions!$D83,'Activity data'!$D$24:$D$39,0))*INDEX(EF!$H$84:$H$99,MATCH(Emissions!$D83,EF!$D$84:$D$99,0))*INDEX(EF!$H$100:$H$115,MATCH(Emissions!$D83,EF!$D$100:$D$115,0))*INDEX(EF!$H$132:$H$147,MATCH(Emissions!$D83,EF!$D$132:$D$147,0))*kgtoGg</f>
        <v>4.1723162327241742E-2</v>
      </c>
      <c r="BI83" s="22">
        <f>INDEX('Activity data'!BI$24:BI$39,MATCH(Emissions!$D83,'Activity data'!$D$24:$D$39,0))*INDEX(EF!$H$84:$H$99,MATCH(Emissions!$D83,EF!$D$84:$D$99,0))*INDEX(EF!$H$100:$H$115,MATCH(Emissions!$D83,EF!$D$100:$D$115,0))*INDEX(EF!$H$132:$H$147,MATCH(Emissions!$D83,EF!$D$132:$D$147,0))*kgtoGg</f>
        <v>4.1806083610817661E-2</v>
      </c>
      <c r="BJ83" s="22">
        <f>INDEX('Activity data'!BJ$24:BJ$39,MATCH(Emissions!$D83,'Activity data'!$D$24:$D$39,0))*INDEX(EF!$H$84:$H$99,MATCH(Emissions!$D83,EF!$D$84:$D$99,0))*INDEX(EF!$H$100:$H$115,MATCH(Emissions!$D83,EF!$D$100:$D$115,0))*INDEX(EF!$H$132:$H$147,MATCH(Emissions!$D83,EF!$D$132:$D$147,0))*kgtoGg</f>
        <v>4.1889004894393594E-2</v>
      </c>
      <c r="BK83" s="22">
        <f>INDEX('Activity data'!BK$24:BK$39,MATCH(Emissions!$D83,'Activity data'!$D$24:$D$39,0))*INDEX(EF!$H$84:$H$99,MATCH(Emissions!$D83,EF!$D$84:$D$99,0))*INDEX(EF!$H$100:$H$115,MATCH(Emissions!$D83,EF!$D$100:$D$115,0))*INDEX(EF!$H$132:$H$147,MATCH(Emissions!$D83,EF!$D$132:$D$147,0))*kgtoGg</f>
        <v>4.1971926177969528E-2</v>
      </c>
      <c r="BL83" s="22">
        <f>INDEX('Activity data'!BL$24:BL$39,MATCH(Emissions!$D83,'Activity data'!$D$24:$D$39,0))*INDEX(EF!$H$84:$H$99,MATCH(Emissions!$D83,EF!$D$84:$D$99,0))*INDEX(EF!$H$100:$H$115,MATCH(Emissions!$D83,EF!$D$100:$D$115,0))*INDEX(EF!$H$132:$H$147,MATCH(Emissions!$D83,EF!$D$132:$D$147,0))*kgtoGg</f>
        <v>4.2054847461545454E-2</v>
      </c>
      <c r="BM83" s="22">
        <f>INDEX('Activity data'!BM$24:BM$39,MATCH(Emissions!$D83,'Activity data'!$D$24:$D$39,0))*INDEX(EF!$H$84:$H$99,MATCH(Emissions!$D83,EF!$D$84:$D$99,0))*INDEX(EF!$H$100:$H$115,MATCH(Emissions!$D83,EF!$D$100:$D$115,0))*INDEX(EF!$H$132:$H$147,MATCH(Emissions!$D83,EF!$D$132:$D$147,0))*kgtoGg</f>
        <v>4.2137768745121387E-2</v>
      </c>
      <c r="BN83" s="22">
        <f>INDEX('Activity data'!BN$24:BN$39,MATCH(Emissions!$D83,'Activity data'!$D$24:$D$39,0))*INDEX(EF!$H$84:$H$99,MATCH(Emissions!$D83,EF!$D$84:$D$99,0))*INDEX(EF!$H$100:$H$115,MATCH(Emissions!$D83,EF!$D$100:$D$115,0))*INDEX(EF!$H$132:$H$147,MATCH(Emissions!$D83,EF!$D$132:$D$147,0))*kgtoGg</f>
        <v>4.2220690028697307E-2</v>
      </c>
      <c r="BO83" s="22">
        <f>INDEX('Activity data'!BO$24:BO$39,MATCH(Emissions!$D83,'Activity data'!$D$24:$D$39,0))*INDEX(EF!$H$84:$H$99,MATCH(Emissions!$D83,EF!$D$84:$D$99,0))*INDEX(EF!$H$100:$H$115,MATCH(Emissions!$D83,EF!$D$100:$D$115,0))*INDEX(EF!$H$132:$H$147,MATCH(Emissions!$D83,EF!$D$132:$D$147,0))*kgtoGg</f>
        <v>4.230361131227324E-2</v>
      </c>
      <c r="BP83" s="22">
        <f>INDEX('Activity data'!BP$24:BP$39,MATCH(Emissions!$D83,'Activity data'!$D$24:$D$39,0))*INDEX(EF!$H$84:$H$99,MATCH(Emissions!$D83,EF!$D$84:$D$99,0))*INDEX(EF!$H$100:$H$115,MATCH(Emissions!$D83,EF!$D$100:$D$115,0))*INDEX(EF!$H$132:$H$147,MATCH(Emissions!$D83,EF!$D$132:$D$147,0))*kgtoGg</f>
        <v>4.2386532595849173E-2</v>
      </c>
    </row>
    <row r="84" spans="1:68" x14ac:dyDescent="0.25">
      <c r="A84" t="str">
        <f t="shared" si="19"/>
        <v>3C Aggregated and non-CO2 emissions on land</v>
      </c>
      <c r="B84" t="str">
        <f t="shared" si="26"/>
        <v>3C1 Biomass burning (N2O)</v>
      </c>
      <c r="C84" t="str">
        <f t="shared" si="25"/>
        <v>3C1e Biomass burning in Settlements</v>
      </c>
      <c r="D84" t="str">
        <f>EF!D114</f>
        <v>Mines</v>
      </c>
      <c r="E84" t="s">
        <v>654</v>
      </c>
      <c r="F84" t="str">
        <f t="shared" si="27"/>
        <v>N2O</v>
      </c>
      <c r="G84" t="str">
        <f t="shared" si="28"/>
        <v>Gg N2O</v>
      </c>
      <c r="H84" s="22">
        <f>INDEX('Activity data'!H$24:H$39,MATCH(Emissions!$D84,'Activity data'!$D$24:$D$39,0))*INDEX(EF!$H$84:$H$99,MATCH(Emissions!$D84,EF!$D$84:$D$99,0))*INDEX(EF!$H$100:$H$115,MATCH(Emissions!$D84,EF!$D$100:$D$115,0))*INDEX(EF!$H$132:$H$147,MATCH(Emissions!$D84,EF!$D$132:$D$147,0))*kgtoGg</f>
        <v>0</v>
      </c>
      <c r="I84" s="22">
        <f>INDEX('Activity data'!I$24:I$39,MATCH(Emissions!$D84,'Activity data'!$D$24:$D$39,0))*INDEX(EF!$H$84:$H$99,MATCH(Emissions!$D84,EF!$D$84:$D$99,0))*INDEX(EF!$H$100:$H$115,MATCH(Emissions!$D84,EF!$D$100:$D$115,0))*INDEX(EF!$H$132:$H$147,MATCH(Emissions!$D84,EF!$D$132:$D$147,0))*kgtoGg</f>
        <v>0</v>
      </c>
      <c r="J84" s="22">
        <f>INDEX('Activity data'!J$24:J$39,MATCH(Emissions!$D84,'Activity data'!$D$24:$D$39,0))*INDEX(EF!$H$84:$H$99,MATCH(Emissions!$D84,EF!$D$84:$D$99,0))*INDEX(EF!$H$100:$H$115,MATCH(Emissions!$D84,EF!$D$100:$D$115,0))*INDEX(EF!$H$132:$H$147,MATCH(Emissions!$D84,EF!$D$132:$D$147,0))*kgtoGg</f>
        <v>0</v>
      </c>
      <c r="K84" s="22">
        <f>INDEX('Activity data'!K$24:K$39,MATCH(Emissions!$D84,'Activity data'!$D$24:$D$39,0))*INDEX(EF!$H$84:$H$99,MATCH(Emissions!$D84,EF!$D$84:$D$99,0))*INDEX(EF!$H$100:$H$115,MATCH(Emissions!$D84,EF!$D$100:$D$115,0))*INDEX(EF!$H$132:$H$147,MATCH(Emissions!$D84,EF!$D$132:$D$147,0))*kgtoGg</f>
        <v>0</v>
      </c>
      <c r="L84" s="22">
        <f>INDEX('Activity data'!L$24:L$39,MATCH(Emissions!$D84,'Activity data'!$D$24:$D$39,0))*INDEX(EF!$H$84:$H$99,MATCH(Emissions!$D84,EF!$D$84:$D$99,0))*INDEX(EF!$H$100:$H$115,MATCH(Emissions!$D84,EF!$D$100:$D$115,0))*INDEX(EF!$H$132:$H$147,MATCH(Emissions!$D84,EF!$D$132:$D$147,0))*kgtoGg</f>
        <v>0</v>
      </c>
      <c r="M84" s="22">
        <f>INDEX('Activity data'!M$24:M$39,MATCH(Emissions!$D84,'Activity data'!$D$24:$D$39,0))*INDEX(EF!$H$84:$H$99,MATCH(Emissions!$D84,EF!$D$84:$D$99,0))*INDEX(EF!$H$100:$H$115,MATCH(Emissions!$D84,EF!$D$100:$D$115,0))*INDEX(EF!$H$132:$H$147,MATCH(Emissions!$D84,EF!$D$132:$D$147,0))*kgtoGg</f>
        <v>0</v>
      </c>
      <c r="N84" s="22">
        <f>INDEX('Activity data'!N$24:N$39,MATCH(Emissions!$D84,'Activity data'!$D$24:$D$39,0))*INDEX(EF!$H$84:$H$99,MATCH(Emissions!$D84,EF!$D$84:$D$99,0))*INDEX(EF!$H$100:$H$115,MATCH(Emissions!$D84,EF!$D$100:$D$115,0))*INDEX(EF!$H$132:$H$147,MATCH(Emissions!$D84,EF!$D$132:$D$147,0))*kgtoGg</f>
        <v>0</v>
      </c>
      <c r="O84" s="22">
        <f>INDEX('Activity data'!O$24:O$39,MATCH(Emissions!$D84,'Activity data'!$D$24:$D$39,0))*INDEX(EF!$H$84:$H$99,MATCH(Emissions!$D84,EF!$D$84:$D$99,0))*INDEX(EF!$H$100:$H$115,MATCH(Emissions!$D84,EF!$D$100:$D$115,0))*INDEX(EF!$H$132:$H$147,MATCH(Emissions!$D84,EF!$D$132:$D$147,0))*kgtoGg</f>
        <v>0</v>
      </c>
      <c r="P84" s="22">
        <f>INDEX('Activity data'!P$24:P$39,MATCH(Emissions!$D84,'Activity data'!$D$24:$D$39,0))*INDEX(EF!$H$84:$H$99,MATCH(Emissions!$D84,EF!$D$84:$D$99,0))*INDEX(EF!$H$100:$H$115,MATCH(Emissions!$D84,EF!$D$100:$D$115,0))*INDEX(EF!$H$132:$H$147,MATCH(Emissions!$D84,EF!$D$132:$D$147,0))*kgtoGg</f>
        <v>0</v>
      </c>
      <c r="Q84" s="22">
        <f>INDEX('Activity data'!Q$24:Q$39,MATCH(Emissions!$D84,'Activity data'!$D$24:$D$39,0))*INDEX(EF!$H$84:$H$99,MATCH(Emissions!$D84,EF!$D$84:$D$99,0))*INDEX(EF!$H$100:$H$115,MATCH(Emissions!$D84,EF!$D$100:$D$115,0))*INDEX(EF!$H$132:$H$147,MATCH(Emissions!$D84,EF!$D$132:$D$147,0))*kgtoGg</f>
        <v>0</v>
      </c>
      <c r="R84" s="22">
        <f>INDEX('Activity data'!R$24:R$39,MATCH(Emissions!$D84,'Activity data'!$D$24:$D$39,0))*INDEX(EF!$H$84:$H$99,MATCH(Emissions!$D84,EF!$D$84:$D$99,0))*INDEX(EF!$H$100:$H$115,MATCH(Emissions!$D84,EF!$D$100:$D$115,0))*INDEX(EF!$H$132:$H$147,MATCH(Emissions!$D84,EF!$D$132:$D$147,0))*kgtoGg</f>
        <v>0</v>
      </c>
      <c r="S84" s="22">
        <f>INDEX('Activity data'!S$24:S$39,MATCH(Emissions!$D84,'Activity data'!$D$24:$D$39,0))*INDEX(EF!$H$84:$H$99,MATCH(Emissions!$D84,EF!$D$84:$D$99,0))*INDEX(EF!$H$100:$H$115,MATCH(Emissions!$D84,EF!$D$100:$D$115,0))*INDEX(EF!$H$132:$H$147,MATCH(Emissions!$D84,EF!$D$132:$D$147,0))*kgtoGg</f>
        <v>0</v>
      </c>
      <c r="T84" s="22">
        <f>INDEX('Activity data'!T$24:T$39,MATCH(Emissions!$D84,'Activity data'!$D$24:$D$39,0))*INDEX(EF!$H$84:$H$99,MATCH(Emissions!$D84,EF!$D$84:$D$99,0))*INDEX(EF!$H$100:$H$115,MATCH(Emissions!$D84,EF!$D$100:$D$115,0))*INDEX(EF!$H$132:$H$147,MATCH(Emissions!$D84,EF!$D$132:$D$147,0))*kgtoGg</f>
        <v>0</v>
      </c>
      <c r="U84" s="22">
        <f>INDEX('Activity data'!U$24:U$39,MATCH(Emissions!$D84,'Activity data'!$D$24:$D$39,0))*INDEX(EF!$H$84:$H$99,MATCH(Emissions!$D84,EF!$D$84:$D$99,0))*INDEX(EF!$H$100:$H$115,MATCH(Emissions!$D84,EF!$D$100:$D$115,0))*INDEX(EF!$H$132:$H$147,MATCH(Emissions!$D84,EF!$D$132:$D$147,0))*kgtoGg</f>
        <v>0</v>
      </c>
      <c r="V84" s="22">
        <f>INDEX('Activity data'!V$24:V$39,MATCH(Emissions!$D84,'Activity data'!$D$24:$D$39,0))*INDEX(EF!$H$84:$H$99,MATCH(Emissions!$D84,EF!$D$84:$D$99,0))*INDEX(EF!$H$100:$H$115,MATCH(Emissions!$D84,EF!$D$100:$D$115,0))*INDEX(EF!$H$132:$H$147,MATCH(Emissions!$D84,EF!$D$132:$D$147,0))*kgtoGg</f>
        <v>0</v>
      </c>
      <c r="W84" s="22">
        <f>INDEX('Activity data'!W$24:W$39,MATCH(Emissions!$D84,'Activity data'!$D$24:$D$39,0))*INDEX(EF!$H$84:$H$99,MATCH(Emissions!$D84,EF!$D$84:$D$99,0))*INDEX(EF!$H$100:$H$115,MATCH(Emissions!$D84,EF!$D$100:$D$115,0))*INDEX(EF!$H$132:$H$147,MATCH(Emissions!$D84,EF!$D$132:$D$147,0))*kgtoGg</f>
        <v>0</v>
      </c>
      <c r="X84" s="22">
        <f>INDEX('Activity data'!X$24:X$39,MATCH(Emissions!$D84,'Activity data'!$D$24:$D$39,0))*INDEX(EF!$H$84:$H$99,MATCH(Emissions!$D84,EF!$D$84:$D$99,0))*INDEX(EF!$H$100:$H$115,MATCH(Emissions!$D84,EF!$D$100:$D$115,0))*INDEX(EF!$H$132:$H$147,MATCH(Emissions!$D84,EF!$D$132:$D$147,0))*kgtoGg</f>
        <v>0</v>
      </c>
      <c r="Y84" s="22">
        <f>INDEX('Activity data'!Y$24:Y$39,MATCH(Emissions!$D84,'Activity data'!$D$24:$D$39,0))*INDEX(EF!$H$84:$H$99,MATCH(Emissions!$D84,EF!$D$84:$D$99,0))*INDEX(EF!$H$100:$H$115,MATCH(Emissions!$D84,EF!$D$100:$D$115,0))*INDEX(EF!$H$132:$H$147,MATCH(Emissions!$D84,EF!$D$132:$D$147,0))*kgtoGg</f>
        <v>0</v>
      </c>
      <c r="Z84" s="22">
        <f>INDEX('Activity data'!Z$24:Z$39,MATCH(Emissions!$D84,'Activity data'!$D$24:$D$39,0))*INDEX(EF!$H$84:$H$99,MATCH(Emissions!$D84,EF!$D$84:$D$99,0))*INDEX(EF!$H$100:$H$115,MATCH(Emissions!$D84,EF!$D$100:$D$115,0))*INDEX(EF!$H$132:$H$147,MATCH(Emissions!$D84,EF!$D$132:$D$147,0))*kgtoGg</f>
        <v>0</v>
      </c>
      <c r="AA84" s="22">
        <f>INDEX('Activity data'!AA$24:AA$39,MATCH(Emissions!$D84,'Activity data'!$D$24:$D$39,0))*INDEX(EF!$H$84:$H$99,MATCH(Emissions!$D84,EF!$D$84:$D$99,0))*INDEX(EF!$H$100:$H$115,MATCH(Emissions!$D84,EF!$D$100:$D$115,0))*INDEX(EF!$H$132:$H$147,MATCH(Emissions!$D84,EF!$D$132:$D$147,0))*kgtoGg</f>
        <v>0</v>
      </c>
      <c r="AB84" s="22">
        <f>INDEX('Activity data'!AB$24:AB$39,MATCH(Emissions!$D84,'Activity data'!$D$24:$D$39,0))*INDEX(EF!$H$84:$H$99,MATCH(Emissions!$D84,EF!$D$84:$D$99,0))*INDEX(EF!$H$100:$H$115,MATCH(Emissions!$D84,EF!$D$100:$D$115,0))*INDEX(EF!$H$132:$H$147,MATCH(Emissions!$D84,EF!$D$132:$D$147,0))*kgtoGg</f>
        <v>0</v>
      </c>
      <c r="AC84" s="22">
        <f>INDEX('Activity data'!AC$24:AC$39,MATCH(Emissions!$D84,'Activity data'!$D$24:$D$39,0))*INDEX(EF!$H$84:$H$99,MATCH(Emissions!$D84,EF!$D$84:$D$99,0))*INDEX(EF!$H$100:$H$115,MATCH(Emissions!$D84,EF!$D$100:$D$115,0))*INDEX(EF!$H$132:$H$147,MATCH(Emissions!$D84,EF!$D$132:$D$147,0))*kgtoGg</f>
        <v>0</v>
      </c>
      <c r="AD84" s="22">
        <f>INDEX('Activity data'!AD$24:AD$39,MATCH(Emissions!$D84,'Activity data'!$D$24:$D$39,0))*INDEX(EF!$H$84:$H$99,MATCH(Emissions!$D84,EF!$D$84:$D$99,0))*INDEX(EF!$H$100:$H$115,MATCH(Emissions!$D84,EF!$D$100:$D$115,0))*INDEX(EF!$H$132:$H$147,MATCH(Emissions!$D84,EF!$D$132:$D$147,0))*kgtoGg</f>
        <v>0</v>
      </c>
      <c r="AE84" s="22">
        <f>INDEX('Activity data'!AE$24:AE$39,MATCH(Emissions!$D84,'Activity data'!$D$24:$D$39,0))*INDEX(EF!$H$84:$H$99,MATCH(Emissions!$D84,EF!$D$84:$D$99,0))*INDEX(EF!$H$100:$H$115,MATCH(Emissions!$D84,EF!$D$100:$D$115,0))*INDEX(EF!$H$132:$H$147,MATCH(Emissions!$D84,EF!$D$132:$D$147,0))*kgtoGg</f>
        <v>0</v>
      </c>
      <c r="AF84" s="22">
        <f>INDEX('Activity data'!AF$24:AF$39,MATCH(Emissions!$D84,'Activity data'!$D$24:$D$39,0))*INDEX(EF!$H$84:$H$99,MATCH(Emissions!$D84,EF!$D$84:$D$99,0))*INDEX(EF!$H$100:$H$115,MATCH(Emissions!$D84,EF!$D$100:$D$115,0))*INDEX(EF!$H$132:$H$147,MATCH(Emissions!$D84,EF!$D$132:$D$147,0))*kgtoGg</f>
        <v>0</v>
      </c>
      <c r="AG84" s="22">
        <f>INDEX('Activity data'!AG$24:AG$39,MATCH(Emissions!$D84,'Activity data'!$D$24:$D$39,0))*INDEX(EF!$H$84:$H$99,MATCH(Emissions!$D84,EF!$D$84:$D$99,0))*INDEX(EF!$H$100:$H$115,MATCH(Emissions!$D84,EF!$D$100:$D$115,0))*INDEX(EF!$H$132:$H$147,MATCH(Emissions!$D84,EF!$D$132:$D$147,0))*kgtoGg</f>
        <v>0</v>
      </c>
      <c r="AH84" s="22">
        <f>INDEX('Activity data'!AH$24:AH$39,MATCH(Emissions!$D84,'Activity data'!$D$24:$D$39,0))*INDEX(EF!$H$84:$H$99,MATCH(Emissions!$D84,EF!$D$84:$D$99,0))*INDEX(EF!$H$100:$H$115,MATCH(Emissions!$D84,EF!$D$100:$D$115,0))*INDEX(EF!$H$132:$H$147,MATCH(Emissions!$D84,EF!$D$132:$D$147,0))*kgtoGg</f>
        <v>0</v>
      </c>
      <c r="AI84" s="22">
        <f>INDEX('Activity data'!AI$24:AI$39,MATCH(Emissions!$D84,'Activity data'!$D$24:$D$39,0))*INDEX(EF!$H$84:$H$99,MATCH(Emissions!$D84,EF!$D$84:$D$99,0))*INDEX(EF!$H$100:$H$115,MATCH(Emissions!$D84,EF!$D$100:$D$115,0))*INDEX(EF!$H$132:$H$147,MATCH(Emissions!$D84,EF!$D$132:$D$147,0))*kgtoGg</f>
        <v>0</v>
      </c>
      <c r="AJ84" s="22">
        <f>INDEX('Activity data'!AJ$24:AJ$39,MATCH(Emissions!$D84,'Activity data'!$D$24:$D$39,0))*INDEX(EF!$H$84:$H$99,MATCH(Emissions!$D84,EF!$D$84:$D$99,0))*INDEX(EF!$H$100:$H$115,MATCH(Emissions!$D84,EF!$D$100:$D$115,0))*INDEX(EF!$H$132:$H$147,MATCH(Emissions!$D84,EF!$D$132:$D$147,0))*kgtoGg</f>
        <v>0</v>
      </c>
      <c r="AK84" s="22">
        <f>INDEX('Activity data'!AK$24:AK$39,MATCH(Emissions!$D84,'Activity data'!$D$24:$D$39,0))*INDEX(EF!$H$84:$H$99,MATCH(Emissions!$D84,EF!$D$84:$D$99,0))*INDEX(EF!$H$100:$H$115,MATCH(Emissions!$D84,EF!$D$100:$D$115,0))*INDEX(EF!$H$132:$H$147,MATCH(Emissions!$D84,EF!$D$132:$D$147,0))*kgtoGg</f>
        <v>0</v>
      </c>
      <c r="AL84" s="22">
        <f>INDEX('Activity data'!AL$24:AL$39,MATCH(Emissions!$D84,'Activity data'!$D$24:$D$39,0))*INDEX(EF!$H$84:$H$99,MATCH(Emissions!$D84,EF!$D$84:$D$99,0))*INDEX(EF!$H$100:$H$115,MATCH(Emissions!$D84,EF!$D$100:$D$115,0))*INDEX(EF!$H$132:$H$147,MATCH(Emissions!$D84,EF!$D$132:$D$147,0))*kgtoGg</f>
        <v>0</v>
      </c>
      <c r="AM84" s="22">
        <f>INDEX('Activity data'!AM$24:AM$39,MATCH(Emissions!$D84,'Activity data'!$D$24:$D$39,0))*INDEX(EF!$H$84:$H$99,MATCH(Emissions!$D84,EF!$D$84:$D$99,0))*INDEX(EF!$H$100:$H$115,MATCH(Emissions!$D84,EF!$D$100:$D$115,0))*INDEX(EF!$H$132:$H$147,MATCH(Emissions!$D84,EF!$D$132:$D$147,0))*kgtoGg</f>
        <v>0</v>
      </c>
      <c r="AN84" s="22">
        <f>INDEX('Activity data'!AN$24:AN$39,MATCH(Emissions!$D84,'Activity data'!$D$24:$D$39,0))*INDEX(EF!$H$84:$H$99,MATCH(Emissions!$D84,EF!$D$84:$D$99,0))*INDEX(EF!$H$100:$H$115,MATCH(Emissions!$D84,EF!$D$100:$D$115,0))*INDEX(EF!$H$132:$H$147,MATCH(Emissions!$D84,EF!$D$132:$D$147,0))*kgtoGg</f>
        <v>0</v>
      </c>
      <c r="AO84" s="22">
        <f>INDEX('Activity data'!AO$24:AO$39,MATCH(Emissions!$D84,'Activity data'!$D$24:$D$39,0))*INDEX(EF!$H$84:$H$99,MATCH(Emissions!$D84,EF!$D$84:$D$99,0))*INDEX(EF!$H$100:$H$115,MATCH(Emissions!$D84,EF!$D$100:$D$115,0))*INDEX(EF!$H$132:$H$147,MATCH(Emissions!$D84,EF!$D$132:$D$147,0))*kgtoGg</f>
        <v>0</v>
      </c>
      <c r="AP84" s="22">
        <f>INDEX('Activity data'!AP$24:AP$39,MATCH(Emissions!$D84,'Activity data'!$D$24:$D$39,0))*INDEX(EF!$H$84:$H$99,MATCH(Emissions!$D84,EF!$D$84:$D$99,0))*INDEX(EF!$H$100:$H$115,MATCH(Emissions!$D84,EF!$D$100:$D$115,0))*INDEX(EF!$H$132:$H$147,MATCH(Emissions!$D84,EF!$D$132:$D$147,0))*kgtoGg</f>
        <v>0</v>
      </c>
      <c r="AQ84" s="22">
        <f>INDEX('Activity data'!AQ$24:AQ$39,MATCH(Emissions!$D84,'Activity data'!$D$24:$D$39,0))*INDEX(EF!$H$84:$H$99,MATCH(Emissions!$D84,EF!$D$84:$D$99,0))*INDEX(EF!$H$100:$H$115,MATCH(Emissions!$D84,EF!$D$100:$D$115,0))*INDEX(EF!$H$132:$H$147,MATCH(Emissions!$D84,EF!$D$132:$D$147,0))*kgtoGg</f>
        <v>0</v>
      </c>
      <c r="AR84" s="22">
        <f>INDEX('Activity data'!AR$24:AR$39,MATCH(Emissions!$D84,'Activity data'!$D$24:$D$39,0))*INDEX(EF!$H$84:$H$99,MATCH(Emissions!$D84,EF!$D$84:$D$99,0))*INDEX(EF!$H$100:$H$115,MATCH(Emissions!$D84,EF!$D$100:$D$115,0))*INDEX(EF!$H$132:$H$147,MATCH(Emissions!$D84,EF!$D$132:$D$147,0))*kgtoGg</f>
        <v>0</v>
      </c>
      <c r="AS84" s="22">
        <f>INDEX('Activity data'!AS$24:AS$39,MATCH(Emissions!$D84,'Activity data'!$D$24:$D$39,0))*INDEX(EF!$H$84:$H$99,MATCH(Emissions!$D84,EF!$D$84:$D$99,0))*INDEX(EF!$H$100:$H$115,MATCH(Emissions!$D84,EF!$D$100:$D$115,0))*INDEX(EF!$H$132:$H$147,MATCH(Emissions!$D84,EF!$D$132:$D$147,0))*kgtoGg</f>
        <v>0</v>
      </c>
      <c r="AT84" s="22">
        <f>INDEX('Activity data'!AT$24:AT$39,MATCH(Emissions!$D84,'Activity data'!$D$24:$D$39,0))*INDEX(EF!$H$84:$H$99,MATCH(Emissions!$D84,EF!$D$84:$D$99,0))*INDEX(EF!$H$100:$H$115,MATCH(Emissions!$D84,EF!$D$100:$D$115,0))*INDEX(EF!$H$132:$H$147,MATCH(Emissions!$D84,EF!$D$132:$D$147,0))*kgtoGg</f>
        <v>0</v>
      </c>
      <c r="AU84" s="22">
        <f>INDEX('Activity data'!AU$24:AU$39,MATCH(Emissions!$D84,'Activity data'!$D$24:$D$39,0))*INDEX(EF!$H$84:$H$99,MATCH(Emissions!$D84,EF!$D$84:$D$99,0))*INDEX(EF!$H$100:$H$115,MATCH(Emissions!$D84,EF!$D$100:$D$115,0))*INDEX(EF!$H$132:$H$147,MATCH(Emissions!$D84,EF!$D$132:$D$147,0))*kgtoGg</f>
        <v>0</v>
      </c>
      <c r="AV84" s="22">
        <f>INDEX('Activity data'!AV$24:AV$39,MATCH(Emissions!$D84,'Activity data'!$D$24:$D$39,0))*INDEX(EF!$H$84:$H$99,MATCH(Emissions!$D84,EF!$D$84:$D$99,0))*INDEX(EF!$H$100:$H$115,MATCH(Emissions!$D84,EF!$D$100:$D$115,0))*INDEX(EF!$H$132:$H$147,MATCH(Emissions!$D84,EF!$D$132:$D$147,0))*kgtoGg</f>
        <v>0</v>
      </c>
      <c r="AW84" s="22">
        <f>INDEX('Activity data'!AW$24:AW$39,MATCH(Emissions!$D84,'Activity data'!$D$24:$D$39,0))*INDEX(EF!$H$84:$H$99,MATCH(Emissions!$D84,EF!$D$84:$D$99,0))*INDEX(EF!$H$100:$H$115,MATCH(Emissions!$D84,EF!$D$100:$D$115,0))*INDEX(EF!$H$132:$H$147,MATCH(Emissions!$D84,EF!$D$132:$D$147,0))*kgtoGg</f>
        <v>0</v>
      </c>
      <c r="AX84" s="22">
        <f>INDEX('Activity data'!AX$24:AX$39,MATCH(Emissions!$D84,'Activity data'!$D$24:$D$39,0))*INDEX(EF!$H$84:$H$99,MATCH(Emissions!$D84,EF!$D$84:$D$99,0))*INDEX(EF!$H$100:$H$115,MATCH(Emissions!$D84,EF!$D$100:$D$115,0))*INDEX(EF!$H$132:$H$147,MATCH(Emissions!$D84,EF!$D$132:$D$147,0))*kgtoGg</f>
        <v>0</v>
      </c>
      <c r="AY84" s="22">
        <f>INDEX('Activity data'!AY$24:AY$39,MATCH(Emissions!$D84,'Activity data'!$D$24:$D$39,0))*INDEX(EF!$H$84:$H$99,MATCH(Emissions!$D84,EF!$D$84:$D$99,0))*INDEX(EF!$H$100:$H$115,MATCH(Emissions!$D84,EF!$D$100:$D$115,0))*INDEX(EF!$H$132:$H$147,MATCH(Emissions!$D84,EF!$D$132:$D$147,0))*kgtoGg</f>
        <v>0</v>
      </c>
      <c r="AZ84" s="22">
        <f>INDEX('Activity data'!AZ$24:AZ$39,MATCH(Emissions!$D84,'Activity data'!$D$24:$D$39,0))*INDEX(EF!$H$84:$H$99,MATCH(Emissions!$D84,EF!$D$84:$D$99,0))*INDEX(EF!$H$100:$H$115,MATCH(Emissions!$D84,EF!$D$100:$D$115,0))*INDEX(EF!$H$132:$H$147,MATCH(Emissions!$D84,EF!$D$132:$D$147,0))*kgtoGg</f>
        <v>0</v>
      </c>
      <c r="BA84" s="22">
        <f>INDEX('Activity data'!BA$24:BA$39,MATCH(Emissions!$D84,'Activity data'!$D$24:$D$39,0))*INDEX(EF!$H$84:$H$99,MATCH(Emissions!$D84,EF!$D$84:$D$99,0))*INDEX(EF!$H$100:$H$115,MATCH(Emissions!$D84,EF!$D$100:$D$115,0))*INDEX(EF!$H$132:$H$147,MATCH(Emissions!$D84,EF!$D$132:$D$147,0))*kgtoGg</f>
        <v>0</v>
      </c>
      <c r="BB84" s="22">
        <f>INDEX('Activity data'!BB$24:BB$39,MATCH(Emissions!$D84,'Activity data'!$D$24:$D$39,0))*INDEX(EF!$H$84:$H$99,MATCH(Emissions!$D84,EF!$D$84:$D$99,0))*INDEX(EF!$H$100:$H$115,MATCH(Emissions!$D84,EF!$D$100:$D$115,0))*INDEX(EF!$H$132:$H$147,MATCH(Emissions!$D84,EF!$D$132:$D$147,0))*kgtoGg</f>
        <v>0</v>
      </c>
      <c r="BC84" s="22">
        <f>INDEX('Activity data'!BC$24:BC$39,MATCH(Emissions!$D84,'Activity data'!$D$24:$D$39,0))*INDEX(EF!$H$84:$H$99,MATCH(Emissions!$D84,EF!$D$84:$D$99,0))*INDEX(EF!$H$100:$H$115,MATCH(Emissions!$D84,EF!$D$100:$D$115,0))*INDEX(EF!$H$132:$H$147,MATCH(Emissions!$D84,EF!$D$132:$D$147,0))*kgtoGg</f>
        <v>0</v>
      </c>
      <c r="BD84" s="22">
        <f>INDEX('Activity data'!BD$24:BD$39,MATCH(Emissions!$D84,'Activity data'!$D$24:$D$39,0))*INDEX(EF!$H$84:$H$99,MATCH(Emissions!$D84,EF!$D$84:$D$99,0))*INDEX(EF!$H$100:$H$115,MATCH(Emissions!$D84,EF!$D$100:$D$115,0))*INDEX(EF!$H$132:$H$147,MATCH(Emissions!$D84,EF!$D$132:$D$147,0))*kgtoGg</f>
        <v>0</v>
      </c>
      <c r="BE84" s="22">
        <f>INDEX('Activity data'!BE$24:BE$39,MATCH(Emissions!$D84,'Activity data'!$D$24:$D$39,0))*INDEX(EF!$H$84:$H$99,MATCH(Emissions!$D84,EF!$D$84:$D$99,0))*INDEX(EF!$H$100:$H$115,MATCH(Emissions!$D84,EF!$D$100:$D$115,0))*INDEX(EF!$H$132:$H$147,MATCH(Emissions!$D84,EF!$D$132:$D$147,0))*kgtoGg</f>
        <v>0</v>
      </c>
      <c r="BF84" s="22">
        <f>INDEX('Activity data'!BF$24:BF$39,MATCH(Emissions!$D84,'Activity data'!$D$24:$D$39,0))*INDEX(EF!$H$84:$H$99,MATCH(Emissions!$D84,EF!$D$84:$D$99,0))*INDEX(EF!$H$100:$H$115,MATCH(Emissions!$D84,EF!$D$100:$D$115,0))*INDEX(EF!$H$132:$H$147,MATCH(Emissions!$D84,EF!$D$132:$D$147,0))*kgtoGg</f>
        <v>0</v>
      </c>
      <c r="BG84" s="22">
        <f>INDEX('Activity data'!BG$24:BG$39,MATCH(Emissions!$D84,'Activity data'!$D$24:$D$39,0))*INDEX(EF!$H$84:$H$99,MATCH(Emissions!$D84,EF!$D$84:$D$99,0))*INDEX(EF!$H$100:$H$115,MATCH(Emissions!$D84,EF!$D$100:$D$115,0))*INDEX(EF!$H$132:$H$147,MATCH(Emissions!$D84,EF!$D$132:$D$147,0))*kgtoGg</f>
        <v>0</v>
      </c>
      <c r="BH84" s="22">
        <f>INDEX('Activity data'!BH$24:BH$39,MATCH(Emissions!$D84,'Activity data'!$D$24:$D$39,0))*INDEX(EF!$H$84:$H$99,MATCH(Emissions!$D84,EF!$D$84:$D$99,0))*INDEX(EF!$H$100:$H$115,MATCH(Emissions!$D84,EF!$D$100:$D$115,0))*INDEX(EF!$H$132:$H$147,MATCH(Emissions!$D84,EF!$D$132:$D$147,0))*kgtoGg</f>
        <v>0</v>
      </c>
      <c r="BI84" s="22">
        <f>INDEX('Activity data'!BI$24:BI$39,MATCH(Emissions!$D84,'Activity data'!$D$24:$D$39,0))*INDEX(EF!$H$84:$H$99,MATCH(Emissions!$D84,EF!$D$84:$D$99,0))*INDEX(EF!$H$100:$H$115,MATCH(Emissions!$D84,EF!$D$100:$D$115,0))*INDEX(EF!$H$132:$H$147,MATCH(Emissions!$D84,EF!$D$132:$D$147,0))*kgtoGg</f>
        <v>0</v>
      </c>
      <c r="BJ84" s="22">
        <f>INDEX('Activity data'!BJ$24:BJ$39,MATCH(Emissions!$D84,'Activity data'!$D$24:$D$39,0))*INDEX(EF!$H$84:$H$99,MATCH(Emissions!$D84,EF!$D$84:$D$99,0))*INDEX(EF!$H$100:$H$115,MATCH(Emissions!$D84,EF!$D$100:$D$115,0))*INDEX(EF!$H$132:$H$147,MATCH(Emissions!$D84,EF!$D$132:$D$147,0))*kgtoGg</f>
        <v>0</v>
      </c>
      <c r="BK84" s="22">
        <f>INDEX('Activity data'!BK$24:BK$39,MATCH(Emissions!$D84,'Activity data'!$D$24:$D$39,0))*INDEX(EF!$H$84:$H$99,MATCH(Emissions!$D84,EF!$D$84:$D$99,0))*INDEX(EF!$H$100:$H$115,MATCH(Emissions!$D84,EF!$D$100:$D$115,0))*INDEX(EF!$H$132:$H$147,MATCH(Emissions!$D84,EF!$D$132:$D$147,0))*kgtoGg</f>
        <v>0</v>
      </c>
      <c r="BL84" s="22">
        <f>INDEX('Activity data'!BL$24:BL$39,MATCH(Emissions!$D84,'Activity data'!$D$24:$D$39,0))*INDEX(EF!$H$84:$H$99,MATCH(Emissions!$D84,EF!$D$84:$D$99,0))*INDEX(EF!$H$100:$H$115,MATCH(Emissions!$D84,EF!$D$100:$D$115,0))*INDEX(EF!$H$132:$H$147,MATCH(Emissions!$D84,EF!$D$132:$D$147,0))*kgtoGg</f>
        <v>0</v>
      </c>
      <c r="BM84" s="22">
        <f>INDEX('Activity data'!BM$24:BM$39,MATCH(Emissions!$D84,'Activity data'!$D$24:$D$39,0))*INDEX(EF!$H$84:$H$99,MATCH(Emissions!$D84,EF!$D$84:$D$99,0))*INDEX(EF!$H$100:$H$115,MATCH(Emissions!$D84,EF!$D$100:$D$115,0))*INDEX(EF!$H$132:$H$147,MATCH(Emissions!$D84,EF!$D$132:$D$147,0))*kgtoGg</f>
        <v>0</v>
      </c>
      <c r="BN84" s="22">
        <f>INDEX('Activity data'!BN$24:BN$39,MATCH(Emissions!$D84,'Activity data'!$D$24:$D$39,0))*INDEX(EF!$H$84:$H$99,MATCH(Emissions!$D84,EF!$D$84:$D$99,0))*INDEX(EF!$H$100:$H$115,MATCH(Emissions!$D84,EF!$D$100:$D$115,0))*INDEX(EF!$H$132:$H$147,MATCH(Emissions!$D84,EF!$D$132:$D$147,0))*kgtoGg</f>
        <v>0</v>
      </c>
      <c r="BO84" s="22">
        <f>INDEX('Activity data'!BO$24:BO$39,MATCH(Emissions!$D84,'Activity data'!$D$24:$D$39,0))*INDEX(EF!$H$84:$H$99,MATCH(Emissions!$D84,EF!$D$84:$D$99,0))*INDEX(EF!$H$100:$H$115,MATCH(Emissions!$D84,EF!$D$100:$D$115,0))*INDEX(EF!$H$132:$H$147,MATCH(Emissions!$D84,EF!$D$132:$D$147,0))*kgtoGg</f>
        <v>0</v>
      </c>
      <c r="BP84" s="22">
        <f>INDEX('Activity data'!BP$24:BP$39,MATCH(Emissions!$D84,'Activity data'!$D$24:$D$39,0))*INDEX(EF!$H$84:$H$99,MATCH(Emissions!$D84,EF!$D$84:$D$99,0))*INDEX(EF!$H$100:$H$115,MATCH(Emissions!$D84,EF!$D$100:$D$115,0))*INDEX(EF!$H$132:$H$147,MATCH(Emissions!$D84,EF!$D$132:$D$147,0))*kgtoGg</f>
        <v>0</v>
      </c>
    </row>
    <row r="85" spans="1:68" x14ac:dyDescent="0.25">
      <c r="A85" t="str">
        <f t="shared" si="19"/>
        <v>3C Aggregated and non-CO2 emissions on land</v>
      </c>
      <c r="B85" t="str">
        <f t="shared" si="26"/>
        <v>3C1 Biomass burning (N2O)</v>
      </c>
      <c r="C85" t="str">
        <f t="shared" si="25"/>
        <v>3C1f Biomass burning in Other lands</v>
      </c>
      <c r="D85" t="str">
        <f>EF!D115</f>
        <v>Bare ground</v>
      </c>
      <c r="E85" t="s">
        <v>655</v>
      </c>
      <c r="F85" t="str">
        <f t="shared" si="27"/>
        <v>N2O</v>
      </c>
      <c r="G85" t="str">
        <f t="shared" si="28"/>
        <v>Gg N2O</v>
      </c>
      <c r="H85" s="22">
        <f>INDEX('Activity data'!H$24:H$39,MATCH(Emissions!$D85,'Activity data'!$D$24:$D$39,0))*INDEX(EF!$H$84:$H$99,MATCH(Emissions!$D85,EF!$D$84:$D$99,0))*INDEX(EF!$H$100:$H$115,MATCH(Emissions!$D85,EF!$D$100:$D$115,0))*INDEX(EF!$H$132:$H$147,MATCH(Emissions!$D85,EF!$D$132:$D$147,0))*kgtoGg</f>
        <v>0</v>
      </c>
      <c r="I85" s="22">
        <f>INDEX('Activity data'!I$24:I$39,MATCH(Emissions!$D85,'Activity data'!$D$24:$D$39,0))*INDEX(EF!$H$84:$H$99,MATCH(Emissions!$D85,EF!$D$84:$D$99,0))*INDEX(EF!$H$100:$H$115,MATCH(Emissions!$D85,EF!$D$100:$D$115,0))*INDEX(EF!$H$132:$H$147,MATCH(Emissions!$D85,EF!$D$132:$D$147,0))*kgtoGg</f>
        <v>0</v>
      </c>
      <c r="J85" s="22">
        <f>INDEX('Activity data'!J$24:J$39,MATCH(Emissions!$D85,'Activity data'!$D$24:$D$39,0))*INDEX(EF!$H$84:$H$99,MATCH(Emissions!$D85,EF!$D$84:$D$99,0))*INDEX(EF!$H$100:$H$115,MATCH(Emissions!$D85,EF!$D$100:$D$115,0))*INDEX(EF!$H$132:$H$147,MATCH(Emissions!$D85,EF!$D$132:$D$147,0))*kgtoGg</f>
        <v>0</v>
      </c>
      <c r="K85" s="22">
        <f>INDEX('Activity data'!K$24:K$39,MATCH(Emissions!$D85,'Activity data'!$D$24:$D$39,0))*INDEX(EF!$H$84:$H$99,MATCH(Emissions!$D85,EF!$D$84:$D$99,0))*INDEX(EF!$H$100:$H$115,MATCH(Emissions!$D85,EF!$D$100:$D$115,0))*INDEX(EF!$H$132:$H$147,MATCH(Emissions!$D85,EF!$D$132:$D$147,0))*kgtoGg</f>
        <v>0</v>
      </c>
      <c r="L85" s="22">
        <f>INDEX('Activity data'!L$24:L$39,MATCH(Emissions!$D85,'Activity data'!$D$24:$D$39,0))*INDEX(EF!$H$84:$H$99,MATCH(Emissions!$D85,EF!$D$84:$D$99,0))*INDEX(EF!$H$100:$H$115,MATCH(Emissions!$D85,EF!$D$100:$D$115,0))*INDEX(EF!$H$132:$H$147,MATCH(Emissions!$D85,EF!$D$132:$D$147,0))*kgtoGg</f>
        <v>0</v>
      </c>
      <c r="M85" s="22">
        <f>INDEX('Activity data'!M$24:M$39,MATCH(Emissions!$D85,'Activity data'!$D$24:$D$39,0))*INDEX(EF!$H$84:$H$99,MATCH(Emissions!$D85,EF!$D$84:$D$99,0))*INDEX(EF!$H$100:$H$115,MATCH(Emissions!$D85,EF!$D$100:$D$115,0))*INDEX(EF!$H$132:$H$147,MATCH(Emissions!$D85,EF!$D$132:$D$147,0))*kgtoGg</f>
        <v>0</v>
      </c>
      <c r="N85" s="22">
        <f>INDEX('Activity data'!N$24:N$39,MATCH(Emissions!$D85,'Activity data'!$D$24:$D$39,0))*INDEX(EF!$H$84:$H$99,MATCH(Emissions!$D85,EF!$D$84:$D$99,0))*INDEX(EF!$H$100:$H$115,MATCH(Emissions!$D85,EF!$D$100:$D$115,0))*INDEX(EF!$H$132:$H$147,MATCH(Emissions!$D85,EF!$D$132:$D$147,0))*kgtoGg</f>
        <v>0</v>
      </c>
      <c r="O85" s="22">
        <f>INDEX('Activity data'!O$24:O$39,MATCH(Emissions!$D85,'Activity data'!$D$24:$D$39,0))*INDEX(EF!$H$84:$H$99,MATCH(Emissions!$D85,EF!$D$84:$D$99,0))*INDEX(EF!$H$100:$H$115,MATCH(Emissions!$D85,EF!$D$100:$D$115,0))*INDEX(EF!$H$132:$H$147,MATCH(Emissions!$D85,EF!$D$132:$D$147,0))*kgtoGg</f>
        <v>0</v>
      </c>
      <c r="P85" s="22">
        <f>INDEX('Activity data'!P$24:P$39,MATCH(Emissions!$D85,'Activity data'!$D$24:$D$39,0))*INDEX(EF!$H$84:$H$99,MATCH(Emissions!$D85,EF!$D$84:$D$99,0))*INDEX(EF!$H$100:$H$115,MATCH(Emissions!$D85,EF!$D$100:$D$115,0))*INDEX(EF!$H$132:$H$147,MATCH(Emissions!$D85,EF!$D$132:$D$147,0))*kgtoGg</f>
        <v>0</v>
      </c>
      <c r="Q85" s="22">
        <f>INDEX('Activity data'!Q$24:Q$39,MATCH(Emissions!$D85,'Activity data'!$D$24:$D$39,0))*INDEX(EF!$H$84:$H$99,MATCH(Emissions!$D85,EF!$D$84:$D$99,0))*INDEX(EF!$H$100:$H$115,MATCH(Emissions!$D85,EF!$D$100:$D$115,0))*INDEX(EF!$H$132:$H$147,MATCH(Emissions!$D85,EF!$D$132:$D$147,0))*kgtoGg</f>
        <v>0</v>
      </c>
      <c r="R85" s="22">
        <f>INDEX('Activity data'!R$24:R$39,MATCH(Emissions!$D85,'Activity data'!$D$24:$D$39,0))*INDEX(EF!$H$84:$H$99,MATCH(Emissions!$D85,EF!$D$84:$D$99,0))*INDEX(EF!$H$100:$H$115,MATCH(Emissions!$D85,EF!$D$100:$D$115,0))*INDEX(EF!$H$132:$H$147,MATCH(Emissions!$D85,EF!$D$132:$D$147,0))*kgtoGg</f>
        <v>0</v>
      </c>
      <c r="S85" s="22">
        <f>INDEX('Activity data'!S$24:S$39,MATCH(Emissions!$D85,'Activity data'!$D$24:$D$39,0))*INDEX(EF!$H$84:$H$99,MATCH(Emissions!$D85,EF!$D$84:$D$99,0))*INDEX(EF!$H$100:$H$115,MATCH(Emissions!$D85,EF!$D$100:$D$115,0))*INDEX(EF!$H$132:$H$147,MATCH(Emissions!$D85,EF!$D$132:$D$147,0))*kgtoGg</f>
        <v>0</v>
      </c>
      <c r="T85" s="22">
        <f>INDEX('Activity data'!T$24:T$39,MATCH(Emissions!$D85,'Activity data'!$D$24:$D$39,0))*INDEX(EF!$H$84:$H$99,MATCH(Emissions!$D85,EF!$D$84:$D$99,0))*INDEX(EF!$H$100:$H$115,MATCH(Emissions!$D85,EF!$D$100:$D$115,0))*INDEX(EF!$H$132:$H$147,MATCH(Emissions!$D85,EF!$D$132:$D$147,0))*kgtoGg</f>
        <v>0</v>
      </c>
      <c r="U85" s="22">
        <f>INDEX('Activity data'!U$24:U$39,MATCH(Emissions!$D85,'Activity data'!$D$24:$D$39,0))*INDEX(EF!$H$84:$H$99,MATCH(Emissions!$D85,EF!$D$84:$D$99,0))*INDEX(EF!$H$100:$H$115,MATCH(Emissions!$D85,EF!$D$100:$D$115,0))*INDEX(EF!$H$132:$H$147,MATCH(Emissions!$D85,EF!$D$132:$D$147,0))*kgtoGg</f>
        <v>0</v>
      </c>
      <c r="V85" s="22">
        <f>INDEX('Activity data'!V$24:V$39,MATCH(Emissions!$D85,'Activity data'!$D$24:$D$39,0))*INDEX(EF!$H$84:$H$99,MATCH(Emissions!$D85,EF!$D$84:$D$99,0))*INDEX(EF!$H$100:$H$115,MATCH(Emissions!$D85,EF!$D$100:$D$115,0))*INDEX(EF!$H$132:$H$147,MATCH(Emissions!$D85,EF!$D$132:$D$147,0))*kgtoGg</f>
        <v>0</v>
      </c>
      <c r="W85" s="22">
        <f>INDEX('Activity data'!W$24:W$39,MATCH(Emissions!$D85,'Activity data'!$D$24:$D$39,0))*INDEX(EF!$H$84:$H$99,MATCH(Emissions!$D85,EF!$D$84:$D$99,0))*INDEX(EF!$H$100:$H$115,MATCH(Emissions!$D85,EF!$D$100:$D$115,0))*INDEX(EF!$H$132:$H$147,MATCH(Emissions!$D85,EF!$D$132:$D$147,0))*kgtoGg</f>
        <v>0</v>
      </c>
      <c r="X85" s="22">
        <f>INDEX('Activity data'!X$24:X$39,MATCH(Emissions!$D85,'Activity data'!$D$24:$D$39,0))*INDEX(EF!$H$84:$H$99,MATCH(Emissions!$D85,EF!$D$84:$D$99,0))*INDEX(EF!$H$100:$H$115,MATCH(Emissions!$D85,EF!$D$100:$D$115,0))*INDEX(EF!$H$132:$H$147,MATCH(Emissions!$D85,EF!$D$132:$D$147,0))*kgtoGg</f>
        <v>0</v>
      </c>
      <c r="Y85" s="22">
        <f>INDEX('Activity data'!Y$24:Y$39,MATCH(Emissions!$D85,'Activity data'!$D$24:$D$39,0))*INDEX(EF!$H$84:$H$99,MATCH(Emissions!$D85,EF!$D$84:$D$99,0))*INDEX(EF!$H$100:$H$115,MATCH(Emissions!$D85,EF!$D$100:$D$115,0))*INDEX(EF!$H$132:$H$147,MATCH(Emissions!$D85,EF!$D$132:$D$147,0))*kgtoGg</f>
        <v>0</v>
      </c>
      <c r="Z85" s="22">
        <f>INDEX('Activity data'!Z$24:Z$39,MATCH(Emissions!$D85,'Activity data'!$D$24:$D$39,0))*INDEX(EF!$H$84:$H$99,MATCH(Emissions!$D85,EF!$D$84:$D$99,0))*INDEX(EF!$H$100:$H$115,MATCH(Emissions!$D85,EF!$D$100:$D$115,0))*INDEX(EF!$H$132:$H$147,MATCH(Emissions!$D85,EF!$D$132:$D$147,0))*kgtoGg</f>
        <v>0</v>
      </c>
      <c r="AA85" s="22">
        <f>INDEX('Activity data'!AA$24:AA$39,MATCH(Emissions!$D85,'Activity data'!$D$24:$D$39,0))*INDEX(EF!$H$84:$H$99,MATCH(Emissions!$D85,EF!$D$84:$D$99,0))*INDEX(EF!$H$100:$H$115,MATCH(Emissions!$D85,EF!$D$100:$D$115,0))*INDEX(EF!$H$132:$H$147,MATCH(Emissions!$D85,EF!$D$132:$D$147,0))*kgtoGg</f>
        <v>0</v>
      </c>
      <c r="AB85" s="22">
        <f>INDEX('Activity data'!AB$24:AB$39,MATCH(Emissions!$D85,'Activity data'!$D$24:$D$39,0))*INDEX(EF!$H$84:$H$99,MATCH(Emissions!$D85,EF!$D$84:$D$99,0))*INDEX(EF!$H$100:$H$115,MATCH(Emissions!$D85,EF!$D$100:$D$115,0))*INDEX(EF!$H$132:$H$147,MATCH(Emissions!$D85,EF!$D$132:$D$147,0))*kgtoGg</f>
        <v>0</v>
      </c>
      <c r="AC85" s="22">
        <f>INDEX('Activity data'!AC$24:AC$39,MATCH(Emissions!$D85,'Activity data'!$D$24:$D$39,0))*INDEX(EF!$H$84:$H$99,MATCH(Emissions!$D85,EF!$D$84:$D$99,0))*INDEX(EF!$H$100:$H$115,MATCH(Emissions!$D85,EF!$D$100:$D$115,0))*INDEX(EF!$H$132:$H$147,MATCH(Emissions!$D85,EF!$D$132:$D$147,0))*kgtoGg</f>
        <v>0</v>
      </c>
      <c r="AD85" s="22">
        <f>INDEX('Activity data'!AD$24:AD$39,MATCH(Emissions!$D85,'Activity data'!$D$24:$D$39,0))*INDEX(EF!$H$84:$H$99,MATCH(Emissions!$D85,EF!$D$84:$D$99,0))*INDEX(EF!$H$100:$H$115,MATCH(Emissions!$D85,EF!$D$100:$D$115,0))*INDEX(EF!$H$132:$H$147,MATCH(Emissions!$D85,EF!$D$132:$D$147,0))*kgtoGg</f>
        <v>0</v>
      </c>
      <c r="AE85" s="22">
        <f>INDEX('Activity data'!AE$24:AE$39,MATCH(Emissions!$D85,'Activity data'!$D$24:$D$39,0))*INDEX(EF!$H$84:$H$99,MATCH(Emissions!$D85,EF!$D$84:$D$99,0))*INDEX(EF!$H$100:$H$115,MATCH(Emissions!$D85,EF!$D$100:$D$115,0))*INDEX(EF!$H$132:$H$147,MATCH(Emissions!$D85,EF!$D$132:$D$147,0))*kgtoGg</f>
        <v>0</v>
      </c>
      <c r="AF85" s="22">
        <f>INDEX('Activity data'!AF$24:AF$39,MATCH(Emissions!$D85,'Activity data'!$D$24:$D$39,0))*INDEX(EF!$H$84:$H$99,MATCH(Emissions!$D85,EF!$D$84:$D$99,0))*INDEX(EF!$H$100:$H$115,MATCH(Emissions!$D85,EF!$D$100:$D$115,0))*INDEX(EF!$H$132:$H$147,MATCH(Emissions!$D85,EF!$D$132:$D$147,0))*kgtoGg</f>
        <v>0</v>
      </c>
      <c r="AG85" s="22">
        <f>INDEX('Activity data'!AG$24:AG$39,MATCH(Emissions!$D85,'Activity data'!$D$24:$D$39,0))*INDEX(EF!$H$84:$H$99,MATCH(Emissions!$D85,EF!$D$84:$D$99,0))*INDEX(EF!$H$100:$H$115,MATCH(Emissions!$D85,EF!$D$100:$D$115,0))*INDEX(EF!$H$132:$H$147,MATCH(Emissions!$D85,EF!$D$132:$D$147,0))*kgtoGg</f>
        <v>0</v>
      </c>
      <c r="AH85" s="22">
        <f>INDEX('Activity data'!AH$24:AH$39,MATCH(Emissions!$D85,'Activity data'!$D$24:$D$39,0))*INDEX(EF!$H$84:$H$99,MATCH(Emissions!$D85,EF!$D$84:$D$99,0))*INDEX(EF!$H$100:$H$115,MATCH(Emissions!$D85,EF!$D$100:$D$115,0))*INDEX(EF!$H$132:$H$147,MATCH(Emissions!$D85,EF!$D$132:$D$147,0))*kgtoGg</f>
        <v>0</v>
      </c>
      <c r="AI85" s="22">
        <f>INDEX('Activity data'!AI$24:AI$39,MATCH(Emissions!$D85,'Activity data'!$D$24:$D$39,0))*INDEX(EF!$H$84:$H$99,MATCH(Emissions!$D85,EF!$D$84:$D$99,0))*INDEX(EF!$H$100:$H$115,MATCH(Emissions!$D85,EF!$D$100:$D$115,0))*INDEX(EF!$H$132:$H$147,MATCH(Emissions!$D85,EF!$D$132:$D$147,0))*kgtoGg</f>
        <v>0</v>
      </c>
      <c r="AJ85" s="22">
        <f>INDEX('Activity data'!AJ$24:AJ$39,MATCH(Emissions!$D85,'Activity data'!$D$24:$D$39,0))*INDEX(EF!$H$84:$H$99,MATCH(Emissions!$D85,EF!$D$84:$D$99,0))*INDEX(EF!$H$100:$H$115,MATCH(Emissions!$D85,EF!$D$100:$D$115,0))*INDEX(EF!$H$132:$H$147,MATCH(Emissions!$D85,EF!$D$132:$D$147,0))*kgtoGg</f>
        <v>0</v>
      </c>
      <c r="AK85" s="22">
        <f>INDEX('Activity data'!AK$24:AK$39,MATCH(Emissions!$D85,'Activity data'!$D$24:$D$39,0))*INDEX(EF!$H$84:$H$99,MATCH(Emissions!$D85,EF!$D$84:$D$99,0))*INDEX(EF!$H$100:$H$115,MATCH(Emissions!$D85,EF!$D$100:$D$115,0))*INDEX(EF!$H$132:$H$147,MATCH(Emissions!$D85,EF!$D$132:$D$147,0))*kgtoGg</f>
        <v>0</v>
      </c>
      <c r="AL85" s="22">
        <f>INDEX('Activity data'!AL$24:AL$39,MATCH(Emissions!$D85,'Activity data'!$D$24:$D$39,0))*INDEX(EF!$H$84:$H$99,MATCH(Emissions!$D85,EF!$D$84:$D$99,0))*INDEX(EF!$H$100:$H$115,MATCH(Emissions!$D85,EF!$D$100:$D$115,0))*INDEX(EF!$H$132:$H$147,MATCH(Emissions!$D85,EF!$D$132:$D$147,0))*kgtoGg</f>
        <v>0</v>
      </c>
      <c r="AM85" s="22">
        <f>INDEX('Activity data'!AM$24:AM$39,MATCH(Emissions!$D85,'Activity data'!$D$24:$D$39,0))*INDEX(EF!$H$84:$H$99,MATCH(Emissions!$D85,EF!$D$84:$D$99,0))*INDEX(EF!$H$100:$H$115,MATCH(Emissions!$D85,EF!$D$100:$D$115,0))*INDEX(EF!$H$132:$H$147,MATCH(Emissions!$D85,EF!$D$132:$D$147,0))*kgtoGg</f>
        <v>0</v>
      </c>
      <c r="AN85" s="22">
        <f>INDEX('Activity data'!AN$24:AN$39,MATCH(Emissions!$D85,'Activity data'!$D$24:$D$39,0))*INDEX(EF!$H$84:$H$99,MATCH(Emissions!$D85,EF!$D$84:$D$99,0))*INDEX(EF!$H$100:$H$115,MATCH(Emissions!$D85,EF!$D$100:$D$115,0))*INDEX(EF!$H$132:$H$147,MATCH(Emissions!$D85,EF!$D$132:$D$147,0))*kgtoGg</f>
        <v>0</v>
      </c>
      <c r="AO85" s="22">
        <f>INDEX('Activity data'!AO$24:AO$39,MATCH(Emissions!$D85,'Activity data'!$D$24:$D$39,0))*INDEX(EF!$H$84:$H$99,MATCH(Emissions!$D85,EF!$D$84:$D$99,0))*INDEX(EF!$H$100:$H$115,MATCH(Emissions!$D85,EF!$D$100:$D$115,0))*INDEX(EF!$H$132:$H$147,MATCH(Emissions!$D85,EF!$D$132:$D$147,0))*kgtoGg</f>
        <v>0</v>
      </c>
      <c r="AP85" s="22">
        <f>INDEX('Activity data'!AP$24:AP$39,MATCH(Emissions!$D85,'Activity data'!$D$24:$D$39,0))*INDEX(EF!$H$84:$H$99,MATCH(Emissions!$D85,EF!$D$84:$D$99,0))*INDEX(EF!$H$100:$H$115,MATCH(Emissions!$D85,EF!$D$100:$D$115,0))*INDEX(EF!$H$132:$H$147,MATCH(Emissions!$D85,EF!$D$132:$D$147,0))*kgtoGg</f>
        <v>0</v>
      </c>
      <c r="AQ85" s="22">
        <f>INDEX('Activity data'!AQ$24:AQ$39,MATCH(Emissions!$D85,'Activity data'!$D$24:$D$39,0))*INDEX(EF!$H$84:$H$99,MATCH(Emissions!$D85,EF!$D$84:$D$99,0))*INDEX(EF!$H$100:$H$115,MATCH(Emissions!$D85,EF!$D$100:$D$115,0))*INDEX(EF!$H$132:$H$147,MATCH(Emissions!$D85,EF!$D$132:$D$147,0))*kgtoGg</f>
        <v>0</v>
      </c>
      <c r="AR85" s="22">
        <f>INDEX('Activity data'!AR$24:AR$39,MATCH(Emissions!$D85,'Activity data'!$D$24:$D$39,0))*INDEX(EF!$H$84:$H$99,MATCH(Emissions!$D85,EF!$D$84:$D$99,0))*INDEX(EF!$H$100:$H$115,MATCH(Emissions!$D85,EF!$D$100:$D$115,0))*INDEX(EF!$H$132:$H$147,MATCH(Emissions!$D85,EF!$D$132:$D$147,0))*kgtoGg</f>
        <v>0</v>
      </c>
      <c r="AS85" s="22">
        <f>INDEX('Activity data'!AS$24:AS$39,MATCH(Emissions!$D85,'Activity data'!$D$24:$D$39,0))*INDEX(EF!$H$84:$H$99,MATCH(Emissions!$D85,EF!$D$84:$D$99,0))*INDEX(EF!$H$100:$H$115,MATCH(Emissions!$D85,EF!$D$100:$D$115,0))*INDEX(EF!$H$132:$H$147,MATCH(Emissions!$D85,EF!$D$132:$D$147,0))*kgtoGg</f>
        <v>0</v>
      </c>
      <c r="AT85" s="22">
        <f>INDEX('Activity data'!AT$24:AT$39,MATCH(Emissions!$D85,'Activity data'!$D$24:$D$39,0))*INDEX(EF!$H$84:$H$99,MATCH(Emissions!$D85,EF!$D$84:$D$99,0))*INDEX(EF!$H$100:$H$115,MATCH(Emissions!$D85,EF!$D$100:$D$115,0))*INDEX(EF!$H$132:$H$147,MATCH(Emissions!$D85,EF!$D$132:$D$147,0))*kgtoGg</f>
        <v>0</v>
      </c>
      <c r="AU85" s="22">
        <f>INDEX('Activity data'!AU$24:AU$39,MATCH(Emissions!$D85,'Activity data'!$D$24:$D$39,0))*INDEX(EF!$H$84:$H$99,MATCH(Emissions!$D85,EF!$D$84:$D$99,0))*INDEX(EF!$H$100:$H$115,MATCH(Emissions!$D85,EF!$D$100:$D$115,0))*INDEX(EF!$H$132:$H$147,MATCH(Emissions!$D85,EF!$D$132:$D$147,0))*kgtoGg</f>
        <v>0</v>
      </c>
      <c r="AV85" s="22">
        <f>INDEX('Activity data'!AV$24:AV$39,MATCH(Emissions!$D85,'Activity data'!$D$24:$D$39,0))*INDEX(EF!$H$84:$H$99,MATCH(Emissions!$D85,EF!$D$84:$D$99,0))*INDEX(EF!$H$100:$H$115,MATCH(Emissions!$D85,EF!$D$100:$D$115,0))*INDEX(EF!$H$132:$H$147,MATCH(Emissions!$D85,EF!$D$132:$D$147,0))*kgtoGg</f>
        <v>0</v>
      </c>
      <c r="AW85" s="22">
        <f>INDEX('Activity data'!AW$24:AW$39,MATCH(Emissions!$D85,'Activity data'!$D$24:$D$39,0))*INDEX(EF!$H$84:$H$99,MATCH(Emissions!$D85,EF!$D$84:$D$99,0))*INDEX(EF!$H$100:$H$115,MATCH(Emissions!$D85,EF!$D$100:$D$115,0))*INDEX(EF!$H$132:$H$147,MATCH(Emissions!$D85,EF!$D$132:$D$147,0))*kgtoGg</f>
        <v>0</v>
      </c>
      <c r="AX85" s="22">
        <f>INDEX('Activity data'!AX$24:AX$39,MATCH(Emissions!$D85,'Activity data'!$D$24:$D$39,0))*INDEX(EF!$H$84:$H$99,MATCH(Emissions!$D85,EF!$D$84:$D$99,0))*INDEX(EF!$H$100:$H$115,MATCH(Emissions!$D85,EF!$D$100:$D$115,0))*INDEX(EF!$H$132:$H$147,MATCH(Emissions!$D85,EF!$D$132:$D$147,0))*kgtoGg</f>
        <v>0</v>
      </c>
      <c r="AY85" s="22">
        <f>INDEX('Activity data'!AY$24:AY$39,MATCH(Emissions!$D85,'Activity data'!$D$24:$D$39,0))*INDEX(EF!$H$84:$H$99,MATCH(Emissions!$D85,EF!$D$84:$D$99,0))*INDEX(EF!$H$100:$H$115,MATCH(Emissions!$D85,EF!$D$100:$D$115,0))*INDEX(EF!$H$132:$H$147,MATCH(Emissions!$D85,EF!$D$132:$D$147,0))*kgtoGg</f>
        <v>0</v>
      </c>
      <c r="AZ85" s="22">
        <f>INDEX('Activity data'!AZ$24:AZ$39,MATCH(Emissions!$D85,'Activity data'!$D$24:$D$39,0))*INDEX(EF!$H$84:$H$99,MATCH(Emissions!$D85,EF!$D$84:$D$99,0))*INDEX(EF!$H$100:$H$115,MATCH(Emissions!$D85,EF!$D$100:$D$115,0))*INDEX(EF!$H$132:$H$147,MATCH(Emissions!$D85,EF!$D$132:$D$147,0))*kgtoGg</f>
        <v>0</v>
      </c>
      <c r="BA85" s="22">
        <f>INDEX('Activity data'!BA$24:BA$39,MATCH(Emissions!$D85,'Activity data'!$D$24:$D$39,0))*INDEX(EF!$H$84:$H$99,MATCH(Emissions!$D85,EF!$D$84:$D$99,0))*INDEX(EF!$H$100:$H$115,MATCH(Emissions!$D85,EF!$D$100:$D$115,0))*INDEX(EF!$H$132:$H$147,MATCH(Emissions!$D85,EF!$D$132:$D$147,0))*kgtoGg</f>
        <v>0</v>
      </c>
      <c r="BB85" s="22">
        <f>INDEX('Activity data'!BB$24:BB$39,MATCH(Emissions!$D85,'Activity data'!$D$24:$D$39,0))*INDEX(EF!$H$84:$H$99,MATCH(Emissions!$D85,EF!$D$84:$D$99,0))*INDEX(EF!$H$100:$H$115,MATCH(Emissions!$D85,EF!$D$100:$D$115,0))*INDEX(EF!$H$132:$H$147,MATCH(Emissions!$D85,EF!$D$132:$D$147,0))*kgtoGg</f>
        <v>0</v>
      </c>
      <c r="BC85" s="22">
        <f>INDEX('Activity data'!BC$24:BC$39,MATCH(Emissions!$D85,'Activity data'!$D$24:$D$39,0))*INDEX(EF!$H$84:$H$99,MATCH(Emissions!$D85,EF!$D$84:$D$99,0))*INDEX(EF!$H$100:$H$115,MATCH(Emissions!$D85,EF!$D$100:$D$115,0))*INDEX(EF!$H$132:$H$147,MATCH(Emissions!$D85,EF!$D$132:$D$147,0))*kgtoGg</f>
        <v>0</v>
      </c>
      <c r="BD85" s="22">
        <f>INDEX('Activity data'!BD$24:BD$39,MATCH(Emissions!$D85,'Activity data'!$D$24:$D$39,0))*INDEX(EF!$H$84:$H$99,MATCH(Emissions!$D85,EF!$D$84:$D$99,0))*INDEX(EF!$H$100:$H$115,MATCH(Emissions!$D85,EF!$D$100:$D$115,0))*INDEX(EF!$H$132:$H$147,MATCH(Emissions!$D85,EF!$D$132:$D$147,0))*kgtoGg</f>
        <v>0</v>
      </c>
      <c r="BE85" s="22">
        <f>INDEX('Activity data'!BE$24:BE$39,MATCH(Emissions!$D85,'Activity data'!$D$24:$D$39,0))*INDEX(EF!$H$84:$H$99,MATCH(Emissions!$D85,EF!$D$84:$D$99,0))*INDEX(EF!$H$100:$H$115,MATCH(Emissions!$D85,EF!$D$100:$D$115,0))*INDEX(EF!$H$132:$H$147,MATCH(Emissions!$D85,EF!$D$132:$D$147,0))*kgtoGg</f>
        <v>0</v>
      </c>
      <c r="BF85" s="22">
        <f>INDEX('Activity data'!BF$24:BF$39,MATCH(Emissions!$D85,'Activity data'!$D$24:$D$39,0))*INDEX(EF!$H$84:$H$99,MATCH(Emissions!$D85,EF!$D$84:$D$99,0))*INDEX(EF!$H$100:$H$115,MATCH(Emissions!$D85,EF!$D$100:$D$115,0))*INDEX(EF!$H$132:$H$147,MATCH(Emissions!$D85,EF!$D$132:$D$147,0))*kgtoGg</f>
        <v>0</v>
      </c>
      <c r="BG85" s="22">
        <f>INDEX('Activity data'!BG$24:BG$39,MATCH(Emissions!$D85,'Activity data'!$D$24:$D$39,0))*INDEX(EF!$H$84:$H$99,MATCH(Emissions!$D85,EF!$D$84:$D$99,0))*INDEX(EF!$H$100:$H$115,MATCH(Emissions!$D85,EF!$D$100:$D$115,0))*INDEX(EF!$H$132:$H$147,MATCH(Emissions!$D85,EF!$D$132:$D$147,0))*kgtoGg</f>
        <v>0</v>
      </c>
      <c r="BH85" s="22">
        <f>INDEX('Activity data'!BH$24:BH$39,MATCH(Emissions!$D85,'Activity data'!$D$24:$D$39,0))*INDEX(EF!$H$84:$H$99,MATCH(Emissions!$D85,EF!$D$84:$D$99,0))*INDEX(EF!$H$100:$H$115,MATCH(Emissions!$D85,EF!$D$100:$D$115,0))*INDEX(EF!$H$132:$H$147,MATCH(Emissions!$D85,EF!$D$132:$D$147,0))*kgtoGg</f>
        <v>0</v>
      </c>
      <c r="BI85" s="22">
        <f>INDEX('Activity data'!BI$24:BI$39,MATCH(Emissions!$D85,'Activity data'!$D$24:$D$39,0))*INDEX(EF!$H$84:$H$99,MATCH(Emissions!$D85,EF!$D$84:$D$99,0))*INDEX(EF!$H$100:$H$115,MATCH(Emissions!$D85,EF!$D$100:$D$115,0))*INDEX(EF!$H$132:$H$147,MATCH(Emissions!$D85,EF!$D$132:$D$147,0))*kgtoGg</f>
        <v>0</v>
      </c>
      <c r="BJ85" s="22">
        <f>INDEX('Activity data'!BJ$24:BJ$39,MATCH(Emissions!$D85,'Activity data'!$D$24:$D$39,0))*INDEX(EF!$H$84:$H$99,MATCH(Emissions!$D85,EF!$D$84:$D$99,0))*INDEX(EF!$H$100:$H$115,MATCH(Emissions!$D85,EF!$D$100:$D$115,0))*INDEX(EF!$H$132:$H$147,MATCH(Emissions!$D85,EF!$D$132:$D$147,0))*kgtoGg</f>
        <v>0</v>
      </c>
      <c r="BK85" s="22">
        <f>INDEX('Activity data'!BK$24:BK$39,MATCH(Emissions!$D85,'Activity data'!$D$24:$D$39,0))*INDEX(EF!$H$84:$H$99,MATCH(Emissions!$D85,EF!$D$84:$D$99,0))*INDEX(EF!$H$100:$H$115,MATCH(Emissions!$D85,EF!$D$100:$D$115,0))*INDEX(EF!$H$132:$H$147,MATCH(Emissions!$D85,EF!$D$132:$D$147,0))*kgtoGg</f>
        <v>0</v>
      </c>
      <c r="BL85" s="22">
        <f>INDEX('Activity data'!BL$24:BL$39,MATCH(Emissions!$D85,'Activity data'!$D$24:$D$39,0))*INDEX(EF!$H$84:$H$99,MATCH(Emissions!$D85,EF!$D$84:$D$99,0))*INDEX(EF!$H$100:$H$115,MATCH(Emissions!$D85,EF!$D$100:$D$115,0))*INDEX(EF!$H$132:$H$147,MATCH(Emissions!$D85,EF!$D$132:$D$147,0))*kgtoGg</f>
        <v>0</v>
      </c>
      <c r="BM85" s="22">
        <f>INDEX('Activity data'!BM$24:BM$39,MATCH(Emissions!$D85,'Activity data'!$D$24:$D$39,0))*INDEX(EF!$H$84:$H$99,MATCH(Emissions!$D85,EF!$D$84:$D$99,0))*INDEX(EF!$H$100:$H$115,MATCH(Emissions!$D85,EF!$D$100:$D$115,0))*INDEX(EF!$H$132:$H$147,MATCH(Emissions!$D85,EF!$D$132:$D$147,0))*kgtoGg</f>
        <v>0</v>
      </c>
      <c r="BN85" s="22">
        <f>INDEX('Activity data'!BN$24:BN$39,MATCH(Emissions!$D85,'Activity data'!$D$24:$D$39,0))*INDEX(EF!$H$84:$H$99,MATCH(Emissions!$D85,EF!$D$84:$D$99,0))*INDEX(EF!$H$100:$H$115,MATCH(Emissions!$D85,EF!$D$100:$D$115,0))*INDEX(EF!$H$132:$H$147,MATCH(Emissions!$D85,EF!$D$132:$D$147,0))*kgtoGg</f>
        <v>0</v>
      </c>
      <c r="BO85" s="22">
        <f>INDEX('Activity data'!BO$24:BO$39,MATCH(Emissions!$D85,'Activity data'!$D$24:$D$39,0))*INDEX(EF!$H$84:$H$99,MATCH(Emissions!$D85,EF!$D$84:$D$99,0))*INDEX(EF!$H$100:$H$115,MATCH(Emissions!$D85,EF!$D$100:$D$115,0))*INDEX(EF!$H$132:$H$147,MATCH(Emissions!$D85,EF!$D$132:$D$147,0))*kgtoGg</f>
        <v>0</v>
      </c>
      <c r="BP85" s="22">
        <f>INDEX('Activity data'!BP$24:BP$39,MATCH(Emissions!$D85,'Activity data'!$D$24:$D$39,0))*INDEX(EF!$H$84:$H$99,MATCH(Emissions!$D85,EF!$D$84:$D$99,0))*INDEX(EF!$H$100:$H$115,MATCH(Emissions!$D85,EF!$D$100:$D$115,0))*INDEX(EF!$H$132:$H$147,MATCH(Emissions!$D85,EF!$D$132:$D$147,0))*kgtoGg</f>
        <v>0</v>
      </c>
    </row>
    <row r="86" spans="1:68" x14ac:dyDescent="0.25">
      <c r="A86" t="str">
        <f>A85</f>
        <v>3C Aggregated and non-CO2 emissions on land</v>
      </c>
      <c r="B86" t="str">
        <f>'IPCC Categories'!B71</f>
        <v>3C2 Liming (CO2)</v>
      </c>
      <c r="E86" t="s">
        <v>381</v>
      </c>
      <c r="F86" t="s">
        <v>380</v>
      </c>
      <c r="G86" t="s">
        <v>382</v>
      </c>
      <c r="H86" s="22">
        <f>'Activity data'!H45*EF!$H$149*CtoCO2*ttoGg</f>
        <v>357.5</v>
      </c>
      <c r="I86" s="22">
        <f>'Activity data'!I45*EF!$H$149*CtoCO2*ttoGg</f>
        <v>378.125</v>
      </c>
      <c r="J86" s="22">
        <f>'Activity data'!J45*EF!$H$149*CtoCO2*ttoGg</f>
        <v>261.25</v>
      </c>
      <c r="K86" s="22">
        <f>'Activity data'!K45*EF!$H$149*CtoCO2*ttoGg</f>
        <v>412.5</v>
      </c>
      <c r="L86" s="22">
        <f>'Activity data'!L45*EF!$H$149*CtoCO2*ttoGg</f>
        <v>595.58170833333327</v>
      </c>
      <c r="M86" s="22">
        <f>'Activity data'!M45*EF!$H$149*CtoCO2*ttoGg</f>
        <v>473.34145833333332</v>
      </c>
      <c r="N86" s="22">
        <f>'Activity data'!N45*EF!$H$149*CtoCO2*ttoGg</f>
        <v>579.13625000000002</v>
      </c>
      <c r="O86" s="22">
        <f>'Activity data'!O45*EF!$H$149*CtoCO2*ttoGg</f>
        <v>547.24312499999996</v>
      </c>
      <c r="P86" s="22">
        <f>'Activity data'!P45*EF!$H$149*CtoCO2*ttoGg</f>
        <v>570.31379166666659</v>
      </c>
      <c r="Q86" s="22">
        <f>'Activity data'!Q45*EF!$H$149*CtoCO2*ttoGg</f>
        <v>567.03808333333325</v>
      </c>
      <c r="R86" s="22">
        <f>'Activity data'!R45*EF!$H$149*CtoCO2*ttoGg</f>
        <v>378.2405</v>
      </c>
      <c r="S86" s="22">
        <f>'Activity data'!S45*EF!$H$149*CtoCO2*ttoGg</f>
        <v>489.66362500000002</v>
      </c>
      <c r="T86" s="22">
        <f>'Activity data'!T45*EF!$H$149*CtoCO2*ttoGg</f>
        <v>672.79437500000006</v>
      </c>
      <c r="U86" s="22">
        <f>'Activity data'!U45*EF!$H$149*CtoCO2*ttoGg</f>
        <v>580.13175000000001</v>
      </c>
      <c r="V86" s="22">
        <f>'Activity data'!V45*EF!$H$149*CtoCO2*ttoGg</f>
        <v>579.7403333333333</v>
      </c>
      <c r="W86" s="22">
        <f>'Activity data'!W45*EF!$H$149*CtoCO2*ttoGg</f>
        <v>266.03683333333333</v>
      </c>
      <c r="X86" s="22">
        <f>'Activity data'!X45*EF!$H$149*CtoCO2*ttoGg</f>
        <v>441.42908333333332</v>
      </c>
      <c r="Y86" s="22">
        <f>'Activity data'!Y45*EF!$H$149*CtoCO2*ttoGg</f>
        <v>521.42108333333329</v>
      </c>
      <c r="Z86" s="22">
        <f>'Activity data'!Z45*EF!$H$149*CtoCO2*ttoGg</f>
        <v>655.32637499999998</v>
      </c>
      <c r="AA86" s="22">
        <f>'Activity data'!AA45*EF!$H$149*CtoCO2*ttoGg</f>
        <v>695.56775237855516</v>
      </c>
      <c r="AB86" s="22">
        <f>'Activity data'!AB45*EF!$H$149*CtoCO2*ttoGg</f>
        <v>653.23730656422072</v>
      </c>
      <c r="AC86" s="22">
        <f>'Activity data'!AC45*EF!$H$149*CtoCO2*ttoGg</f>
        <v>722.61220387104663</v>
      </c>
      <c r="AD86" s="22">
        <f>'Activity data'!AD45*EF!$H$149*CtoCO2*ttoGg</f>
        <v>886.46691832724639</v>
      </c>
      <c r="AE86" s="22">
        <f>'Activity data'!AE45*EF!$H$149*CtoCO2*ttoGg</f>
        <v>888.13007321518489</v>
      </c>
      <c r="AF86" s="22">
        <f>'Activity data'!AF45*EF!$H$149*CtoCO2*ttoGg</f>
        <v>891.76991638156767</v>
      </c>
      <c r="AG86" s="22">
        <f>'Activity data'!AG45*EF!$H$149*CtoCO2*ttoGg</f>
        <v>894.55417134916399</v>
      </c>
      <c r="AH86" s="22">
        <f>'Activity data'!AH45*EF!$H$149*CtoCO2*ttoGg</f>
        <v>896.69837553273305</v>
      </c>
      <c r="AI86" s="22">
        <f>'Activity data'!AI45*EF!$H$149*CtoCO2*ttoGg</f>
        <v>898.17359300359647</v>
      </c>
      <c r="AJ86" s="22">
        <f>'Activity data'!AJ45*EF!$H$149*CtoCO2*ttoGg</f>
        <v>900.46989725432593</v>
      </c>
      <c r="AK86" s="22">
        <f>'Activity data'!AK45*EF!$H$149*CtoCO2*ttoGg</f>
        <v>902.57316140231558</v>
      </c>
      <c r="AL86" s="22">
        <f>'Activity data'!AL45*EF!$H$149*CtoCO2*ttoGg</f>
        <v>904.59790205825095</v>
      </c>
      <c r="AM86" s="22">
        <f>'Activity data'!AM45*EF!$H$149*CtoCO2*ttoGg</f>
        <v>893.14096588919665</v>
      </c>
      <c r="AN86" s="22">
        <f>'Activity data'!AN45*EF!$H$149*CtoCO2*ttoGg</f>
        <v>896.98812675654415</v>
      </c>
      <c r="AO86" s="22">
        <f>'Activity data'!AO45*EF!$H$149*CtoCO2*ttoGg</f>
        <v>900.61918314592731</v>
      </c>
      <c r="AP86" s="22">
        <f>'Activity data'!AP45*EF!$H$149*CtoCO2*ttoGg</f>
        <v>904.27800387898264</v>
      </c>
      <c r="AQ86" s="22">
        <f>'Activity data'!AQ45*EF!$H$149*CtoCO2*ttoGg</f>
        <v>908.13278048853169</v>
      </c>
      <c r="AR86" s="22">
        <f>'Activity data'!AR45*EF!$H$149*CtoCO2*ttoGg</f>
        <v>912.29434692859604</v>
      </c>
      <c r="AS86" s="22">
        <f>'Activity data'!AS45*EF!$H$149*CtoCO2*ttoGg</f>
        <v>916.52179055629131</v>
      </c>
      <c r="AT86" s="22">
        <f>'Activity data'!AT45*EF!$H$149*CtoCO2*ttoGg</f>
        <v>920.92315021200898</v>
      </c>
      <c r="AU86" s="22">
        <f>'Activity data'!AU45*EF!$H$149*CtoCO2*ttoGg</f>
        <v>925.51488926020909</v>
      </c>
      <c r="AV86" s="22">
        <f>'Activity data'!AV45*EF!$H$149*CtoCO2*ttoGg</f>
        <v>930.52126939527659</v>
      </c>
      <c r="AW86" s="22">
        <f>'Activity data'!AW45*EF!$H$149*CtoCO2*ttoGg</f>
        <v>935.40747983360666</v>
      </c>
      <c r="AX86" s="22">
        <f>'Activity data'!AX45*EF!$H$149*CtoCO2*ttoGg</f>
        <v>940.90186450173564</v>
      </c>
      <c r="AY86" s="22">
        <f>'Activity data'!AY45*EF!$H$149*CtoCO2*ttoGg</f>
        <v>946.45147388466739</v>
      </c>
      <c r="AZ86" s="22">
        <f>'Activity data'!AZ45*EF!$H$149*CtoCO2*ttoGg</f>
        <v>952.02869730436089</v>
      </c>
      <c r="BA86" s="22">
        <f>'Activity data'!BA45*EF!$H$149*CtoCO2*ttoGg</f>
        <v>957.60677503932789</v>
      </c>
      <c r="BB86" s="22">
        <f>'Activity data'!BB45*EF!$H$149*CtoCO2*ttoGg</f>
        <v>962.71821835850994</v>
      </c>
      <c r="BC86" s="22">
        <f>'Activity data'!BC45*EF!$H$149*CtoCO2*ttoGg</f>
        <v>967.91492690796179</v>
      </c>
      <c r="BD86" s="22">
        <f>'Activity data'!BD45*EF!$H$149*CtoCO2*ttoGg</f>
        <v>973.32240759346337</v>
      </c>
      <c r="BE86" s="22">
        <f>'Activity data'!BE45*EF!$H$149*CtoCO2*ttoGg</f>
        <v>978.83705834511602</v>
      </c>
      <c r="BF86" s="22">
        <f>'Activity data'!BF45*EF!$H$149*CtoCO2*ttoGg</f>
        <v>984.13561529177809</v>
      </c>
      <c r="BG86" s="22">
        <f>'Activity data'!BG45*EF!$H$149*CtoCO2*ttoGg</f>
        <v>989.39761451907123</v>
      </c>
      <c r="BH86" s="22">
        <f>'Activity data'!BH45*EF!$H$149*CtoCO2*ttoGg</f>
        <v>994.71659544231227</v>
      </c>
      <c r="BI86" s="22">
        <f>'Activity data'!BI45*EF!$H$149*CtoCO2*ttoGg</f>
        <v>1000.1498375580049</v>
      </c>
      <c r="BJ86" s="22">
        <f>'Activity data'!BJ45*EF!$H$149*CtoCO2*ttoGg</f>
        <v>1005.7401262744585</v>
      </c>
      <c r="BK86" s="22">
        <f>'Activity data'!BK45*EF!$H$149*CtoCO2*ttoGg</f>
        <v>1011.4534796507485</v>
      </c>
      <c r="BL86" s="22">
        <f>'Activity data'!BL45*EF!$H$149*CtoCO2*ttoGg</f>
        <v>1017.3845414628061</v>
      </c>
      <c r="BM86" s="22">
        <f>'Activity data'!BM45*EF!$H$149*CtoCO2*ttoGg</f>
        <v>1023.4513496721164</v>
      </c>
      <c r="BN86" s="22">
        <f>'Activity data'!BN45*EF!$H$149*CtoCO2*ttoGg</f>
        <v>1029.6005884210319</v>
      </c>
      <c r="BO86" s="22">
        <f>'Activity data'!BO45*EF!$H$149*CtoCO2*ttoGg</f>
        <v>1035.5741103324806</v>
      </c>
      <c r="BP86" s="22">
        <f>'Activity data'!BP45*EF!$H$149*CtoCO2*ttoGg</f>
        <v>1041.6434767768121</v>
      </c>
    </row>
    <row r="87" spans="1:68" x14ac:dyDescent="0.25">
      <c r="A87" t="str">
        <f>A86</f>
        <v>3C Aggregated and non-CO2 emissions on land</v>
      </c>
      <c r="B87" t="str">
        <f>'IPCC Categories'!B72</f>
        <v>3C3 Urea application (CO2)</v>
      </c>
      <c r="E87" t="s">
        <v>387</v>
      </c>
      <c r="F87" t="s">
        <v>380</v>
      </c>
      <c r="G87" t="s">
        <v>382</v>
      </c>
      <c r="H87" s="22">
        <f>'Activity data'!H46*EF!$H$150*CtoCO2*ttoGg</f>
        <v>90.994567483487728</v>
      </c>
      <c r="I87" s="22">
        <f>'Activity data'!I46*EF!$H$150*CtoCO2*ttoGg</f>
        <v>111.62690198838213</v>
      </c>
      <c r="J87" s="22">
        <f>'Activity data'!J46*EF!$H$150*CtoCO2*ttoGg</f>
        <v>132.25923649327655</v>
      </c>
      <c r="K87" s="22">
        <f>'Activity data'!K46*EF!$H$150*CtoCO2*ttoGg</f>
        <v>152.89157099816552</v>
      </c>
      <c r="L87" s="22">
        <f>'Activity data'!L46*EF!$H$150*CtoCO2*ttoGg</f>
        <v>173.52390550305992</v>
      </c>
      <c r="M87" s="22">
        <f>'Activity data'!M46*EF!$H$150*CtoCO2*ttoGg</f>
        <v>194.15624000795432</v>
      </c>
      <c r="N87" s="22">
        <f>'Activity data'!N46*EF!$H$150*CtoCO2*ttoGg</f>
        <v>214.78857451284878</v>
      </c>
      <c r="O87" s="22">
        <f>'Activity data'!O46*EF!$H$150*CtoCO2*ttoGg</f>
        <v>235.42090901774316</v>
      </c>
      <c r="P87" s="22">
        <f>'Activity data'!P46*EF!$H$150*CtoCO2*ttoGg</f>
        <v>256.05324352263762</v>
      </c>
      <c r="Q87" s="22">
        <f>'Activity data'!Q46*EF!$H$150*CtoCO2*ttoGg</f>
        <v>276.68557802753202</v>
      </c>
      <c r="R87" s="22">
        <f>'Activity data'!R46*EF!$H$150*CtoCO2*ttoGg</f>
        <v>297.31791253242642</v>
      </c>
      <c r="S87" s="22">
        <f>'Activity data'!S46*EF!$H$150*CtoCO2*ttoGg</f>
        <v>317.95024703732088</v>
      </c>
      <c r="T87" s="22">
        <f>'Activity data'!T46*EF!$H$150*CtoCO2*ttoGg</f>
        <v>338.58258154220977</v>
      </c>
      <c r="U87" s="22">
        <f>'Activity data'!U46*EF!$H$150*CtoCO2*ttoGg</f>
        <v>359.21491604710423</v>
      </c>
      <c r="V87" s="22">
        <f>'Activity data'!V46*EF!$H$150*CtoCO2*ttoGg</f>
        <v>435.89846666666671</v>
      </c>
      <c r="W87" s="22">
        <f>'Activity data'!W46*EF!$H$150*CtoCO2*ttoGg</f>
        <v>355.08659999999998</v>
      </c>
      <c r="X87" s="22">
        <f>'Activity data'!X46*EF!$H$150*CtoCO2*ttoGg</f>
        <v>393.08573333333334</v>
      </c>
      <c r="Y87" s="22">
        <f>'Activity data'!Y46*EF!$H$150*CtoCO2*ttoGg</f>
        <v>484.55366666666663</v>
      </c>
      <c r="Z87" s="22">
        <f>'Activity data'!Z46*EF!$H$150*CtoCO2*ttoGg</f>
        <v>480.19253333333336</v>
      </c>
      <c r="AA87" s="22">
        <f>'Activity data'!AA46*EF!$H$150*CtoCO2*ttoGg</f>
        <v>380.54426666666666</v>
      </c>
      <c r="AB87" s="22">
        <f>'Activity data'!AB46*EF!$H$150*CtoCO2*ttoGg</f>
        <v>501.48046666666664</v>
      </c>
      <c r="AC87" s="22">
        <f>'Activity data'!AC46*EF!$H$150*CtoCO2*ttoGg</f>
        <v>571.19113333333337</v>
      </c>
      <c r="AD87" s="22">
        <f>'Activity data'!AD46*EF!$H$150*CtoCO2*ttoGg</f>
        <v>470.0955092083982</v>
      </c>
      <c r="AE87" s="22">
        <f>'Activity data'!AE46*EF!$H$150*CtoCO2*ttoGg</f>
        <v>470.05360463465496</v>
      </c>
      <c r="AF87" s="22">
        <f>'Activity data'!AF46*EF!$H$150*CtoCO2*ttoGg</f>
        <v>469.96189575204556</v>
      </c>
      <c r="AG87" s="22">
        <f>'Activity data'!AG46*EF!$H$150*CtoCO2*ttoGg</f>
        <v>469.89174412728971</v>
      </c>
      <c r="AH87" s="22">
        <f>'Activity data'!AH46*EF!$H$150*CtoCO2*ttoGg</f>
        <v>469.83771911555891</v>
      </c>
      <c r="AI87" s="22">
        <f>'Activity data'!AI46*EF!$H$150*CtoCO2*ttoGg</f>
        <v>469.8005497816963</v>
      </c>
      <c r="AJ87" s="22">
        <f>'Activity data'!AJ46*EF!$H$150*CtoCO2*ttoGg</f>
        <v>469.74269248198868</v>
      </c>
      <c r="AK87" s="22">
        <f>'Activity data'!AK46*EF!$H$150*CtoCO2*ttoGg</f>
        <v>469.68969898858052</v>
      </c>
      <c r="AL87" s="22">
        <f>'Activity data'!AL46*EF!$H$150*CtoCO2*ttoGg</f>
        <v>469.63868396000873</v>
      </c>
      <c r="AM87" s="22">
        <f>'Activity data'!AM46*EF!$H$150*CtoCO2*ttoGg</f>
        <v>469.92735101684696</v>
      </c>
      <c r="AN87" s="22">
        <f>'Activity data'!AN46*EF!$H$150*CtoCO2*ttoGg</f>
        <v>469.83041859194958</v>
      </c>
      <c r="AO87" s="22">
        <f>'Activity data'!AO46*EF!$H$150*CtoCO2*ttoGg</f>
        <v>469.73893109951086</v>
      </c>
      <c r="AP87" s="22">
        <f>'Activity data'!AP46*EF!$H$150*CtoCO2*ttoGg</f>
        <v>469.64674406129018</v>
      </c>
      <c r="AQ87" s="22">
        <f>'Activity data'!AQ46*EF!$H$150*CtoCO2*ttoGg</f>
        <v>469.54961975141981</v>
      </c>
      <c r="AR87" s="22">
        <f>'Activity data'!AR46*EF!$H$150*CtoCO2*ttoGg</f>
        <v>469.44476561604154</v>
      </c>
      <c r="AS87" s="22">
        <f>'Activity data'!AS46*EF!$H$150*CtoCO2*ttoGg</f>
        <v>469.33825165000826</v>
      </c>
      <c r="AT87" s="22">
        <f>'Activity data'!AT46*EF!$H$150*CtoCO2*ttoGg</f>
        <v>469.22735572467934</v>
      </c>
      <c r="AU87" s="22">
        <f>'Activity data'!AU46*EF!$H$150*CtoCO2*ttoGg</f>
        <v>469.11166303186383</v>
      </c>
      <c r="AV87" s="22">
        <f>'Activity data'!AV46*EF!$H$150*CtoCO2*ttoGg</f>
        <v>468.98552311123592</v>
      </c>
      <c r="AW87" s="22">
        <f>'Activity data'!AW46*EF!$H$150*CtoCO2*ttoGg</f>
        <v>468.86241096628623</v>
      </c>
      <c r="AX87" s="22">
        <f>'Activity data'!AX46*EF!$H$150*CtoCO2*ttoGg</f>
        <v>468.72397536466616</v>
      </c>
      <c r="AY87" s="22">
        <f>'Activity data'!AY46*EF!$H$150*CtoCO2*ttoGg</f>
        <v>468.58414833032333</v>
      </c>
      <c r="AZ87" s="22">
        <f>'Activity data'!AZ46*EF!$H$150*CtoCO2*ttoGg</f>
        <v>468.4436255373065</v>
      </c>
      <c r="BA87" s="22">
        <f>'Activity data'!BA46*EF!$H$150*CtoCO2*ttoGg</f>
        <v>468.30308121910412</v>
      </c>
      <c r="BB87" s="22">
        <f>'Activity data'!BB46*EF!$H$150*CtoCO2*ttoGg</f>
        <v>468.17429414397589</v>
      </c>
      <c r="BC87" s="22">
        <f>'Activity data'!BC46*EF!$H$150*CtoCO2*ttoGg</f>
        <v>468.04335874029715</v>
      </c>
      <c r="BD87" s="22">
        <f>'Activity data'!BD46*EF!$H$150*CtoCO2*ttoGg</f>
        <v>467.90711275695918</v>
      </c>
      <c r="BE87" s="22">
        <f>'Activity data'!BE46*EF!$H$150*CtoCO2*ttoGg</f>
        <v>467.76816653447167</v>
      </c>
      <c r="BF87" s="22">
        <f>'Activity data'!BF46*EF!$H$150*CtoCO2*ttoGg</f>
        <v>467.63466497552838</v>
      </c>
      <c r="BG87" s="22">
        <f>'Activity data'!BG46*EF!$H$150*CtoCO2*ttoGg</f>
        <v>467.50208451879763</v>
      </c>
      <c r="BH87" s="22">
        <f>'Activity data'!BH46*EF!$H$150*CtoCO2*ttoGg</f>
        <v>467.36806836073987</v>
      </c>
      <c r="BI87" s="22">
        <f>'Activity data'!BI46*EF!$H$150*CtoCO2*ttoGg</f>
        <v>467.23117329669452</v>
      </c>
      <c r="BJ87" s="22">
        <f>'Activity data'!BJ46*EF!$H$150*CtoCO2*ttoGg</f>
        <v>467.0903213126349</v>
      </c>
      <c r="BK87" s="22">
        <f>'Activity data'!BK46*EF!$H$150*CtoCO2*ttoGg</f>
        <v>466.94636861188889</v>
      </c>
      <c r="BL87" s="22">
        <f>'Activity data'!BL46*EF!$H$150*CtoCO2*ttoGg</f>
        <v>466.79693056563036</v>
      </c>
      <c r="BM87" s="22">
        <f>'Activity data'!BM46*EF!$H$150*CtoCO2*ttoGg</f>
        <v>466.64407227574009</v>
      </c>
      <c r="BN87" s="22">
        <f>'Activity data'!BN46*EF!$H$150*CtoCO2*ttoGg</f>
        <v>466.48913707969359</v>
      </c>
      <c r="BO87" s="22">
        <f>'Activity data'!BO46*EF!$H$150*CtoCO2*ttoGg</f>
        <v>466.3386292158379</v>
      </c>
      <c r="BP87" s="22">
        <f>'Activity data'!BP46*EF!$H$150*CtoCO2*ttoGg</f>
        <v>466.18570646908381</v>
      </c>
    </row>
    <row r="88" spans="1:68" x14ac:dyDescent="0.25">
      <c r="A88" t="str">
        <f>A87</f>
        <v>3C Aggregated and non-CO2 emissions on land</v>
      </c>
      <c r="B88" t="str">
        <f>'IPCC Categories'!B73</f>
        <v>3C4 Direct N2O from managed soils (N2O)</v>
      </c>
      <c r="E88" t="s">
        <v>419</v>
      </c>
      <c r="F88" t="s">
        <v>139</v>
      </c>
      <c r="G88" t="s">
        <v>287</v>
      </c>
      <c r="H88" s="22">
        <f>'Activity data'!H47*ttokg*SNEF*NtoN2O*kgtoGg</f>
        <v>5.4008271428571426</v>
      </c>
      <c r="I88" s="22">
        <f>'Activity data'!I47*ttokg*SNEF*NtoN2O*kgtoGg</f>
        <v>5.7362642857142854</v>
      </c>
      <c r="J88" s="22">
        <f>'Activity data'!J47*ttokg*SNEF*NtoN2O*kgtoGg</f>
        <v>5.4611071428571423</v>
      </c>
      <c r="K88" s="22">
        <f>'Activity data'!K47*ttokg*SNEF*NtoN2O*kgtoGg</f>
        <v>6.4186414285714282</v>
      </c>
      <c r="L88" s="22">
        <f>'Activity data'!L47*ttokg*SNEF*NtoN2O*kgtoGg</f>
        <v>5.8938942857142855</v>
      </c>
      <c r="M88" s="22">
        <f>'Activity data'!M47*ttokg*SNEF*NtoN2O*kgtoGg</f>
        <v>5.8377157142857143</v>
      </c>
      <c r="N88" s="22">
        <f>'Activity data'!N47*ttokg*SNEF*NtoN2O*kgtoGg</f>
        <v>6.5227485714285702</v>
      </c>
      <c r="O88" s="22">
        <f>'Activity data'!O47*ttokg*SNEF*NtoN2O*kgtoGg</f>
        <v>6.3943628571428572</v>
      </c>
      <c r="P88" s="22">
        <f>'Activity data'!P47*ttokg*SNEF*NtoN2O*kgtoGg</f>
        <v>6.5296157142857139</v>
      </c>
      <c r="Q88" s="22">
        <f>'Activity data'!Q47*ttokg*SNEF*NtoN2O*kgtoGg</f>
        <v>6.4907071428571426</v>
      </c>
      <c r="R88" s="22">
        <f>'Activity data'!R47*ttokg*SNEF*NtoN2O*kgtoGg</f>
        <v>6.5360899999999997</v>
      </c>
      <c r="S88" s="22">
        <f>'Activity data'!S47*ttokg*SNEF*NtoN2O*kgtoGg</f>
        <v>6.219918571428571</v>
      </c>
      <c r="T88" s="22">
        <f>'Activity data'!T47*ttokg*SNEF*NtoN2O*kgtoGg</f>
        <v>7.4968457142857146</v>
      </c>
      <c r="U88" s="22">
        <f>'Activity data'!U47*ttokg*SNEF*NtoN2O*kgtoGg</f>
        <v>6.6129957142857139</v>
      </c>
      <c r="V88" s="22">
        <f>'Activity data'!V47*ttokg*SNEF*NtoN2O*kgtoGg</f>
        <v>6.7189728571428571</v>
      </c>
      <c r="W88" s="22">
        <f>'Activity data'!W47*ttokg*SNEF*NtoN2O*kgtoGg</f>
        <v>5.4569428571428569</v>
      </c>
      <c r="X88" s="22">
        <f>'Activity data'!X47*ttokg*SNEF*NtoN2O*kgtoGg</f>
        <v>6.7370128571428571</v>
      </c>
      <c r="Y88" s="22">
        <f>'Activity data'!Y47*ttokg*SNEF*NtoN2O*kgtoGg</f>
        <v>6.9061142857142848</v>
      </c>
      <c r="Z88" s="22">
        <f>'Activity data'!Z47*ttokg*SNEF*NtoN2O*kgtoGg</f>
        <v>6.66479</v>
      </c>
      <c r="AA88" s="22">
        <f>'Activity data'!AA47*ttokg*SNEF*NtoN2O*kgtoGg</f>
        <v>7.1307814285714279</v>
      </c>
      <c r="AB88" s="22">
        <f>'Activity data'!AB47*ttokg*SNEF*NtoN2O*kgtoGg</f>
        <v>6.2071428571428573</v>
      </c>
      <c r="AC88" s="22">
        <f>'Activity data'!AC47*ttokg*SNEF*NtoN2O*kgtoGg</f>
        <v>6.5842857142857145</v>
      </c>
      <c r="AD88" s="22">
        <f>'Activity data'!AD47*ttokg*SNEF*NtoN2O*kgtoGg</f>
        <v>6.6064812063358538</v>
      </c>
      <c r="AE88" s="22">
        <f>'Activity data'!AE47*ttokg*SNEF*NtoN2O*kgtoGg</f>
        <v>6.6058207390899382</v>
      </c>
      <c r="AF88" s="22">
        <f>'Activity data'!AF47*ttokg*SNEF*NtoN2O*kgtoGg</f>
        <v>6.6043752951273245</v>
      </c>
      <c r="AG88" s="22">
        <f>'Activity data'!AG47*ttokg*SNEF*NtoN2O*kgtoGg</f>
        <v>6.6032696198689882</v>
      </c>
      <c r="AH88" s="22">
        <f>'Activity data'!AH47*ttokg*SNEF*NtoN2O*kgtoGg</f>
        <v>6.6024181197218441</v>
      </c>
      <c r="AI88" s="22">
        <f>'Activity data'!AI47*ttokg*SNEF*NtoN2O*kgtoGg</f>
        <v>6.6018322856379754</v>
      </c>
      <c r="AJ88" s="22">
        <f>'Activity data'!AJ47*ttokg*SNEF*NtoN2O*kgtoGg</f>
        <v>6.6009203839532553</v>
      </c>
      <c r="AK88" s="22">
        <f>'Activity data'!AK47*ttokg*SNEF*NtoN2O*kgtoGg</f>
        <v>6.600085141794314</v>
      </c>
      <c r="AL88" s="22">
        <f>'Activity data'!AL47*ttokg*SNEF*NtoN2O*kgtoGg</f>
        <v>6.5992810826568169</v>
      </c>
      <c r="AM88" s="22">
        <f>'Activity data'!AM47*ttokg*SNEF*NtoN2O*kgtoGg</f>
        <v>6.6038308279229243</v>
      </c>
      <c r="AN88" s="22">
        <f>'Activity data'!AN47*ttokg*SNEF*NtoN2O*kgtoGg</f>
        <v>6.6023030545561276</v>
      </c>
      <c r="AO88" s="22">
        <f>'Activity data'!AO47*ttokg*SNEF*NtoN2O*kgtoGg</f>
        <v>6.6008610999729127</v>
      </c>
      <c r="AP88" s="22">
        <f>'Activity data'!AP47*ttokg*SNEF*NtoN2O*kgtoGg</f>
        <v>6.5994081196940577</v>
      </c>
      <c r="AQ88" s="22">
        <f>'Activity data'!AQ47*ttokg*SNEF*NtoN2O*kgtoGg</f>
        <v>6.597877321985802</v>
      </c>
      <c r="AR88" s="22">
        <f>'Activity data'!AR47*ttokg*SNEF*NtoN2O*kgtoGg</f>
        <v>6.5962246927897521</v>
      </c>
      <c r="AS88" s="22">
        <f>'Activity data'!AS47*ttokg*SNEF*NtoN2O*kgtoGg</f>
        <v>6.5945459026359927</v>
      </c>
      <c r="AT88" s="22">
        <f>'Activity data'!AT47*ttokg*SNEF*NtoN2O*kgtoGg</f>
        <v>6.592798047453547</v>
      </c>
      <c r="AU88" s="22">
        <f>'Activity data'!AU47*ttokg*SNEF*NtoN2O*kgtoGg</f>
        <v>6.5909745893588623</v>
      </c>
      <c r="AV88" s="22">
        <f>'Activity data'!AV47*ttokg*SNEF*NtoN2O*kgtoGg</f>
        <v>6.5889864701982281</v>
      </c>
      <c r="AW88" s="22">
        <f>'Activity data'!AW47*ttokg*SNEF*NtoN2O*kgtoGg</f>
        <v>6.587046072479068</v>
      </c>
      <c r="AX88" s="22">
        <f>'Activity data'!AX47*ttokg*SNEF*NtoN2O*kgtoGg</f>
        <v>6.5848641583734873</v>
      </c>
      <c r="AY88" s="22">
        <f>'Activity data'!AY47*ttokg*SNEF*NtoN2O*kgtoGg</f>
        <v>6.5826603135893169</v>
      </c>
      <c r="AZ88" s="22">
        <f>'Activity data'!AZ47*ttokg*SNEF*NtoN2O*kgtoGg</f>
        <v>6.5804455027989484</v>
      </c>
      <c r="BA88" s="22">
        <f>'Activity data'!BA47*ttokg*SNEF*NtoN2O*kgtoGg</f>
        <v>6.5782303527453765</v>
      </c>
      <c r="BB88" s="22">
        <f>'Activity data'!BB47*ttokg*SNEF*NtoN2O*kgtoGg</f>
        <v>6.5762005111977526</v>
      </c>
      <c r="BC88" s="22">
        <f>'Activity data'!BC47*ttokg*SNEF*NtoN2O*kgtoGg</f>
        <v>6.5741368093691541</v>
      </c>
      <c r="BD88" s="22">
        <f>'Activity data'!BD47*ttokg*SNEF*NtoN2O*kgtoGg</f>
        <v>6.5719894063211308</v>
      </c>
      <c r="BE88" s="22">
        <f>'Activity data'!BE47*ttokg*SNEF*NtoN2O*kgtoGg</f>
        <v>6.5697994442072352</v>
      </c>
      <c r="BF88" s="22">
        <f>'Activity data'!BF47*ttokg*SNEF*NtoN2O*kgtoGg</f>
        <v>6.5676952966384965</v>
      </c>
      <c r="BG88" s="22">
        <f>'Activity data'!BG47*ttokg*SNEF*NtoN2O*kgtoGg</f>
        <v>6.5656056667652596</v>
      </c>
      <c r="BH88" s="22">
        <f>'Activity data'!BH47*ttokg*SNEF*NtoN2O*kgtoGg</f>
        <v>6.563493408486174</v>
      </c>
      <c r="BI88" s="22">
        <f>'Activity data'!BI47*ttokg*SNEF*NtoN2O*kgtoGg</f>
        <v>6.5613357751337027</v>
      </c>
      <c r="BJ88" s="22">
        <f>'Activity data'!BJ47*ttokg*SNEF*NtoN2O*kgtoGg</f>
        <v>6.5591157758905743</v>
      </c>
      <c r="BK88" s="22">
        <f>'Activity data'!BK47*ttokg*SNEF*NtoN2O*kgtoGg</f>
        <v>6.5568469055666228</v>
      </c>
      <c r="BL88" s="22">
        <f>'Activity data'!BL47*ttokg*SNEF*NtoN2O*kgtoGg</f>
        <v>6.5544915795000183</v>
      </c>
      <c r="BM88" s="22">
        <f>'Activity data'!BM47*ttokg*SNEF*NtoN2O*kgtoGg</f>
        <v>6.5520823462178042</v>
      </c>
      <c r="BN88" s="22">
        <f>'Activity data'!BN47*ttokg*SNEF*NtoN2O*kgtoGg</f>
        <v>6.5496403783587525</v>
      </c>
      <c r="BO88" s="22">
        <f>'Activity data'!BO47*ttokg*SNEF*NtoN2O*kgtoGg</f>
        <v>6.5472681906606116</v>
      </c>
      <c r="BP88" s="22">
        <f>'Activity data'!BP47*ttokg*SNEF*NtoN2O*kgtoGg</f>
        <v>6.544857941459524</v>
      </c>
    </row>
    <row r="89" spans="1:68" x14ac:dyDescent="0.25">
      <c r="A89" t="str">
        <f t="shared" ref="A89:A138" si="29">A88</f>
        <v>3C Aggregated and non-CO2 emissions on land</v>
      </c>
      <c r="B89" t="str">
        <f>B88</f>
        <v>3C4 Direct N2O from managed soils (N2O)</v>
      </c>
      <c r="E89" t="s">
        <v>420</v>
      </c>
      <c r="F89" t="str">
        <f>F88</f>
        <v>N2O</v>
      </c>
      <c r="G89" t="str">
        <f>G88</f>
        <v>Gg N2O</v>
      </c>
      <c r="H89" s="22">
        <f>'Activity data'!H48*ttokg*ONEF*NtoN2O*kgtoGg</f>
        <v>3.5645459142857133E-2</v>
      </c>
      <c r="I89" s="22">
        <f>'Activity data'!I48*ttokg*ONEF*NtoN2O*kgtoGg</f>
        <v>3.7859344285714289E-2</v>
      </c>
      <c r="J89" s="22">
        <f>'Activity data'!J48*ttokg*ONEF*NtoN2O*kgtoGg</f>
        <v>3.6043307142857146E-2</v>
      </c>
      <c r="K89" s="22">
        <f>'Activity data'!K48*ttokg*ONEF*NtoN2O*kgtoGg</f>
        <v>4.236303342857143E-2</v>
      </c>
      <c r="L89" s="22">
        <f>'Activity data'!L48*ttokg*ONEF*NtoN2O*kgtoGg</f>
        <v>3.8899702285714287E-2</v>
      </c>
      <c r="M89" s="22">
        <f>'Activity data'!M48*ttokg*ONEF*NtoN2O*kgtoGg</f>
        <v>3.8528923714285714E-2</v>
      </c>
      <c r="N89" s="22">
        <f>'Activity data'!N48*ttokg*ONEF*NtoN2O*kgtoGg</f>
        <v>4.3050140571428579E-2</v>
      </c>
      <c r="O89" s="22">
        <f>'Activity data'!O48*ttokg*ONEF*NtoN2O*kgtoGg</f>
        <v>4.2202794857142865E-2</v>
      </c>
      <c r="P89" s="22">
        <f>'Activity data'!P48*ttokg*ONEF*NtoN2O*kgtoGg</f>
        <v>4.3095463714285728E-2</v>
      </c>
      <c r="Q89" s="22">
        <f>'Activity data'!Q48*ttokg*ONEF*NtoN2O*kgtoGg</f>
        <v>4.283866714285714E-2</v>
      </c>
      <c r="R89" s="22">
        <f>'Activity data'!R48*ttokg*ONEF*NtoN2O*kgtoGg</f>
        <v>4.3138194000000012E-2</v>
      </c>
      <c r="S89" s="22">
        <f>'Activity data'!S48*ttokg*ONEF*NtoN2O*kgtoGg</f>
        <v>4.1051462571428568E-2</v>
      </c>
      <c r="T89" s="22">
        <f>'Activity data'!T48*ttokg*ONEF*NtoN2O*kgtoGg</f>
        <v>4.9479181714285725E-2</v>
      </c>
      <c r="U89" s="22">
        <f>'Activity data'!U48*ttokg*ONEF*NtoN2O*kgtoGg</f>
        <v>4.3645771714285735E-2</v>
      </c>
      <c r="V89" s="22">
        <f>'Activity data'!V48*ttokg*ONEF*NtoN2O*kgtoGg</f>
        <v>4.4345220857142861E-2</v>
      </c>
      <c r="W89" s="22">
        <f>'Activity data'!W48*ttokg*ONEF*NtoN2O*kgtoGg</f>
        <v>3.6015822857142853E-2</v>
      </c>
      <c r="X89" s="22">
        <f>'Activity data'!X48*ttokg*ONEF*NtoN2O*kgtoGg</f>
        <v>4.4464284857142863E-2</v>
      </c>
      <c r="Y89" s="22">
        <f>'Activity data'!Y48*ttokg*ONEF*NtoN2O*kgtoGg</f>
        <v>4.5580354285714282E-2</v>
      </c>
      <c r="Z89" s="22">
        <f>'Activity data'!Z48*ttokg*ONEF*NtoN2O*kgtoGg</f>
        <v>4.3987614000000001E-2</v>
      </c>
      <c r="AA89" s="22">
        <f>'Activity data'!AA48*ttokg*ONEF*NtoN2O*kgtoGg</f>
        <v>4.706315742857143E-2</v>
      </c>
      <c r="AB89" s="22">
        <f>'Activity data'!AB48*ttokg*ONEF*NtoN2O*kgtoGg</f>
        <v>4.0967142857142855E-2</v>
      </c>
      <c r="AC89" s="22">
        <f>'Activity data'!AC48*ttokg*ONEF*NtoN2O*kgtoGg</f>
        <v>4.3456285714285711E-2</v>
      </c>
      <c r="AD89" s="22">
        <f>'Activity data'!AD48*ttokg*ONEF*NtoN2O*kgtoGg</f>
        <v>4.3602775961816637E-2</v>
      </c>
      <c r="AE89" s="22">
        <f>'Activity data'!AE48*ttokg*ONEF*NtoN2O*kgtoGg</f>
        <v>4.3598416877993609E-2</v>
      </c>
      <c r="AF89" s="22">
        <f>'Activity data'!AF48*ttokg*ONEF*NtoN2O*kgtoGg</f>
        <v>4.3588876947840346E-2</v>
      </c>
      <c r="AG89" s="22">
        <f>'Activity data'!AG48*ttokg*ONEF*NtoN2O*kgtoGg</f>
        <v>4.3581579491135322E-2</v>
      </c>
      <c r="AH89" s="22">
        <f>'Activity data'!AH48*ttokg*ONEF*NtoN2O*kgtoGg</f>
        <v>4.3575959590164179E-2</v>
      </c>
      <c r="AI89" s="22">
        <f>'Activity data'!AI48*ttokg*ONEF*NtoN2O*kgtoGg</f>
        <v>4.3572093085210636E-2</v>
      </c>
      <c r="AJ89" s="22">
        <f>'Activity data'!AJ48*ttokg*ONEF*NtoN2O*kgtoGg</f>
        <v>4.356607453409149E-2</v>
      </c>
      <c r="AK89" s="22">
        <f>'Activity data'!AK48*ttokg*ONEF*NtoN2O*kgtoGg</f>
        <v>4.3560561935842478E-2</v>
      </c>
      <c r="AL89" s="22">
        <f>'Activity data'!AL48*ttokg*ONEF*NtoN2O*kgtoGg</f>
        <v>4.3555255145535009E-2</v>
      </c>
      <c r="AM89" s="22">
        <f>'Activity data'!AM48*ttokg*ONEF*NtoN2O*kgtoGg</f>
        <v>4.3585283464291316E-2</v>
      </c>
      <c r="AN89" s="22">
        <f>'Activity data'!AN48*ttokg*ONEF*NtoN2O*kgtoGg</f>
        <v>4.3575200160070458E-2</v>
      </c>
      <c r="AO89" s="22">
        <f>'Activity data'!AO48*ttokg*ONEF*NtoN2O*kgtoGg</f>
        <v>4.3565683259821242E-2</v>
      </c>
      <c r="AP89" s="22">
        <f>'Activity data'!AP48*ttokg*ONEF*NtoN2O*kgtoGg</f>
        <v>4.3556093589980784E-2</v>
      </c>
      <c r="AQ89" s="22">
        <f>'Activity data'!AQ48*ttokg*ONEF*NtoN2O*kgtoGg</f>
        <v>4.3545990325106303E-2</v>
      </c>
      <c r="AR89" s="22">
        <f>'Activity data'!AR48*ttokg*ONEF*NtoN2O*kgtoGg</f>
        <v>4.3535082972412376E-2</v>
      </c>
      <c r="AS89" s="22">
        <f>'Activity data'!AS48*ttokg*ONEF*NtoN2O*kgtoGg</f>
        <v>4.3524002957397563E-2</v>
      </c>
      <c r="AT89" s="22">
        <f>'Activity data'!AT48*ttokg*ONEF*NtoN2O*kgtoGg</f>
        <v>4.3512467113193419E-2</v>
      </c>
      <c r="AU89" s="22">
        <f>'Activity data'!AU48*ttokg*ONEF*NtoN2O*kgtoGg</f>
        <v>4.3500432289768506E-2</v>
      </c>
      <c r="AV89" s="22">
        <f>'Activity data'!AV48*ttokg*ONEF*NtoN2O*kgtoGg</f>
        <v>4.3487310703308302E-2</v>
      </c>
      <c r="AW89" s="22">
        <f>'Activity data'!AW48*ttokg*ONEF*NtoN2O*kgtoGg</f>
        <v>4.3474504078361856E-2</v>
      </c>
      <c r="AX89" s="22">
        <f>'Activity data'!AX48*ttokg*ONEF*NtoN2O*kgtoGg</f>
        <v>4.3460103445265026E-2</v>
      </c>
      <c r="AY89" s="22">
        <f>'Activity data'!AY48*ttokg*ONEF*NtoN2O*kgtoGg</f>
        <v>4.3445558069689506E-2</v>
      </c>
      <c r="AZ89" s="22">
        <f>'Activity data'!AZ48*ttokg*ONEF*NtoN2O*kgtoGg</f>
        <v>4.3430940318473076E-2</v>
      </c>
      <c r="BA89" s="22">
        <f>'Activity data'!BA48*ttokg*ONEF*NtoN2O*kgtoGg</f>
        <v>4.3416320328119491E-2</v>
      </c>
      <c r="BB89" s="22">
        <f>'Activity data'!BB48*ttokg*ONEF*NtoN2O*kgtoGg</f>
        <v>4.3402923373905174E-2</v>
      </c>
      <c r="BC89" s="22">
        <f>'Activity data'!BC48*ttokg*ONEF*NtoN2O*kgtoGg</f>
        <v>4.338930294183644E-2</v>
      </c>
      <c r="BD89" s="22">
        <f>'Activity data'!BD48*ttokg*ONEF*NtoN2O*kgtoGg</f>
        <v>4.3375130081719469E-2</v>
      </c>
      <c r="BE89" s="22">
        <f>'Activity data'!BE48*ttokg*ONEF*NtoN2O*kgtoGg</f>
        <v>4.3360676331767753E-2</v>
      </c>
      <c r="BF89" s="22">
        <f>'Activity data'!BF48*ttokg*ONEF*NtoN2O*kgtoGg</f>
        <v>4.3346788957814089E-2</v>
      </c>
      <c r="BG89" s="22">
        <f>'Activity data'!BG48*ttokg*ONEF*NtoN2O*kgtoGg</f>
        <v>4.3332997400650719E-2</v>
      </c>
      <c r="BH89" s="22">
        <f>'Activity data'!BH48*ttokg*ONEF*NtoN2O*kgtoGg</f>
        <v>4.3319056496008757E-2</v>
      </c>
      <c r="BI89" s="22">
        <f>'Activity data'!BI48*ttokg*ONEF*NtoN2O*kgtoGg</f>
        <v>4.3304816115882452E-2</v>
      </c>
      <c r="BJ89" s="22">
        <f>'Activity data'!BJ48*ttokg*ONEF*NtoN2O*kgtoGg</f>
        <v>4.32901641208778E-2</v>
      </c>
      <c r="BK89" s="22">
        <f>'Activity data'!BK48*ttokg*ONEF*NtoN2O*kgtoGg</f>
        <v>4.3275189576739724E-2</v>
      </c>
      <c r="BL89" s="22">
        <f>'Activity data'!BL48*ttokg*ONEF*NtoN2O*kgtoGg</f>
        <v>4.3259644424700136E-2</v>
      </c>
      <c r="BM89" s="22">
        <f>'Activity data'!BM48*ttokg*ONEF*NtoN2O*kgtoGg</f>
        <v>4.3243743485037525E-2</v>
      </c>
      <c r="BN89" s="22">
        <f>'Activity data'!BN48*ttokg*ONEF*NtoN2O*kgtoGg</f>
        <v>4.3227626497167763E-2</v>
      </c>
      <c r="BO89" s="22">
        <f>'Activity data'!BO48*ttokg*ONEF*NtoN2O*kgtoGg</f>
        <v>4.3211970058360048E-2</v>
      </c>
      <c r="BP89" s="22">
        <f>'Activity data'!BP48*ttokg*ONEF*NtoN2O*kgtoGg</f>
        <v>4.3196062413632857E-2</v>
      </c>
    </row>
    <row r="90" spans="1:68" x14ac:dyDescent="0.25">
      <c r="A90" t="str">
        <f t="shared" ref="A90" si="30">A89</f>
        <v>3C Aggregated and non-CO2 emissions on land</v>
      </c>
      <c r="B90" t="str">
        <f>B89</f>
        <v>3C4 Direct N2O from managed soils (N2O)</v>
      </c>
      <c r="E90" t="s">
        <v>58</v>
      </c>
      <c r="F90" t="str">
        <f>F89</f>
        <v>N2O</v>
      </c>
      <c r="G90" t="str">
        <f>G89</f>
        <v>Gg N2O</v>
      </c>
      <c r="H90" s="22">
        <f>'Activity data'!H85*CREF*NtoN2O*kgtoGg</f>
        <v>4.7572664246993837</v>
      </c>
      <c r="I90" s="22">
        <f>'Activity data'!I85*CREF*NtoN2O*kgtoGg</f>
        <v>4.2403582737669279</v>
      </c>
      <c r="J90" s="22">
        <f>'Activity data'!J85*CREF*NtoN2O*kgtoGg</f>
        <v>4.4153625132445411</v>
      </c>
      <c r="K90" s="22">
        <f>'Activity data'!K85*CREF*NtoN2O*kgtoGg</f>
        <v>4.7418888374800598</v>
      </c>
      <c r="L90" s="22">
        <f>'Activity data'!L85*CREF*NtoN2O*kgtoGg</f>
        <v>5.0009128268356475</v>
      </c>
      <c r="M90" s="22">
        <f>'Activity data'!M85*CREF*NtoN2O*kgtoGg</f>
        <v>3.8892379277011866</v>
      </c>
      <c r="N90" s="22">
        <f>'Activity data'!N85*CREF*NtoN2O*kgtoGg</f>
        <v>4.2839264832658595</v>
      </c>
      <c r="O90" s="22">
        <f>'Activity data'!O85*CREF*NtoN2O*kgtoGg</f>
        <v>4.5049773321420563</v>
      </c>
      <c r="P90" s="22">
        <f>'Activity data'!P85*CREF*NtoN2O*kgtoGg</f>
        <v>3.9255738498283432</v>
      </c>
      <c r="Q90" s="22">
        <f>'Activity data'!Q85*CREF*NtoN2O*kgtoGg</f>
        <v>3.8953932469931241</v>
      </c>
      <c r="R90" s="22">
        <f>'Activity data'!R85*CREF*NtoN2O*kgtoGg</f>
        <v>4.4710787977237265</v>
      </c>
      <c r="S90" s="22">
        <f>'Activity data'!S85*CREF*NtoN2O*kgtoGg</f>
        <v>3.6519029734228816</v>
      </c>
      <c r="T90" s="22">
        <f>'Activity data'!T85*CREF*NtoN2O*kgtoGg</f>
        <v>3.982993252892217</v>
      </c>
      <c r="U90" s="22">
        <f>'Activity data'!U85*CREF*NtoN2O*kgtoGg</f>
        <v>3.9301610630705248</v>
      </c>
      <c r="V90" s="22">
        <f>'Activity data'!V85*CREF*NtoN2O*kgtoGg</f>
        <v>3.5144884547415667</v>
      </c>
      <c r="W90" s="22">
        <f>'Activity data'!W85*CREF*NtoN2O*kgtoGg</f>
        <v>3.5698504074879742</v>
      </c>
      <c r="X90" s="22">
        <f>'Activity data'!X85*CREF*NtoN2O*kgtoGg</f>
        <v>2.4003352875845994</v>
      </c>
      <c r="Y90" s="22">
        <f>'Activity data'!Y85*CREF*NtoN2O*kgtoGg</f>
        <v>3.2539877539471691</v>
      </c>
      <c r="Z90" s="22">
        <f>'Activity data'!Z85*CREF*NtoN2O*kgtoGg</f>
        <v>3.7163492663367288</v>
      </c>
      <c r="AA90" s="22">
        <f>'Activity data'!AA85*CREF*NtoN2O*kgtoGg</f>
        <v>3.3020035495326421</v>
      </c>
      <c r="AB90" s="22">
        <f>'Activity data'!AB85*CREF*NtoN2O*kgtoGg</f>
        <v>3.605306989206821</v>
      </c>
      <c r="AC90" s="22">
        <f>'Activity data'!AC85*CREF*NtoN2O*kgtoGg</f>
        <v>3.3383236984964055</v>
      </c>
      <c r="AD90" s="22">
        <f>'Activity data'!AD85*CREF*NtoN2O*kgtoGg</f>
        <v>2.94930909510781</v>
      </c>
      <c r="AE90" s="22">
        <f>'Activity data'!AE85*CREF*NtoN2O*kgtoGg</f>
        <v>2.9542398709530726</v>
      </c>
      <c r="AF90" s="22">
        <f>'Activity data'!AF85*CREF*NtoN2O*kgtoGg</f>
        <v>2.965030958960269</v>
      </c>
      <c r="AG90" s="22">
        <f>'Activity data'!AG85*CREF*NtoN2O*kgtoGg</f>
        <v>2.9732854740633656</v>
      </c>
      <c r="AH90" s="22">
        <f>'Activity data'!AH85*CREF*NtoN2O*kgtoGg</f>
        <v>2.9796424226989546</v>
      </c>
      <c r="AI90" s="22">
        <f>'Activity data'!AI85*CREF*NtoN2O*kgtoGg</f>
        <v>2.9840160181617672</v>
      </c>
      <c r="AJ90" s="22">
        <f>'Activity data'!AJ85*CREF*NtoN2O*kgtoGg</f>
        <v>2.9908238997457284</v>
      </c>
      <c r="AK90" s="22">
        <f>'Activity data'!AK85*CREF*NtoN2O*kgtoGg</f>
        <v>2.9970594729520035</v>
      </c>
      <c r="AL90" s="22">
        <f>'Activity data'!AL85*CREF*NtoN2O*kgtoGg</f>
        <v>3.0030622465911945</v>
      </c>
      <c r="AM90" s="22">
        <f>'Activity data'!AM85*CREF*NtoN2O*kgtoGg</f>
        <v>2.9690957263754418</v>
      </c>
      <c r="AN90" s="22">
        <f>'Activity data'!AN85*CREF*NtoN2O*kgtoGg</f>
        <v>2.9805014517321879</v>
      </c>
      <c r="AO90" s="22">
        <f>'Activity data'!AO85*CREF*NtoN2O*kgtoGg</f>
        <v>2.9912664894730492</v>
      </c>
      <c r="AP90" s="22">
        <f>'Activity data'!AP85*CREF*NtoN2O*kgtoGg</f>
        <v>3.0021138405066377</v>
      </c>
      <c r="AQ90" s="22">
        <f>'Activity data'!AQ85*CREF*NtoN2O*kgtoGg</f>
        <v>3.013542144348385</v>
      </c>
      <c r="AR90" s="22">
        <f>'Activity data'!AR85*CREF*NtoN2O*kgtoGg</f>
        <v>3.0258799917911814</v>
      </c>
      <c r="AS90" s="22">
        <f>'Activity data'!AS85*CREF*NtoN2O*kgtoGg</f>
        <v>3.0384131461460875</v>
      </c>
      <c r="AT90" s="22">
        <f>'Activity data'!AT85*CREF*NtoN2O*kgtoGg</f>
        <v>3.051461911498079</v>
      </c>
      <c r="AU90" s="22">
        <f>'Activity data'!AU85*CREF*NtoN2O*kgtoGg</f>
        <v>3.0650750969871821</v>
      </c>
      <c r="AV90" s="22">
        <f>'Activity data'!AV85*CREF*NtoN2O*kgtoGg</f>
        <v>3.0799175740295892</v>
      </c>
      <c r="AW90" s="22">
        <f>'Activity data'!AW85*CREF*NtoN2O*kgtoGg</f>
        <v>3.0944037824873303</v>
      </c>
      <c r="AX90" s="22">
        <f>'Activity data'!AX85*CREF*NtoN2O*kgtoGg</f>
        <v>3.1106930525984096</v>
      </c>
      <c r="AY90" s="22">
        <f>'Activity data'!AY85*CREF*NtoN2O*kgtoGg</f>
        <v>3.12714604810379</v>
      </c>
      <c r="AZ90" s="22">
        <f>'Activity data'!AZ85*CREF*NtoN2O*kgtoGg</f>
        <v>3.1436809112851423</v>
      </c>
      <c r="BA90" s="22">
        <f>'Activity data'!BA85*CREF*NtoN2O*kgtoGg</f>
        <v>3.1602183072655401</v>
      </c>
      <c r="BB90" s="22">
        <f>'Activity data'!BB85*CREF*NtoN2O*kgtoGg</f>
        <v>3.175372266427992</v>
      </c>
      <c r="BC90" s="22">
        <f>'Activity data'!BC85*CREF*NtoN2O*kgtoGg</f>
        <v>3.1907790124721145</v>
      </c>
      <c r="BD90" s="22">
        <f>'Activity data'!BD85*CREF*NtoN2O*kgtoGg</f>
        <v>3.2068106372721621</v>
      </c>
      <c r="BE90" s="22">
        <f>'Activity data'!BE85*CREF*NtoN2O*kgtoGg</f>
        <v>3.2231599904914594</v>
      </c>
      <c r="BF90" s="22">
        <f>'Activity data'!BF85*CREF*NtoN2O*kgtoGg</f>
        <v>3.2388686877371713</v>
      </c>
      <c r="BG90" s="22">
        <f>'Activity data'!BG85*CREF*NtoN2O*kgtoGg</f>
        <v>3.2544690018605826</v>
      </c>
      <c r="BH90" s="22">
        <f>'Activity data'!BH85*CREF*NtoN2O*kgtoGg</f>
        <v>3.2702382503220044</v>
      </c>
      <c r="BI90" s="22">
        <f>'Activity data'!BI85*CREF*NtoN2O*kgtoGg</f>
        <v>3.2863462503524339</v>
      </c>
      <c r="BJ90" s="22">
        <f>'Activity data'!BJ85*CREF*NtoN2O*kgtoGg</f>
        <v>3.3029198483805184</v>
      </c>
      <c r="BK90" s="22">
        <f>'Activity data'!BK85*CREF*NtoN2O*kgtoGg</f>
        <v>3.3198582977261348</v>
      </c>
      <c r="BL90" s="22">
        <f>'Activity data'!BL85*CREF*NtoN2O*kgtoGg</f>
        <v>3.3374421899611515</v>
      </c>
      <c r="BM90" s="22">
        <f>'Activity data'!BM85*CREF*NtoN2O*kgtoGg</f>
        <v>3.3554285312173113</v>
      </c>
      <c r="BN90" s="22">
        <f>'Activity data'!BN85*CREF*NtoN2O*kgtoGg</f>
        <v>3.3736592553127007</v>
      </c>
      <c r="BO90" s="22">
        <f>'Activity data'!BO85*CREF*NtoN2O*kgtoGg</f>
        <v>3.3913690295289958</v>
      </c>
      <c r="BP90" s="22">
        <f>'Activity data'!BP85*CREF*NtoN2O*kgtoGg</f>
        <v>3.4093629552161286</v>
      </c>
    </row>
    <row r="91" spans="1:68" x14ac:dyDescent="0.25">
      <c r="A91" t="str">
        <f>A89</f>
        <v>3C Aggregated and non-CO2 emissions on land</v>
      </c>
      <c r="B91" t="str">
        <f>B89</f>
        <v>3C4 Direct N2O from managed soils (N2O)</v>
      </c>
      <c r="C91" t="s">
        <v>421</v>
      </c>
      <c r="D91" t="str">
        <f>'Activity data'!D50</f>
        <v xml:space="preserve"> - TMR</v>
      </c>
      <c r="E91" t="str">
        <f>C91&amp;D91</f>
        <v>MM emissions - TMR</v>
      </c>
      <c r="F91" t="str">
        <f>F89</f>
        <v>N2O</v>
      </c>
      <c r="G91" t="str">
        <f>G89</f>
        <v>Gg N2O</v>
      </c>
      <c r="H91" s="22">
        <f>'Activity data'!H50*ManureNEF*NtoN2O*kgtoGg</f>
        <v>0.26350583749371725</v>
      </c>
      <c r="I91" s="22">
        <f>'Activity data'!I50*ManureNEF*NtoN2O*kgtoGg</f>
        <v>0.30336366372659757</v>
      </c>
      <c r="J91" s="22">
        <f>'Activity data'!J50*ManureNEF*NtoN2O*kgtoGg</f>
        <v>0.26244882124379881</v>
      </c>
      <c r="K91" s="22">
        <f>'Activity data'!K50*ManureNEF*NtoN2O*kgtoGg</f>
        <v>0.27835157134088651</v>
      </c>
      <c r="L91" s="22">
        <f>'Activity data'!L50*ManureNEF*NtoN2O*kgtoGg</f>
        <v>0.25822075624412494</v>
      </c>
      <c r="M91" s="22">
        <f>'Activity data'!M50*ManureNEF*NtoN2O*kgtoGg</f>
        <v>0.27623753884104962</v>
      </c>
      <c r="N91" s="22">
        <f>'Activity data'!N50*ManureNEF*NtoN2O*kgtoGg</f>
        <v>0.27729455509096812</v>
      </c>
      <c r="O91" s="22">
        <f>'Activity data'!O50*ManureNEF*NtoN2O*kgtoGg</f>
        <v>0.26733009853274803</v>
      </c>
      <c r="P91" s="22">
        <f>'Activity data'!P50*ManureNEF*NtoN2O*kgtoGg</f>
        <v>0.26415904978299276</v>
      </c>
      <c r="Q91" s="22">
        <f>'Activity data'!Q50*ManureNEF*NtoN2O*kgtoGg</f>
        <v>0.25947967447436493</v>
      </c>
      <c r="R91" s="22">
        <f>'Activity data'!R50*ManureNEF*NtoN2O*kgtoGg</f>
        <v>0.33411214767085473</v>
      </c>
      <c r="S91" s="22">
        <f>'Activity data'!S50*ManureNEF*NtoN2O*kgtoGg</f>
        <v>0.33305513142093623</v>
      </c>
      <c r="T91" s="22">
        <f>'Activity data'!T50*ManureNEF*NtoN2O*kgtoGg</f>
        <v>0.29043006039894359</v>
      </c>
      <c r="U91" s="22">
        <f>'Activity data'!U50*ManureNEF*NtoN2O*kgtoGg</f>
        <v>0.26415904978299276</v>
      </c>
      <c r="V91" s="22">
        <f>'Activity data'!V50*ManureNEF*NtoN2O*kgtoGg</f>
        <v>0.25504970749436956</v>
      </c>
      <c r="W91" s="22">
        <f>'Activity data'!W50*ManureNEF*NtoN2O*kgtoGg</f>
        <v>0.27306649009129436</v>
      </c>
      <c r="X91" s="22">
        <f>'Activity data'!X50*ManureNEF*NtoN2O*kgtoGg</f>
        <v>0.26712819655242653</v>
      </c>
      <c r="Y91" s="22">
        <f>'Activity data'!Y50*ManureNEF*NtoN2O*kgtoGg</f>
        <v>0.26521606603291115</v>
      </c>
      <c r="Z91" s="22">
        <f>'Activity data'!Z50*ManureNEF*NtoN2O*kgtoGg</f>
        <v>0.32480090340191009</v>
      </c>
      <c r="AA91" s="22">
        <f>'Activity data'!AA50*ManureNEF*NtoN2O*kgtoGg</f>
        <v>0.33285322944061474</v>
      </c>
      <c r="AB91" s="22">
        <f>'Activity data'!AB50*ManureNEF*NtoN2O*kgtoGg</f>
        <v>0.33285322944061474</v>
      </c>
      <c r="AC91" s="22">
        <f>'Activity data'!AC50*ManureNEF*NtoN2O*kgtoGg</f>
        <v>0.32077474038255771</v>
      </c>
      <c r="AD91" s="22">
        <f>'Activity data'!AD50*ManureNEF*NtoN2O*kgtoGg</f>
        <v>0.31879951225893705</v>
      </c>
      <c r="AE91" s="22">
        <f>'Activity data'!AE50*ManureNEF*NtoN2O*kgtoGg</f>
        <v>0.32114120266563217</v>
      </c>
      <c r="AF91" s="22">
        <f>'Activity data'!AF50*ManureNEF*NtoN2O*kgtoGg</f>
        <v>0.32289539946628154</v>
      </c>
      <c r="AG91" s="22">
        <f>'Activity data'!AG50*ManureNEF*NtoN2O*kgtoGg</f>
        <v>0.32423560196595896</v>
      </c>
      <c r="AH91" s="22">
        <f>'Activity data'!AH50*ManureNEF*NtoN2O*kgtoGg</f>
        <v>0.325118427005892</v>
      </c>
      <c r="AI91" s="22">
        <f>'Activity data'!AI50*ManureNEF*NtoN2O*kgtoGg</f>
        <v>0.32692320444346051</v>
      </c>
      <c r="AJ91" s="22">
        <f>'Activity data'!AJ50*ManureNEF*NtoN2O*kgtoGg</f>
        <v>0.32865316854592491</v>
      </c>
      <c r="AK91" s="22">
        <f>'Activity data'!AK50*ManureNEF*NtoN2O*kgtoGg</f>
        <v>0.33041251261544097</v>
      </c>
      <c r="AL91" s="22">
        <f>'Activity data'!AL50*ManureNEF*NtoN2O*kgtoGg</f>
        <v>0.31992876846886492</v>
      </c>
      <c r="AM91" s="22">
        <f>'Activity data'!AM50*ManureNEF*NtoN2O*kgtoGg</f>
        <v>0.32287434235124018</v>
      </c>
      <c r="AN91" s="22">
        <f>'Activity data'!AN50*ManureNEF*NtoN2O*kgtoGg</f>
        <v>0.32572957058504254</v>
      </c>
      <c r="AO91" s="22">
        <f>'Activity data'!AO50*ManureNEF*NtoN2O*kgtoGg</f>
        <v>0.32870825642256624</v>
      </c>
      <c r="AP91" s="22">
        <f>'Activity data'!AP50*ManureNEF*NtoN2O*kgtoGg</f>
        <v>0.33196596250171845</v>
      </c>
      <c r="AQ91" s="22">
        <f>'Activity data'!AQ50*ManureNEF*NtoN2O*kgtoGg</f>
        <v>0.33561390347822467</v>
      </c>
      <c r="AR91" s="22">
        <f>'Activity data'!AR50*ManureNEF*NtoN2O*kgtoGg</f>
        <v>0.33922095548382974</v>
      </c>
      <c r="AS91" s="22">
        <f>'Activity data'!AS50*ManureNEF*NtoN2O*kgtoGg</f>
        <v>0.34310465721887706</v>
      </c>
      <c r="AT91" s="22">
        <f>'Activity data'!AT50*ManureNEF*NtoN2O*kgtoGg</f>
        <v>0.34729013916034662</v>
      </c>
      <c r="AU91" s="22">
        <f>'Activity data'!AU50*ManureNEF*NtoN2O*kgtoGg</f>
        <v>0.35201731338546627</v>
      </c>
      <c r="AV91" s="22">
        <f>'Activity data'!AV50*ManureNEF*NtoN2O*kgtoGg</f>
        <v>0.35675503122688074</v>
      </c>
      <c r="AW91" s="22">
        <f>'Activity data'!AW50*ManureNEF*NtoN2O*kgtoGg</f>
        <v>0.36210270062782368</v>
      </c>
      <c r="AX91" s="22">
        <f>'Activity data'!AX50*ManureNEF*NtoN2O*kgtoGg</f>
        <v>0.36767164937592611</v>
      </c>
      <c r="AY91" s="22">
        <f>'Activity data'!AY50*ManureNEF*NtoN2O*kgtoGg</f>
        <v>0.37343792071095189</v>
      </c>
      <c r="AZ91" s="22">
        <f>'Activity data'!AZ50*ManureNEF*NtoN2O*kgtoGg</f>
        <v>0.37937593999528302</v>
      </c>
      <c r="BA91" s="22">
        <f>'Activity data'!BA50*ManureNEF*NtoN2O*kgtoGg</f>
        <v>0.38493861396109241</v>
      </c>
      <c r="BB91" s="22">
        <f>'Activity data'!BB50*ManureNEF*NtoN2O*kgtoGg</f>
        <v>0.390593503339627</v>
      </c>
      <c r="BC91" s="22">
        <f>'Activity data'!BC50*ManureNEF*NtoN2O*kgtoGg</f>
        <v>0.39666487570550502</v>
      </c>
      <c r="BD91" s="22">
        <f>'Activity data'!BD50*ManureNEF*NtoN2O*kgtoGg</f>
        <v>0.40304357432801519</v>
      </c>
      <c r="BE91" s="22">
        <f>'Activity data'!BE50*ManureNEF*NtoN2O*kgtoGg</f>
        <v>0.4093248497328561</v>
      </c>
      <c r="BF91" s="22">
        <f>'Activity data'!BF50*ManureNEF*NtoN2O*kgtoGg</f>
        <v>0.41573000456238429</v>
      </c>
      <c r="BG91" s="22">
        <f>'Activity data'!BG50*ManureNEF*NtoN2O*kgtoGg</f>
        <v>0.42223533262850055</v>
      </c>
      <c r="BH91" s="22">
        <f>'Activity data'!BH50*ManureNEF*NtoN2O*kgtoGg</f>
        <v>0.42907897445553667</v>
      </c>
      <c r="BI91" s="22">
        <f>'Activity data'!BI50*ManureNEF*NtoN2O*kgtoGg</f>
        <v>0.43633748828368912</v>
      </c>
      <c r="BJ91" s="22">
        <f>'Activity data'!BJ50*ManureNEF*NtoN2O*kgtoGg</f>
        <v>0.44398269657610084</v>
      </c>
      <c r="BK91" s="22">
        <f>'Activity data'!BK50*ManureNEF*NtoN2O*kgtoGg</f>
        <v>0.45217594322912669</v>
      </c>
      <c r="BL91" s="22">
        <f>'Activity data'!BL50*ManureNEF*NtoN2O*kgtoGg</f>
        <v>0.46067104845617302</v>
      </c>
      <c r="BM91" s="22">
        <f>'Activity data'!BM50*ManureNEF*NtoN2O*kgtoGg</f>
        <v>0.46955888454761935</v>
      </c>
      <c r="BN91" s="22">
        <f>'Activity data'!BN50*ManureNEF*NtoN2O*kgtoGg</f>
        <v>0.47843581012338438</v>
      </c>
      <c r="BO91" s="22">
        <f>'Activity data'!BO50*ManureNEF*NtoN2O*kgtoGg</f>
        <v>0.48774161901450142</v>
      </c>
      <c r="BP91" s="22">
        <f>'Activity data'!BP50*ManureNEF*NtoN2O*kgtoGg</f>
        <v>0.49757971074754226</v>
      </c>
    </row>
    <row r="92" spans="1:68" x14ac:dyDescent="0.25">
      <c r="A92" t="str">
        <f t="shared" si="29"/>
        <v>3C Aggregated and non-CO2 emissions on land</v>
      </c>
      <c r="B92" t="str">
        <f t="shared" ref="B92:B134" si="31">B91</f>
        <v>3C4 Direct N2O from managed soils (N2O)</v>
      </c>
      <c r="C92" t="str">
        <f>C91</f>
        <v>MM emissions</v>
      </c>
      <c r="D92" t="str">
        <f>'Activity data'!D51</f>
        <v xml:space="preserve"> - Pasture</v>
      </c>
      <c r="E92" t="str">
        <f t="shared" ref="E92:E138" si="32">C92&amp;D92</f>
        <v>MM emissions - Pasture</v>
      </c>
      <c r="F92" t="str">
        <f t="shared" ref="F92:F106" si="33">F91</f>
        <v>N2O</v>
      </c>
      <c r="G92" t="str">
        <f t="shared" ref="G92:G106" si="34">G91</f>
        <v>Gg N2O</v>
      </c>
      <c r="H92" s="22">
        <f>'Activity data'!H51*ManureNEF*NtoN2O*kgtoGg</f>
        <v>0.76209725247791893</v>
      </c>
      <c r="I92" s="22">
        <f>'Activity data'!I51*ManureNEF*NtoN2O*kgtoGg</f>
        <v>0.87737188984736481</v>
      </c>
      <c r="J92" s="22">
        <f>'Activity data'!J51*ManureNEF*NtoN2O*kgtoGg</f>
        <v>0.75904020756555868</v>
      </c>
      <c r="K92" s="22">
        <f>'Activity data'!K51*ManureNEF*NtoN2O*kgtoGg</f>
        <v>0.80503327652792112</v>
      </c>
      <c r="L92" s="22">
        <f>'Activity data'!L51*ManureNEF*NtoN2O*kgtoGg</f>
        <v>0.74681202791611823</v>
      </c>
      <c r="M92" s="22">
        <f>'Activity data'!M51*ManureNEF*NtoN2O*kgtoGg</f>
        <v>0.79891918670320072</v>
      </c>
      <c r="N92" s="22">
        <f>'Activity data'!N51*ManureNEF*NtoN2O*kgtoGg</f>
        <v>0.80197623161556097</v>
      </c>
      <c r="O92" s="22">
        <f>'Activity data'!O51*ManureNEF*NtoN2O*kgtoGg</f>
        <v>0.77315757227319948</v>
      </c>
      <c r="P92" s="22">
        <f>'Activity data'!P51*ManureNEF*NtoN2O*kgtoGg</f>
        <v>0.76398643753611906</v>
      </c>
      <c r="Q92" s="22">
        <f>'Activity data'!Q51*ManureNEF*NtoN2O*kgtoGg</f>
        <v>0.75045300275555815</v>
      </c>
      <c r="R92" s="22">
        <f>'Activity data'!R51*ManureNEF*NtoN2O*kgtoGg</f>
        <v>0.96630098285972954</v>
      </c>
      <c r="S92" s="22">
        <f>'Activity data'!S51*ManureNEF*NtoN2O*kgtoGg</f>
        <v>0.9632439379473694</v>
      </c>
      <c r="T92" s="22">
        <f>'Activity data'!T51*ManureNEF*NtoN2O*kgtoGg</f>
        <v>0.83996602569500267</v>
      </c>
      <c r="U92" s="22">
        <f>'Activity data'!U51*ManureNEF*NtoN2O*kgtoGg</f>
        <v>0.76398643753611906</v>
      </c>
      <c r="V92" s="22">
        <f>'Activity data'!V51*ManureNEF*NtoN2O*kgtoGg</f>
        <v>0.73764089317903758</v>
      </c>
      <c r="W92" s="22">
        <f>'Activity data'!W51*ManureNEF*NtoN2O*kgtoGg</f>
        <v>0.78974805196612041</v>
      </c>
      <c r="X92" s="22">
        <f>'Activity data'!X51*ManureNEF*NtoN2O*kgtoGg</f>
        <v>0.77257364234611936</v>
      </c>
      <c r="Y92" s="22">
        <f>'Activity data'!Y51*ManureNEF*NtoN2O*kgtoGg</f>
        <v>0.7670434824484792</v>
      </c>
      <c r="Z92" s="22">
        <f>'Activity data'!Z51*ManureNEF*NtoN2O*kgtoGg</f>
        <v>0.93937150857556795</v>
      </c>
      <c r="AA92" s="22">
        <f>'Activity data'!AA51*ManureNEF*NtoN2O*kgtoGg</f>
        <v>0.96266000802028917</v>
      </c>
      <c r="AB92" s="22">
        <f>'Activity data'!AB51*ManureNEF*NtoN2O*kgtoGg</f>
        <v>0.96266000802028917</v>
      </c>
      <c r="AC92" s="22">
        <f>'Activity data'!AC51*ManureNEF*NtoN2O*kgtoGg</f>
        <v>0.92772725885320717</v>
      </c>
      <c r="AD92" s="22">
        <f>'Activity data'!AD51*ManureNEF*NtoN2O*kgtoGg</f>
        <v>0.93216045345768239</v>
      </c>
      <c r="AE92" s="22">
        <f>'Activity data'!AE51*ManureNEF*NtoN2O*kgtoGg</f>
        <v>0.93900748774545584</v>
      </c>
      <c r="AF92" s="22">
        <f>'Activity data'!AF51*ManureNEF*NtoN2O*kgtoGg</f>
        <v>0.94413670790505044</v>
      </c>
      <c r="AG92" s="22">
        <f>'Activity data'!AG51*ManureNEF*NtoN2O*kgtoGg</f>
        <v>0.94805542083209393</v>
      </c>
      <c r="AH92" s="22">
        <f>'Activity data'!AH51*ManureNEF*NtoN2O*kgtoGg</f>
        <v>0.95063677543868264</v>
      </c>
      <c r="AI92" s="22">
        <f>'Activity data'!AI51*ManureNEF*NtoN2O*kgtoGg</f>
        <v>0.95591389190185849</v>
      </c>
      <c r="AJ92" s="22">
        <f>'Activity data'!AJ51*ManureNEF*NtoN2O*kgtoGg</f>
        <v>0.96097225636042405</v>
      </c>
      <c r="AK92" s="22">
        <f>'Activity data'!AK51*ManureNEF*NtoN2O*kgtoGg</f>
        <v>0.96611652698369965</v>
      </c>
      <c r="AL92" s="22">
        <f>'Activity data'!AL51*ManureNEF*NtoN2O*kgtoGg</f>
        <v>0.9354623656007014</v>
      </c>
      <c r="AM92" s="22">
        <f>'Activity data'!AM51*ManureNEF*NtoN2O*kgtoGg</f>
        <v>0.94407513751629268</v>
      </c>
      <c r="AN92" s="22">
        <f>'Activity data'!AN51*ManureNEF*NtoN2O*kgtoGg</f>
        <v>0.9524237413967922</v>
      </c>
      <c r="AO92" s="22">
        <f>'Activity data'!AO51*ManureNEF*NtoN2O*kgtoGg</f>
        <v>0.96113333170118043</v>
      </c>
      <c r="AP92" s="22">
        <f>'Activity data'!AP51*ManureNEF*NtoN2O*kgtoGg</f>
        <v>0.97065876903468529</v>
      </c>
      <c r="AQ92" s="22">
        <f>'Activity data'!AQ51*ManureNEF*NtoN2O*kgtoGg</f>
        <v>0.98132524179918834</v>
      </c>
      <c r="AR92" s="22">
        <f>'Activity data'!AR51*ManureNEF*NtoN2O*kgtoGg</f>
        <v>0.99187215640820192</v>
      </c>
      <c r="AS92" s="22">
        <f>'Activity data'!AS51*ManureNEF*NtoN2O*kgtoGg</f>
        <v>1.0032279867380041</v>
      </c>
      <c r="AT92" s="22">
        <f>'Activity data'!AT51*ManureNEF*NtoN2O*kgtoGg</f>
        <v>1.0154662135685717</v>
      </c>
      <c r="AU92" s="22">
        <f>'Activity data'!AU51*ManureNEF*NtoN2O*kgtoGg</f>
        <v>1.0292883327996765</v>
      </c>
      <c r="AV92" s="22">
        <f>'Activity data'!AV51*ManureNEF*NtoN2O*kgtoGg</f>
        <v>1.0431412812565748</v>
      </c>
      <c r="AW92" s="22">
        <f>'Activity data'!AW51*ManureNEF*NtoN2O*kgtoGg</f>
        <v>1.0587777102410583</v>
      </c>
      <c r="AX92" s="22">
        <f>'Activity data'!AX51*ManureNEF*NtoN2O*kgtoGg</f>
        <v>1.0750611535673371</v>
      </c>
      <c r="AY92" s="22">
        <f>'Activity data'!AY51*ManureNEF*NtoN2O*kgtoGg</f>
        <v>1.0919215623688783</v>
      </c>
      <c r="AZ92" s="22">
        <f>'Activity data'!AZ51*ManureNEF*NtoN2O*kgtoGg</f>
        <v>1.1092841571529843</v>
      </c>
      <c r="BA92" s="22">
        <f>'Activity data'!BA51*ManureNEF*NtoN2O*kgtoGg</f>
        <v>1.1255492531992874</v>
      </c>
      <c r="BB92" s="22">
        <f>'Activity data'!BB51*ManureNEF*NtoN2O*kgtoGg</f>
        <v>1.1420839844163986</v>
      </c>
      <c r="BC92" s="22">
        <f>'Activity data'!BC51*ManureNEF*NtoN2O*kgtoGg</f>
        <v>1.1598364997122521</v>
      </c>
      <c r="BD92" s="22">
        <f>'Activity data'!BD51*ManureNEF*NtoN2O*kgtoGg</f>
        <v>1.1784876279975411</v>
      </c>
      <c r="BE92" s="22">
        <f>'Activity data'!BE51*ManureNEF*NtoN2O*kgtoGg</f>
        <v>1.1968538936426192</v>
      </c>
      <c r="BF92" s="22">
        <f>'Activity data'!BF51*ManureNEF*NtoN2O*kgtoGg</f>
        <v>1.2155823791037583</v>
      </c>
      <c r="BG92" s="22">
        <f>'Activity data'!BG51*ManureNEF*NtoN2O*kgtoGg</f>
        <v>1.2346037681800273</v>
      </c>
      <c r="BH92" s="22">
        <f>'Activity data'!BH51*ManureNEF*NtoN2O*kgtoGg</f>
        <v>1.2546143768023212</v>
      </c>
      <c r="BI92" s="22">
        <f>'Activity data'!BI51*ManureNEF*NtoN2O*kgtoGg</f>
        <v>1.2758380590267278</v>
      </c>
      <c r="BJ92" s="22">
        <f>'Activity data'!BJ51*ManureNEF*NtoN2O*kgtoGg</f>
        <v>1.2981924245592715</v>
      </c>
      <c r="BK92" s="22">
        <f>'Activity data'!BK51*ManureNEF*NtoN2O*kgtoGg</f>
        <v>1.3221492382358619</v>
      </c>
      <c r="BL92" s="22">
        <f>'Activity data'!BL51*ManureNEF*NtoN2O*kgtoGg</f>
        <v>1.3469886775577842</v>
      </c>
      <c r="BM92" s="22">
        <f>'Activity data'!BM51*ManureNEF*NtoN2O*kgtoGg</f>
        <v>1.3729764504453752</v>
      </c>
      <c r="BN92" s="22">
        <f>'Activity data'!BN51*ManureNEF*NtoN2O*kgtoGg</f>
        <v>1.3989323213040936</v>
      </c>
      <c r="BO92" s="22">
        <f>'Activity data'!BO51*ManureNEF*NtoN2O*kgtoGg</f>
        <v>1.4261422344381152</v>
      </c>
      <c r="BP92" s="22">
        <f>'Activity data'!BP51*ManureNEF*NtoN2O*kgtoGg</f>
        <v>1.4549085270401596</v>
      </c>
    </row>
    <row r="93" spans="1:68" x14ac:dyDescent="0.25">
      <c r="A93" t="str">
        <f t="shared" si="29"/>
        <v>3C Aggregated and non-CO2 emissions on land</v>
      </c>
      <c r="B93" t="str">
        <f t="shared" si="31"/>
        <v>3C4 Direct N2O from managed soils (N2O)</v>
      </c>
      <c r="C93" t="str">
        <f t="shared" ref="C93:C106" si="35">C92</f>
        <v>MM emissions</v>
      </c>
      <c r="D93" t="str">
        <f>'Activity data'!D52</f>
        <v xml:space="preserve"> - Non-lactating</v>
      </c>
      <c r="E93" t="str">
        <f t="shared" si="32"/>
        <v>MM emissions - Non-lactating</v>
      </c>
      <c r="F93" t="str">
        <f t="shared" si="33"/>
        <v>N2O</v>
      </c>
      <c r="G93" t="str">
        <f t="shared" si="34"/>
        <v>Gg N2O</v>
      </c>
      <c r="H93" s="22">
        <f>'Activity data'!H52*ManureNEF*NtoN2O*kgtoGg</f>
        <v>4.8126809955822768E-2</v>
      </c>
      <c r="I93" s="22">
        <f>'Activity data'!I52*ManureNEF*NtoN2O*kgtoGg</f>
        <v>5.4703801917722318E-2</v>
      </c>
      <c r="J93" s="22">
        <f>'Activity data'!J52*ManureNEF*NtoN2O*kgtoGg</f>
        <v>4.73189311103272E-2</v>
      </c>
      <c r="K93" s="22">
        <f>'Activity data'!K52*ManureNEF*NtoN2O*kgtoGg</f>
        <v>4.9520758530788335E-2</v>
      </c>
      <c r="L93" s="22">
        <f>'Activity data'!L52*ManureNEF*NtoN2O*kgtoGg</f>
        <v>4.4087415728345042E-2</v>
      </c>
      <c r="M93" s="22">
        <f>'Activity data'!M52*ManureNEF*NtoN2O*kgtoGg</f>
        <v>4.7905000839797235E-2</v>
      </c>
      <c r="N93" s="22">
        <f>'Activity data'!N52*ManureNEF*NtoN2O*kgtoGg</f>
        <v>4.8712879685292768E-2</v>
      </c>
      <c r="O93" s="22">
        <f>'Activity data'!O52*ManureNEF*NtoN2O*kgtoGg</f>
        <v>4.7068631694817883E-2</v>
      </c>
      <c r="P93" s="22">
        <f>'Activity data'!P52*ManureNEF*NtoN2O*kgtoGg</f>
        <v>4.4644995158331258E-2</v>
      </c>
      <c r="Q93" s="22">
        <f>'Activity data'!Q52*ManureNEF*NtoN2O*kgtoGg</f>
        <v>4.7040141395334092E-2</v>
      </c>
      <c r="R93" s="22">
        <f>'Activity data'!R52*ManureNEF*NtoN2O*kgtoGg</f>
        <v>5.8299577913148978E-2</v>
      </c>
      <c r="S93" s="22">
        <f>'Activity data'!S52*ManureNEF*NtoN2O*kgtoGg</f>
        <v>5.7491699067653446E-2</v>
      </c>
      <c r="T93" s="22">
        <f>'Activity data'!T52*ManureNEF*NtoN2O*kgtoGg</f>
        <v>5.2780764212254298E-2</v>
      </c>
      <c r="U93" s="22">
        <f>'Activity data'!U52*ManureNEF*NtoN2O*kgtoGg</f>
        <v>4.4644995158331258E-2</v>
      </c>
      <c r="V93" s="22">
        <f>'Activity data'!V52*ManureNEF*NtoN2O*kgtoGg</f>
        <v>4.1663779191858388E-2</v>
      </c>
      <c r="W93" s="22">
        <f>'Activity data'!W52*ManureNEF*NtoN2O*kgtoGg</f>
        <v>4.5481364303310602E-2</v>
      </c>
      <c r="X93" s="22">
        <f>'Activity data'!X52*ManureNEF*NtoN2O*kgtoGg</f>
        <v>4.4923784873324366E-2</v>
      </c>
      <c r="Y93" s="22">
        <f>'Activity data'!Y52*ManureNEF*NtoN2O*kgtoGg</f>
        <v>4.5452874003826804E-2</v>
      </c>
      <c r="Z93" s="22">
        <f>'Activity data'!Z52*ManureNEF*NtoN2O*kgtoGg</f>
        <v>5.3173515125182619E-2</v>
      </c>
      <c r="AA93" s="22">
        <f>'Activity data'!AA52*ManureNEF*NtoN2O*kgtoGg</f>
        <v>5.5346852246159921E-2</v>
      </c>
      <c r="AB93" s="22">
        <f>'Activity data'!AB52*ManureNEF*NtoN2O*kgtoGg</f>
        <v>5.5346852246159921E-2</v>
      </c>
      <c r="AC93" s="22">
        <f>'Activity data'!AC52*ManureNEF*NtoN2O*kgtoGg</f>
        <v>5.2086846564693957E-2</v>
      </c>
      <c r="AD93" s="22">
        <f>'Activity data'!AD52*ManureNEF*NtoN2O*kgtoGg</f>
        <v>4.9865328380057694E-2</v>
      </c>
      <c r="AE93" s="22">
        <f>'Activity data'!AE52*ManureNEF*NtoN2O*kgtoGg</f>
        <v>5.0231606108235148E-2</v>
      </c>
      <c r="AF93" s="22">
        <f>'Activity data'!AF52*ManureNEF*NtoN2O*kgtoGg</f>
        <v>5.0505990466253183E-2</v>
      </c>
      <c r="AG93" s="22">
        <f>'Activity data'!AG52*ManureNEF*NtoN2O*kgtoGg</f>
        <v>5.0715619512636104E-2</v>
      </c>
      <c r="AH93" s="22">
        <f>'Activity data'!AH52*ManureNEF*NtoN2O*kgtoGg</f>
        <v>5.0853707429416375E-2</v>
      </c>
      <c r="AI93" s="22">
        <f>'Activity data'!AI52*ManureNEF*NtoN2O*kgtoGg</f>
        <v>5.1136003405779659E-2</v>
      </c>
      <c r="AJ93" s="22">
        <f>'Activity data'!AJ52*ManureNEF*NtoN2O*kgtoGg</f>
        <v>5.14065973833044E-2</v>
      </c>
      <c r="AK93" s="22">
        <f>'Activity data'!AK52*ManureNEF*NtoN2O*kgtoGg</f>
        <v>5.1681786856269077E-2</v>
      </c>
      <c r="AL93" s="22">
        <f>'Activity data'!AL52*ManureNEF*NtoN2O*kgtoGg</f>
        <v>5.0041962062255869E-2</v>
      </c>
      <c r="AM93" s="22">
        <f>'Activity data'!AM52*ManureNEF*NtoN2O*kgtoGg</f>
        <v>5.050269679761224E-2</v>
      </c>
      <c r="AN93" s="22">
        <f>'Activity data'!AN52*ManureNEF*NtoN2O*kgtoGg</f>
        <v>5.0949300032572406E-2</v>
      </c>
      <c r="AO93" s="22">
        <f>'Activity data'!AO52*ManureNEF*NtoN2O*kgtoGg</f>
        <v>5.1415214005830018E-2</v>
      </c>
      <c r="AP93" s="22">
        <f>'Activity data'!AP52*ManureNEF*NtoN2O*kgtoGg</f>
        <v>5.1924771195085359E-2</v>
      </c>
      <c r="AQ93" s="22">
        <f>'Activity data'!AQ52*ManureNEF*NtoN2O*kgtoGg</f>
        <v>5.2495367346301551E-2</v>
      </c>
      <c r="AR93" s="22">
        <f>'Activity data'!AR52*ManureNEF*NtoN2O*kgtoGg</f>
        <v>5.3059567810314012E-2</v>
      </c>
      <c r="AS93" s="22">
        <f>'Activity data'!AS52*ManureNEF*NtoN2O*kgtoGg</f>
        <v>5.3667040704410023E-2</v>
      </c>
      <c r="AT93" s="22">
        <f>'Activity data'!AT52*ManureNEF*NtoN2O*kgtoGg</f>
        <v>5.4321716836005417E-2</v>
      </c>
      <c r="AU93" s="22">
        <f>'Activity data'!AU52*ManureNEF*NtoN2O*kgtoGg</f>
        <v>5.5061122280433701E-2</v>
      </c>
      <c r="AV93" s="22">
        <f>'Activity data'!AV52*ManureNEF*NtoN2O*kgtoGg</f>
        <v>5.5802176914614893E-2</v>
      </c>
      <c r="AW93" s="22">
        <f>'Activity data'!AW52*ManureNEF*NtoN2O*kgtoGg</f>
        <v>5.6638637701071241E-2</v>
      </c>
      <c r="AX93" s="22">
        <f>'Activity data'!AX52*ManureNEF*NtoN2O*kgtoGg</f>
        <v>5.7509710106697413E-2</v>
      </c>
      <c r="AY93" s="22">
        <f>'Activity data'!AY52*ManureNEF*NtoN2O*kgtoGg</f>
        <v>5.8411646912096361E-2</v>
      </c>
      <c r="AZ93" s="22">
        <f>'Activity data'!AZ52*ManureNEF*NtoN2O*kgtoGg</f>
        <v>5.9340447836044398E-2</v>
      </c>
      <c r="BA93" s="22">
        <f>'Activity data'!BA52*ManureNEF*NtoN2O*kgtoGg</f>
        <v>6.0210538765640885E-2</v>
      </c>
      <c r="BB93" s="22">
        <f>'Activity data'!BB52*ManureNEF*NtoN2O*kgtoGg</f>
        <v>6.1095053656568608E-2</v>
      </c>
      <c r="BC93" s="22">
        <f>'Activity data'!BC52*ManureNEF*NtoN2O*kgtoGg</f>
        <v>6.2044713129372986E-2</v>
      </c>
      <c r="BD93" s="22">
        <f>'Activity data'!BD52*ManureNEF*NtoN2O*kgtoGg</f>
        <v>6.3042443330385806E-2</v>
      </c>
      <c r="BE93" s="22">
        <f>'Activity data'!BE52*ManureNEF*NtoN2O*kgtoGg</f>
        <v>6.402493498631269E-2</v>
      </c>
      <c r="BF93" s="22">
        <f>'Activity data'!BF52*ManureNEF*NtoN2O*kgtoGg</f>
        <v>6.502680336006389E-2</v>
      </c>
      <c r="BG93" s="22">
        <f>'Activity data'!BG52*ManureNEF*NtoN2O*kgtoGg</f>
        <v>6.6044340425721049E-2</v>
      </c>
      <c r="BH93" s="22">
        <f>'Activity data'!BH52*ManureNEF*NtoN2O*kgtoGg</f>
        <v>6.7114795159489496E-2</v>
      </c>
      <c r="BI93" s="22">
        <f>'Activity data'!BI52*ManureNEF*NtoN2O*kgtoGg</f>
        <v>6.8250142491194432E-2</v>
      </c>
      <c r="BJ93" s="22">
        <f>'Activity data'!BJ52*ManureNEF*NtoN2O*kgtoGg</f>
        <v>6.944597500465638E-2</v>
      </c>
      <c r="BK93" s="22">
        <f>'Activity data'!BK52*ManureNEF*NtoN2O*kgtoGg</f>
        <v>7.0727529458604527E-2</v>
      </c>
      <c r="BL93" s="22">
        <f>'Activity data'!BL52*ManureNEF*NtoN2O*kgtoGg</f>
        <v>7.2056299407994365E-2</v>
      </c>
      <c r="BM93" s="22">
        <f>'Activity data'!BM52*ManureNEF*NtoN2O*kgtoGg</f>
        <v>7.3446498728400242E-2</v>
      </c>
      <c r="BN93" s="22">
        <f>'Activity data'!BN52*ManureNEF*NtoN2O*kgtoGg</f>
        <v>7.4834991470137321E-2</v>
      </c>
      <c r="BO93" s="22">
        <f>'Activity data'!BO52*ManureNEF*NtoN2O*kgtoGg</f>
        <v>7.6290568402829453E-2</v>
      </c>
      <c r="BP93" s="22">
        <f>'Activity data'!BP52*ManureNEF*NtoN2O*kgtoGg</f>
        <v>7.7829402861593469E-2</v>
      </c>
    </row>
    <row r="94" spans="1:68" x14ac:dyDescent="0.25">
      <c r="A94" t="str">
        <f t="shared" si="29"/>
        <v>3C Aggregated and non-CO2 emissions on land</v>
      </c>
      <c r="B94" t="str">
        <f t="shared" si="31"/>
        <v>3C4 Direct N2O from managed soils (N2O)</v>
      </c>
      <c r="C94" t="str">
        <f t="shared" si="35"/>
        <v>MM emissions</v>
      </c>
      <c r="D94" t="str">
        <f>'Activity data'!D53</f>
        <v xml:space="preserve"> - Commercial cattle</v>
      </c>
      <c r="E94" t="str">
        <f t="shared" si="32"/>
        <v>MM emissions - Commercial cattle</v>
      </c>
      <c r="F94" t="str">
        <f t="shared" si="33"/>
        <v>N2O</v>
      </c>
      <c r="G94" t="str">
        <f t="shared" si="34"/>
        <v>Gg N2O</v>
      </c>
      <c r="H94" s="22">
        <f>'Activity data'!H53*ManureNEF*NtoN2O*kgtoGg</f>
        <v>0.45791661524455107</v>
      </c>
      <c r="I94" s="22">
        <f>'Activity data'!I53*ManureNEF*NtoN2O*kgtoGg</f>
        <v>0.43815199614411882</v>
      </c>
      <c r="J94" s="22">
        <f>'Activity data'!J53*ManureNEF*NtoN2O*kgtoGg</f>
        <v>0.43799279906939059</v>
      </c>
      <c r="K94" s="22">
        <f>'Activity data'!K53*ManureNEF*NtoN2O*kgtoGg</f>
        <v>0.40975782084523449</v>
      </c>
      <c r="L94" s="22">
        <f>'Activity data'!L53*ManureNEF*NtoN2O*kgtoGg</f>
        <v>0.42211070778300469</v>
      </c>
      <c r="M94" s="22">
        <f>'Activity data'!M53*ManureNEF*NtoN2O*kgtoGg</f>
        <v>0.43170820906450869</v>
      </c>
      <c r="N94" s="22">
        <f>'Activity data'!N53*ManureNEF*NtoN2O*kgtoGg</f>
        <v>0.44961687239500847</v>
      </c>
      <c r="O94" s="22">
        <f>'Activity data'!O53*ManureNEF*NtoN2O*kgtoGg</f>
        <v>0.46664894423808073</v>
      </c>
      <c r="P94" s="22">
        <f>'Activity data'!P53*ManureNEF*NtoN2O*kgtoGg</f>
        <v>0.47069066912685531</v>
      </c>
      <c r="Q94" s="22">
        <f>'Activity data'!Q53*ManureNEF*NtoN2O*kgtoGg</f>
        <v>0.46307406309165272</v>
      </c>
      <c r="R94" s="22">
        <f>'Activity data'!R53*ManureNEF*NtoN2O*kgtoGg</f>
        <v>0.43161685546888418</v>
      </c>
      <c r="S94" s="22">
        <f>'Activity data'!S53*ManureNEF*NtoN2O*kgtoGg</f>
        <v>0.43385972058499156</v>
      </c>
      <c r="T94" s="22">
        <f>'Activity data'!T53*ManureNEF*NtoN2O*kgtoGg</f>
        <v>0.40436124152723313</v>
      </c>
      <c r="U94" s="22">
        <f>'Activity data'!U53*ManureNEF*NtoN2O*kgtoGg</f>
        <v>0.41493810709124229</v>
      </c>
      <c r="V94" s="22">
        <f>'Activity data'!V53*ManureNEF*NtoN2O*kgtoGg</f>
        <v>0.41876353890802326</v>
      </c>
      <c r="W94" s="22">
        <f>'Activity data'!W53*ManureNEF*NtoN2O*kgtoGg</f>
        <v>0.42231558165554511</v>
      </c>
      <c r="X94" s="22">
        <f>'Activity data'!X53*ManureNEF*NtoN2O*kgtoGg</f>
        <v>0.41269524197513491</v>
      </c>
      <c r="Y94" s="22">
        <f>'Activity data'!Y53*ManureNEF*NtoN2O*kgtoGg</f>
        <v>0.42478615904309913</v>
      </c>
      <c r="Z94" s="22">
        <f>'Activity data'!Z53*ManureNEF*NtoN2O*kgtoGg</f>
        <v>0.41298221653315503</v>
      </c>
      <c r="AA94" s="22">
        <f>'Activity data'!AA53*ManureNEF*NtoN2O*kgtoGg</f>
        <v>0.40604796364174167</v>
      </c>
      <c r="AB94" s="22">
        <f>'Activity data'!AB53*ManureNEF*NtoN2O*kgtoGg</f>
        <v>0.40477150425581887</v>
      </c>
      <c r="AC94" s="22">
        <f>'Activity data'!AC53*ManureNEF*NtoN2O*kgtoGg</f>
        <v>0.40331805287602013</v>
      </c>
      <c r="AD94" s="22">
        <f>'Activity data'!AD53*ManureNEF*NtoN2O*kgtoGg</f>
        <v>0.40008189842045516</v>
      </c>
      <c r="AE94" s="22">
        <f>'Activity data'!AE53*ManureNEF*NtoN2O*kgtoGg</f>
        <v>0.3987320160548975</v>
      </c>
      <c r="AF94" s="22">
        <f>'Activity data'!AF53*ManureNEF*NtoN2O*kgtoGg</f>
        <v>0.39448692830028559</v>
      </c>
      <c r="AG94" s="22">
        <f>'Activity data'!AG53*ManureNEF*NtoN2O*kgtoGg</f>
        <v>0.38820837818589021</v>
      </c>
      <c r="AH94" s="22">
        <f>'Activity data'!AH53*ManureNEF*NtoN2O*kgtoGg</f>
        <v>0.37991402620063919</v>
      </c>
      <c r="AI94" s="22">
        <f>'Activity data'!AI53*ManureNEF*NtoN2O*kgtoGg</f>
        <v>0.37448322154382258</v>
      </c>
      <c r="AJ94" s="22">
        <f>'Activity data'!AJ53*ManureNEF*NtoN2O*kgtoGg</f>
        <v>0.36854915980836583</v>
      </c>
      <c r="AK94" s="22">
        <f>'Activity data'!AK53*ManureNEF*NtoN2O*kgtoGg</f>
        <v>0.36247879158542912</v>
      </c>
      <c r="AL94" s="22">
        <f>'Activity data'!AL53*ManureNEF*NtoN2O*kgtoGg</f>
        <v>0.31758119630539894</v>
      </c>
      <c r="AM94" s="22">
        <f>'Activity data'!AM53*ManureNEF*NtoN2O*kgtoGg</f>
        <v>0.32135519722660866</v>
      </c>
      <c r="AN94" s="22">
        <f>'Activity data'!AN53*ManureNEF*NtoN2O*kgtoGg</f>
        <v>0.32454003712699436</v>
      </c>
      <c r="AO94" s="22">
        <f>'Activity data'!AO53*ManureNEF*NtoN2O*kgtoGg</f>
        <v>0.3278112566626798</v>
      </c>
      <c r="AP94" s="22">
        <f>'Activity data'!AP53*ManureNEF*NtoN2O*kgtoGg</f>
        <v>0.33163080131730571</v>
      </c>
      <c r="AQ94" s="22">
        <f>'Activity data'!AQ53*ManureNEF*NtoN2O*kgtoGg</f>
        <v>0.33630260767456943</v>
      </c>
      <c r="AR94" s="22">
        <f>'Activity data'!AR53*ManureNEF*NtoN2O*kgtoGg</f>
        <v>0.34118595274598768</v>
      </c>
      <c r="AS94" s="22">
        <f>'Activity data'!AS53*ManureNEF*NtoN2O*kgtoGg</f>
        <v>0.34655245178516436</v>
      </c>
      <c r="AT94" s="22">
        <f>'Activity data'!AT53*ManureNEF*NtoN2O*kgtoGg</f>
        <v>0.35245124824833746</v>
      </c>
      <c r="AU94" s="22">
        <f>'Activity data'!AU53*ManureNEF*NtoN2O*kgtoGg</f>
        <v>0.35952015235819307</v>
      </c>
      <c r="AV94" s="22">
        <f>'Activity data'!AV53*ManureNEF*NtoN2O*kgtoGg</f>
        <v>0.36626199095306572</v>
      </c>
      <c r="AW94" s="22">
        <f>'Activity data'!AW53*ManureNEF*NtoN2O*kgtoGg</f>
        <v>0.3716240970019607</v>
      </c>
      <c r="AX94" s="22">
        <f>'Activity data'!AX53*ManureNEF*NtoN2O*kgtoGg</f>
        <v>0.37698059087148783</v>
      </c>
      <c r="AY94" s="22">
        <f>'Activity data'!AY53*ManureNEF*NtoN2O*kgtoGg</f>
        <v>0.38224766939713928</v>
      </c>
      <c r="AZ94" s="22">
        <f>'Activity data'!AZ53*ManureNEF*NtoN2O*kgtoGg</f>
        <v>0.38734329049793453</v>
      </c>
      <c r="BA94" s="22">
        <f>'Activity data'!BA53*ManureNEF*NtoN2O*kgtoGg</f>
        <v>0.3909299004199428</v>
      </c>
      <c r="BB94" s="22">
        <f>'Activity data'!BB53*ManureNEF*NtoN2O*kgtoGg</f>
        <v>0.39459091215588343</v>
      </c>
      <c r="BC94" s="22">
        <f>'Activity data'!BC53*ManureNEF*NtoN2O*kgtoGg</f>
        <v>0.39865657347469391</v>
      </c>
      <c r="BD94" s="22">
        <f>'Activity data'!BD53*ManureNEF*NtoN2O*kgtoGg</f>
        <v>0.40282482333661007</v>
      </c>
      <c r="BE94" s="22">
        <f>'Activity data'!BE53*ManureNEF*NtoN2O*kgtoGg</f>
        <v>0.40617081052477416</v>
      </c>
      <c r="BF94" s="22">
        <f>'Activity data'!BF53*ManureNEF*NtoN2O*kgtoGg</f>
        <v>0.40919740122725201</v>
      </c>
      <c r="BG94" s="22">
        <f>'Activity data'!BG53*ManureNEF*NtoN2O*kgtoGg</f>
        <v>0.41427911522750027</v>
      </c>
      <c r="BH94" s="22">
        <f>'Activity data'!BH53*ManureNEF*NtoN2O*kgtoGg</f>
        <v>0.41956967146146751</v>
      </c>
      <c r="BI94" s="22">
        <f>'Activity data'!BI53*ManureNEF*NtoN2O*kgtoGg</f>
        <v>0.42519004178582431</v>
      </c>
      <c r="BJ94" s="22">
        <f>'Activity data'!BJ53*ManureNEF*NtoN2O*kgtoGg</f>
        <v>0.4310429256276449</v>
      </c>
      <c r="BK94" s="22">
        <f>'Activity data'!BK53*ManureNEF*NtoN2O*kgtoGg</f>
        <v>0.43740134915428458</v>
      </c>
      <c r="BL94" s="22">
        <f>'Activity data'!BL53*ManureNEF*NtoN2O*kgtoGg</f>
        <v>0.44404464596060078</v>
      </c>
      <c r="BM94" s="22">
        <f>'Activity data'!BM53*ManureNEF*NtoN2O*kgtoGg</f>
        <v>0.45080325744953642</v>
      </c>
      <c r="BN94" s="22">
        <f>'Activity data'!BN53*ManureNEF*NtoN2O*kgtoGg</f>
        <v>0.45691319563784322</v>
      </c>
      <c r="BO94" s="22">
        <f>'Activity data'!BO53*ManureNEF*NtoN2O*kgtoGg</f>
        <v>0.4631627830053871</v>
      </c>
      <c r="BP94" s="22">
        <f>'Activity data'!BP53*ManureNEF*NtoN2O*kgtoGg</f>
        <v>0.46969074380947906</v>
      </c>
    </row>
    <row r="95" spans="1:68" x14ac:dyDescent="0.25">
      <c r="A95" t="str">
        <f t="shared" si="29"/>
        <v>3C Aggregated and non-CO2 emissions on land</v>
      </c>
      <c r="B95" t="str">
        <f t="shared" si="31"/>
        <v>3C4 Direct N2O from managed soils (N2O)</v>
      </c>
      <c r="C95" t="str">
        <f t="shared" si="35"/>
        <v>MM emissions</v>
      </c>
      <c r="D95" t="str">
        <f>'Activity data'!D54</f>
        <v xml:space="preserve"> - Subsistence cattle</v>
      </c>
      <c r="E95" t="str">
        <f t="shared" si="32"/>
        <v>MM emissions - Subsistence cattle</v>
      </c>
      <c r="F95" t="str">
        <f t="shared" si="33"/>
        <v>N2O</v>
      </c>
      <c r="G95" t="str">
        <f t="shared" si="34"/>
        <v>Gg N2O</v>
      </c>
      <c r="H95" s="22">
        <f>'Activity data'!H54*ManureNEF*NtoN2O*kgtoGg</f>
        <v>2.3123208692915074</v>
      </c>
      <c r="I95" s="22">
        <f>'Activity data'!I54*ManureNEF*NtoN2O*kgtoGg</f>
        <v>2.4533774800543875</v>
      </c>
      <c r="J95" s="22">
        <f>'Activity data'!J54*ManureNEF*NtoN2O*kgtoGg</f>
        <v>2.5692454103238966</v>
      </c>
      <c r="K95" s="22">
        <f>'Activity data'!K54*ManureNEF*NtoN2O*kgtoGg</f>
        <v>2.5390189937318506</v>
      </c>
      <c r="L95" s="22">
        <f>'Activity data'!L54*ManureNEF*NtoN2O*kgtoGg</f>
        <v>2.2115661473180213</v>
      </c>
      <c r="M95" s="22">
        <f>'Activity data'!M54*ManureNEF*NtoN2O*kgtoGg</f>
        <v>2.1360001058379061</v>
      </c>
      <c r="N95" s="22">
        <f>'Activity data'!N54*ManureNEF*NtoN2O*kgtoGg</f>
        <v>2.1964529390219978</v>
      </c>
      <c r="O95" s="22">
        <f>'Activity data'!O54*ManureNEF*NtoN2O*kgtoGg</f>
        <v>2.2972076609954839</v>
      </c>
      <c r="P95" s="22">
        <f>'Activity data'!P54*ManureNEF*NtoN2O*kgtoGg</f>
        <v>2.4382642717583649</v>
      </c>
      <c r="Q95" s="22">
        <f>'Activity data'!Q54*ManureNEF*NtoN2O*kgtoGg</f>
        <v>2.5390189937318506</v>
      </c>
      <c r="R95" s="22">
        <f>'Activity data'!R54*ManureNEF*NtoN2O*kgtoGg</f>
        <v>2.4785661605477589</v>
      </c>
      <c r="S95" s="22">
        <f>'Activity data'!S54*ManureNEF*NtoN2O*kgtoGg</f>
        <v>2.4181133273636677</v>
      </c>
      <c r="T95" s="22">
        <f>'Activity data'!T54*ManureNEF*NtoN2O*kgtoGg</f>
        <v>2.7405284376788228</v>
      </c>
      <c r="U95" s="22">
        <f>'Activity data'!U54*ManureNEF*NtoN2O*kgtoGg</f>
        <v>2.8060190069615891</v>
      </c>
      <c r="V95" s="22">
        <f>'Activity data'!V54*ManureNEF*NtoN2O*kgtoGg</f>
        <v>2.7606793820735205</v>
      </c>
      <c r="W95" s="22">
        <f>'Activity data'!W54*ManureNEF*NtoN2O*kgtoGg</f>
        <v>2.6800756044947311</v>
      </c>
      <c r="X95" s="22">
        <f>'Activity data'!X54*ManureNEF*NtoN2O*kgtoGg</f>
        <v>2.7657171181721947</v>
      </c>
      <c r="Y95" s="22">
        <f>'Activity data'!Y54*ManureNEF*NtoN2O*kgtoGg</f>
        <v>2.8765473123430296</v>
      </c>
      <c r="Z95" s="22">
        <f>'Activity data'!Z54*ManureNEF*NtoN2O*kgtoGg</f>
        <v>2.8312076874549605</v>
      </c>
      <c r="AA95" s="22">
        <f>'Activity data'!AA54*ManureNEF*NtoN2O*kgtoGg</f>
        <v>2.8009812708629149</v>
      </c>
      <c r="AB95" s="22">
        <f>'Activity data'!AB54*ManureNEF*NtoN2O*kgtoGg</f>
        <v>2.7606793820735205</v>
      </c>
      <c r="AC95" s="22">
        <f>'Activity data'!AC54*ManureNEF*NtoN2O*kgtoGg</f>
        <v>2.7808303264682173</v>
      </c>
      <c r="AD95" s="22">
        <f>'Activity data'!AD54*ManureNEF*NtoN2O*kgtoGg</f>
        <v>2.6608449387239337</v>
      </c>
      <c r="AE95" s="22">
        <f>'Activity data'!AE54*ManureNEF*NtoN2O*kgtoGg</f>
        <v>2.6518672077282353</v>
      </c>
      <c r="AF95" s="22">
        <f>'Activity data'!AF54*ManureNEF*NtoN2O*kgtoGg</f>
        <v>2.6236341876618616</v>
      </c>
      <c r="AG95" s="22">
        <f>'Activity data'!AG54*ManureNEF*NtoN2O*kgtoGg</f>
        <v>2.5818771165212508</v>
      </c>
      <c r="AH95" s="22">
        <f>'Activity data'!AH54*ManureNEF*NtoN2O*kgtoGg</f>
        <v>2.5267134498143005</v>
      </c>
      <c r="AI95" s="22">
        <f>'Activity data'!AI54*ManureNEF*NtoN2O*kgtoGg</f>
        <v>2.4905945223113561</v>
      </c>
      <c r="AJ95" s="22">
        <f>'Activity data'!AJ54*ManureNEF*NtoN2O*kgtoGg</f>
        <v>2.4511285574746471</v>
      </c>
      <c r="AK95" s="22">
        <f>'Activity data'!AK54*ManureNEF*NtoN2O*kgtoGg</f>
        <v>2.4107560521802012</v>
      </c>
      <c r="AL95" s="22">
        <f>'Activity data'!AL54*ManureNEF*NtoN2O*kgtoGg</f>
        <v>2.112153342001609</v>
      </c>
      <c r="AM95" s="22">
        <f>'Activity data'!AM54*ManureNEF*NtoN2O*kgtoGg</f>
        <v>2.1372532810130638</v>
      </c>
      <c r="AN95" s="22">
        <f>'Activity data'!AN54*ManureNEF*NtoN2O*kgtoGg</f>
        <v>2.1584348569929932</v>
      </c>
      <c r="AO95" s="22">
        <f>'Activity data'!AO54*ManureNEF*NtoN2O*kgtoGg</f>
        <v>2.1801909223869735</v>
      </c>
      <c r="AP95" s="22">
        <f>'Activity data'!AP54*ManureNEF*NtoN2O*kgtoGg</f>
        <v>2.2055937614122247</v>
      </c>
      <c r="AQ95" s="22">
        <f>'Activity data'!AQ54*ManureNEF*NtoN2O*kgtoGg</f>
        <v>2.2366647804948219</v>
      </c>
      <c r="AR95" s="22">
        <f>'Activity data'!AR54*ManureNEF*NtoN2O*kgtoGg</f>
        <v>2.2691426908142485</v>
      </c>
      <c r="AS95" s="22">
        <f>'Activity data'!AS54*ManureNEF*NtoN2O*kgtoGg</f>
        <v>2.3048339376900415</v>
      </c>
      <c r="AT95" s="22">
        <f>'Activity data'!AT54*ManureNEF*NtoN2O*kgtoGg</f>
        <v>2.3440653619948257</v>
      </c>
      <c r="AU95" s="22">
        <f>'Activity data'!AU54*ManureNEF*NtoN2O*kgtoGg</f>
        <v>2.3910788804701539</v>
      </c>
      <c r="AV95" s="22">
        <f>'Activity data'!AV54*ManureNEF*NtoN2O*kgtoGg</f>
        <v>2.4359171677650409</v>
      </c>
      <c r="AW95" s="22">
        <f>'Activity data'!AW54*ManureNEF*NtoN2O*kgtoGg</f>
        <v>2.4715791979579422</v>
      </c>
      <c r="AX95" s="22">
        <f>'Activity data'!AX54*ManureNEF*NtoN2O*kgtoGg</f>
        <v>2.5072039029453657</v>
      </c>
      <c r="AY95" s="22">
        <f>'Activity data'!AY54*ManureNEF*NtoN2O*kgtoGg</f>
        <v>2.5422339287780074</v>
      </c>
      <c r="AZ95" s="22">
        <f>'Activity data'!AZ54*ManureNEF*NtoN2O*kgtoGg</f>
        <v>2.5761236340339471</v>
      </c>
      <c r="BA95" s="22">
        <f>'Activity data'!BA54*ManureNEF*NtoN2O*kgtoGg</f>
        <v>2.5999772822390539</v>
      </c>
      <c r="BB95" s="22">
        <f>'Activity data'!BB54*ManureNEF*NtoN2O*kgtoGg</f>
        <v>2.6243257583551833</v>
      </c>
      <c r="BC95" s="22">
        <f>'Activity data'!BC54*ManureNEF*NtoN2O*kgtoGg</f>
        <v>2.6513654579402761</v>
      </c>
      <c r="BD95" s="22">
        <f>'Activity data'!BD54*ManureNEF*NtoN2O*kgtoGg</f>
        <v>2.6790874483432527</v>
      </c>
      <c r="BE95" s="22">
        <f>'Activity data'!BE54*ManureNEF*NtoN2O*kgtoGg</f>
        <v>2.7013407747491991</v>
      </c>
      <c r="BF95" s="22">
        <f>'Activity data'!BF54*ManureNEF*NtoN2O*kgtoGg</f>
        <v>2.7214698747761497</v>
      </c>
      <c r="BG95" s="22">
        <f>'Activity data'!BG54*ManureNEF*NtoN2O*kgtoGg</f>
        <v>2.7552670873743379</v>
      </c>
      <c r="BH95" s="22">
        <f>'Activity data'!BH54*ManureNEF*NtoN2O*kgtoGg</f>
        <v>2.7904532575903978</v>
      </c>
      <c r="BI95" s="22">
        <f>'Activity data'!BI54*ManureNEF*NtoN2O*kgtoGg</f>
        <v>2.8278329390765164</v>
      </c>
      <c r="BJ95" s="22">
        <f>'Activity data'!BJ54*ManureNEF*NtoN2O*kgtoGg</f>
        <v>2.8667590099858304</v>
      </c>
      <c r="BK95" s="22">
        <f>'Activity data'!BK54*ManureNEF*NtoN2O*kgtoGg</f>
        <v>2.9090472992733969</v>
      </c>
      <c r="BL95" s="22">
        <f>'Activity data'!BL54*ManureNEF*NtoN2O*kgtoGg</f>
        <v>2.953230209705775</v>
      </c>
      <c r="BM95" s="22">
        <f>'Activity data'!BM54*ManureNEF*NtoN2O*kgtoGg</f>
        <v>2.9981800493364514</v>
      </c>
      <c r="BN95" s="22">
        <f>'Activity data'!BN54*ManureNEF*NtoN2O*kgtoGg</f>
        <v>3.0388157246030856</v>
      </c>
      <c r="BO95" s="22">
        <f>'Activity data'!BO54*ManureNEF*NtoN2O*kgtoGg</f>
        <v>3.0803801717367723</v>
      </c>
      <c r="BP95" s="22">
        <f>'Activity data'!BP54*ManureNEF*NtoN2O*kgtoGg</f>
        <v>3.1237960111794805</v>
      </c>
    </row>
    <row r="96" spans="1:68" x14ac:dyDescent="0.25">
      <c r="A96" t="str">
        <f t="shared" si="29"/>
        <v>3C Aggregated and non-CO2 emissions on land</v>
      </c>
      <c r="B96" t="str">
        <f t="shared" si="31"/>
        <v>3C4 Direct N2O from managed soils (N2O)</v>
      </c>
      <c r="C96" t="str">
        <f t="shared" si="35"/>
        <v>MM emissions</v>
      </c>
      <c r="D96" t="str">
        <f>'Activity data'!D55</f>
        <v xml:space="preserve"> - Feedlot</v>
      </c>
      <c r="E96" t="str">
        <f t="shared" si="32"/>
        <v>MM emissions - Feedlot</v>
      </c>
      <c r="F96" t="str">
        <f t="shared" si="33"/>
        <v>N2O</v>
      </c>
      <c r="G96" t="str">
        <f t="shared" si="34"/>
        <v>Gg N2O</v>
      </c>
      <c r="H96" s="22">
        <f>'Activity data'!H55*ManureNEF*NtoN2O*kgtoGg</f>
        <v>0.26650892267999993</v>
      </c>
      <c r="I96" s="22">
        <f>'Activity data'!I55*ManureNEF*NtoN2O*kgtoGg</f>
        <v>0.26650892267999993</v>
      </c>
      <c r="J96" s="22">
        <f>'Activity data'!J55*ManureNEF*NtoN2O*kgtoGg</f>
        <v>0.26650892267999993</v>
      </c>
      <c r="K96" s="22">
        <f>'Activity data'!K55*ManureNEF*NtoN2O*kgtoGg</f>
        <v>0.26650892267999993</v>
      </c>
      <c r="L96" s="22">
        <f>'Activity data'!L55*ManureNEF*NtoN2O*kgtoGg</f>
        <v>0.26650892267999993</v>
      </c>
      <c r="M96" s="22">
        <f>'Activity data'!M55*ManureNEF*NtoN2O*kgtoGg</f>
        <v>0.26650892267999993</v>
      </c>
      <c r="N96" s="22">
        <f>'Activity data'!N55*ManureNEF*NtoN2O*kgtoGg</f>
        <v>0.26650892267999993</v>
      </c>
      <c r="O96" s="22">
        <f>'Activity data'!O55*ManureNEF*NtoN2O*kgtoGg</f>
        <v>0.26650892267999993</v>
      </c>
      <c r="P96" s="22">
        <f>'Activity data'!P55*ManureNEF*NtoN2O*kgtoGg</f>
        <v>0.26650892267999993</v>
      </c>
      <c r="Q96" s="22">
        <f>'Activity data'!Q55*ManureNEF*NtoN2O*kgtoGg</f>
        <v>0.26650892267999993</v>
      </c>
      <c r="R96" s="22">
        <f>'Activity data'!R55*ManureNEF*NtoN2O*kgtoGg</f>
        <v>0.26650892267999993</v>
      </c>
      <c r="S96" s="22">
        <f>'Activity data'!S55*ManureNEF*NtoN2O*kgtoGg</f>
        <v>0.26650892267999993</v>
      </c>
      <c r="T96" s="22">
        <f>'Activity data'!T55*ManureNEF*NtoN2O*kgtoGg</f>
        <v>0.26650892267999993</v>
      </c>
      <c r="U96" s="22">
        <f>'Activity data'!U55*ManureNEF*NtoN2O*kgtoGg</f>
        <v>0.26650892267999993</v>
      </c>
      <c r="V96" s="22">
        <f>'Activity data'!V55*ManureNEF*NtoN2O*kgtoGg</f>
        <v>0.26650892267999993</v>
      </c>
      <c r="W96" s="22">
        <f>'Activity data'!W55*ManureNEF*NtoN2O*kgtoGg</f>
        <v>0.26650892267999993</v>
      </c>
      <c r="X96" s="22">
        <f>'Activity data'!X55*ManureNEF*NtoN2O*kgtoGg</f>
        <v>0.26650892267999993</v>
      </c>
      <c r="Y96" s="22">
        <f>'Activity data'!Y55*ManureNEF*NtoN2O*kgtoGg</f>
        <v>0.26650892267999993</v>
      </c>
      <c r="Z96" s="22">
        <f>'Activity data'!Z55*ManureNEF*NtoN2O*kgtoGg</f>
        <v>0.24820087014572845</v>
      </c>
      <c r="AA96" s="22">
        <f>'Activity data'!AA55*ManureNEF*NtoN2O*kgtoGg</f>
        <v>0.25433797839299843</v>
      </c>
      <c r="AB96" s="22">
        <f>'Activity data'!AB55*ManureNEF*NtoN2O*kgtoGg</f>
        <v>0.25370528409540599</v>
      </c>
      <c r="AC96" s="22">
        <f>'Activity data'!AC55*ManureNEF*NtoN2O*kgtoGg</f>
        <v>0.29303301169470902</v>
      </c>
      <c r="AD96" s="22">
        <f>'Activity data'!AD55*ManureNEF*NtoN2O*kgtoGg</f>
        <v>0.34354644624684361</v>
      </c>
      <c r="AE96" s="22">
        <f>'Activity data'!AE55*ManureNEF*NtoN2O*kgtoGg</f>
        <v>0.35702098027214346</v>
      </c>
      <c r="AF96" s="22">
        <f>'Activity data'!AF55*ManureNEF*NtoN2O*kgtoGg</f>
        <v>0.36811325513799248</v>
      </c>
      <c r="AG96" s="22">
        <f>'Activity data'!AG55*ManureNEF*NtoN2O*kgtoGg</f>
        <v>0.37735557472384079</v>
      </c>
      <c r="AH96" s="22">
        <f>'Activity data'!AH55*ManureNEF*NtoN2O*kgtoGg</f>
        <v>0.3845425467521234</v>
      </c>
      <c r="AI96" s="22">
        <f>'Activity data'!AI55*ManureNEF*NtoN2O*kgtoGg</f>
        <v>0.39457718265272745</v>
      </c>
      <c r="AJ96" s="22">
        <f>'Activity data'!AJ55*ManureNEF*NtoN2O*kgtoGg</f>
        <v>0.40413893295520587</v>
      </c>
      <c r="AK96" s="22">
        <f>'Activity data'!AK55*ManureNEF*NtoN2O*kgtoGg</f>
        <v>0.41359356455096907</v>
      </c>
      <c r="AL96" s="22">
        <f>'Activity data'!AL55*ManureNEF*NtoN2O*kgtoGg</f>
        <v>0.37700322311211948</v>
      </c>
      <c r="AM96" s="22">
        <f>'Activity data'!AM55*ManureNEF*NtoN2O*kgtoGg</f>
        <v>0.39066748521884193</v>
      </c>
      <c r="AN96" s="22">
        <f>'Activity data'!AN55*ManureNEF*NtoN2O*kgtoGg</f>
        <v>0.40390726796253273</v>
      </c>
      <c r="AO96" s="22">
        <f>'Activity data'!AO55*ManureNEF*NtoN2O*kgtoGg</f>
        <v>0.41754248309246256</v>
      </c>
      <c r="AP96" s="22">
        <f>'Activity data'!AP55*ManureNEF*NtoN2O*kgtoGg</f>
        <v>0.43219326494992744</v>
      </c>
      <c r="AQ96" s="22">
        <f>'Activity data'!AQ55*ManureNEF*NtoN2O*kgtoGg</f>
        <v>0.44832449440544603</v>
      </c>
      <c r="AR96" s="22">
        <f>'Activity data'!AR55*ManureNEF*NtoN2O*kgtoGg</f>
        <v>0.46515123862179614</v>
      </c>
      <c r="AS96" s="22">
        <f>'Activity data'!AS55*ManureNEF*NtoN2O*kgtoGg</f>
        <v>0.4830840149336616</v>
      </c>
      <c r="AT96" s="22">
        <f>'Activity data'!AT55*ManureNEF*NtoN2O*kgtoGg</f>
        <v>0.50225084559938982</v>
      </c>
      <c r="AU96" s="22">
        <f>'Activity data'!AU55*ManureNEF*NtoN2O*kgtoGg</f>
        <v>0.52364492426234654</v>
      </c>
      <c r="AV96" s="22">
        <f>'Activity data'!AV55*ManureNEF*NtoN2O*kgtoGg</f>
        <v>0.54516495938219611</v>
      </c>
      <c r="AW96" s="22">
        <f>'Activity data'!AW55*ManureNEF*NtoN2O*kgtoGg</f>
        <v>0.57148114802836114</v>
      </c>
      <c r="AX96" s="22">
        <f>'Activity data'!AX55*ManureNEF*NtoN2O*kgtoGg</f>
        <v>0.59897096755795354</v>
      </c>
      <c r="AY96" s="22">
        <f>'Activity data'!AY55*ManureNEF*NtoN2O*kgtoGg</f>
        <v>0.62756120575158847</v>
      </c>
      <c r="AZ96" s="22">
        <f>'Activity data'!AZ55*ManureNEF*NtoN2O*kgtoGg</f>
        <v>0.65716781488222875</v>
      </c>
      <c r="BA96" s="22">
        <f>'Activity data'!BA55*ManureNEF*NtoN2O*kgtoGg</f>
        <v>0.68549050652214527</v>
      </c>
      <c r="BB96" s="22">
        <f>'Activity data'!BB55*ManureNEF*NtoN2O*kgtoGg</f>
        <v>0.7152106727398414</v>
      </c>
      <c r="BC96" s="22">
        <f>'Activity data'!BC55*ManureNEF*NtoN2O*kgtoGg</f>
        <v>0.74703509800683965</v>
      </c>
      <c r="BD96" s="22">
        <f>'Activity data'!BD55*ManureNEF*NtoN2O*kgtoGg</f>
        <v>0.78053635918414133</v>
      </c>
      <c r="BE96" s="22">
        <f>'Activity data'!BE55*ManureNEF*NtoN2O*kgtoGg</f>
        <v>0.81397130623192515</v>
      </c>
      <c r="BF96" s="22">
        <f>'Activity data'!BF55*ManureNEF*NtoN2O*kgtoGg</f>
        <v>0.8483098310968632</v>
      </c>
      <c r="BG96" s="22">
        <f>'Activity data'!BG55*ManureNEF*NtoN2O*kgtoGg</f>
        <v>0.88306441715087192</v>
      </c>
      <c r="BH96" s="22">
        <f>'Activity data'!BH55*ManureNEF*NtoN2O*kgtoGg</f>
        <v>0.91964956978359558</v>
      </c>
      <c r="BI96" s="22">
        <f>'Activity data'!BI55*ManureNEF*NtoN2O*kgtoGg</f>
        <v>0.95844436693192747</v>
      </c>
      <c r="BJ96" s="22">
        <f>'Activity data'!BJ55*ManureNEF*NtoN2O*kgtoGg</f>
        <v>0.99935980833645754</v>
      </c>
      <c r="BK96" s="22">
        <f>'Activity data'!BK55*ManureNEF*NtoN2O*kgtoGg</f>
        <v>1.0431732175821316</v>
      </c>
      <c r="BL96" s="22">
        <f>'Activity data'!BL55*ManureNEF*NtoN2O*kgtoGg</f>
        <v>1.0895340438669012</v>
      </c>
      <c r="BM96" s="22">
        <f>'Activity data'!BM55*ManureNEF*NtoN2O*kgtoGg</f>
        <v>1.1381710475733868</v>
      </c>
      <c r="BN96" s="22">
        <f>'Activity data'!BN55*ManureNEF*NtoN2O*kgtoGg</f>
        <v>1.1872293723071237</v>
      </c>
      <c r="BO96" s="22">
        <f>'Activity data'!BO55*ManureNEF*NtoN2O*kgtoGg</f>
        <v>1.2387821147859213</v>
      </c>
      <c r="BP96" s="22">
        <f>'Activity data'!BP55*ManureNEF*NtoN2O*kgtoGg</f>
        <v>1.2933599876611643</v>
      </c>
    </row>
    <row r="97" spans="1:68" x14ac:dyDescent="0.25">
      <c r="A97" t="str">
        <f t="shared" si="29"/>
        <v>3C Aggregated and non-CO2 emissions on land</v>
      </c>
      <c r="B97" t="str">
        <f t="shared" si="31"/>
        <v>3C4 Direct N2O from managed soils (N2O)</v>
      </c>
      <c r="C97" t="str">
        <f t="shared" si="35"/>
        <v>MM emissions</v>
      </c>
      <c r="D97" t="str">
        <f>'Activity data'!D56</f>
        <v xml:space="preserve"> - Commercial sheep</v>
      </c>
      <c r="E97" t="str">
        <f t="shared" si="32"/>
        <v>MM emissions - Commercial sheep</v>
      </c>
      <c r="F97" t="str">
        <f t="shared" si="33"/>
        <v>N2O</v>
      </c>
      <c r="G97" t="str">
        <f t="shared" si="34"/>
        <v>Gg N2O</v>
      </c>
      <c r="H97" s="22">
        <f>'Activity data'!H56*ManureNEF*NtoN2O*kgtoGg</f>
        <v>9.1991860386242574E-2</v>
      </c>
      <c r="I97" s="22">
        <f>'Activity data'!I56*ManureNEF*NtoN2O*kgtoGg</f>
        <v>8.7855463982071155E-2</v>
      </c>
      <c r="J97" s="22">
        <f>'Activity data'!J56*ManureNEF*NtoN2O*kgtoGg</f>
        <v>8.4225377226778267E-2</v>
      </c>
      <c r="K97" s="22">
        <f>'Activity data'!K56*ManureNEF*NtoN2O*kgtoGg</f>
        <v>7.8769507192196109E-2</v>
      </c>
      <c r="L97" s="22">
        <f>'Activity data'!L56*ManureNEF*NtoN2O*kgtoGg</f>
        <v>7.9324913534299213E-2</v>
      </c>
      <c r="M97" s="22">
        <f>'Activity data'!M56*ManureNEF*NtoN2O*kgtoGg</f>
        <v>7.8189552503480655E-2</v>
      </c>
      <c r="N97" s="22">
        <f>'Activity data'!N56*ManureNEF*NtoN2O*kgtoGg</f>
        <v>7.8450378686236291E-2</v>
      </c>
      <c r="O97" s="22">
        <f>'Activity data'!O56*ManureNEF*NtoN2O*kgtoGg</f>
        <v>7.6744268596681903E-2</v>
      </c>
      <c r="P97" s="22">
        <f>'Activity data'!P56*ManureNEF*NtoN2O*kgtoGg</f>
        <v>7.6955998086212937E-2</v>
      </c>
      <c r="Q97" s="22">
        <f>'Activity data'!Q56*ManureNEF*NtoN2O*kgtoGg</f>
        <v>7.5065775397066339E-2</v>
      </c>
      <c r="R97" s="22">
        <f>'Activity data'!R56*ManureNEF*NtoN2O*kgtoGg</f>
        <v>7.2374662899693701E-2</v>
      </c>
      <c r="S97" s="22">
        <f>'Activity data'!S56*ManureNEF*NtoN2O*kgtoGg</f>
        <v>7.0570359423690138E-2</v>
      </c>
      <c r="T97" s="22">
        <f>'Activity data'!T56*ManureNEF*NtoN2O*kgtoGg</f>
        <v>6.9392038786300056E-2</v>
      </c>
      <c r="U97" s="22">
        <f>'Activity data'!U56*ManureNEF*NtoN2O*kgtoGg</f>
        <v>6.9634453709096461E-2</v>
      </c>
      <c r="V97" s="22">
        <f>'Activity data'!V56*ManureNEF*NtoN2O*kgtoGg</f>
        <v>6.8394762205175638E-2</v>
      </c>
      <c r="W97" s="22">
        <f>'Activity data'!W56*ManureNEF*NtoN2O*kgtoGg</f>
        <v>6.8232129408869205E-2</v>
      </c>
      <c r="X97" s="22">
        <f>'Activity data'!X56*ManureNEF*NtoN2O*kgtoGg</f>
        <v>6.7339183300847025E-2</v>
      </c>
      <c r="Y97" s="22">
        <f>'Activity data'!Y56*ManureNEF*NtoN2O*kgtoGg</f>
        <v>6.7274743890989752E-2</v>
      </c>
      <c r="Z97" s="22">
        <f>'Activity data'!Z56*ManureNEF*NtoN2O*kgtoGg</f>
        <v>6.7492610467173877E-2</v>
      </c>
      <c r="AA97" s="22">
        <f>'Activity data'!AA56*ManureNEF*NtoN2O*kgtoGg</f>
        <v>6.7253264087704004E-2</v>
      </c>
      <c r="AB97" s="22">
        <f>'Activity data'!AB56*ManureNEF*NtoN2O*kgtoGg</f>
        <v>6.5952201717252468E-2</v>
      </c>
      <c r="AC97" s="22">
        <f>'Activity data'!AC56*ManureNEF*NtoN2O*kgtoGg</f>
        <v>6.5436686438394301E-2</v>
      </c>
      <c r="AD97" s="22">
        <f>'Activity data'!AD56*ManureNEF*NtoN2O*kgtoGg</f>
        <v>5.8348585822731135E-2</v>
      </c>
      <c r="AE97" s="22">
        <f>'Activity data'!AE56*ManureNEF*NtoN2O*kgtoGg</f>
        <v>5.838020396312902E-2</v>
      </c>
      <c r="AF97" s="22">
        <f>'Activity data'!AF56*ManureNEF*NtoN2O*kgtoGg</f>
        <v>5.8452121395389751E-2</v>
      </c>
      <c r="AG97" s="22">
        <f>'Activity data'!AG56*ManureNEF*NtoN2O*kgtoGg</f>
        <v>5.8562256432821577E-2</v>
      </c>
      <c r="AH97" s="22">
        <f>'Activity data'!AH56*ManureNEF*NtoN2O*kgtoGg</f>
        <v>5.8708568869725801E-2</v>
      </c>
      <c r="AI97" s="22">
        <f>'Activity data'!AI56*ManureNEF*NtoN2O*kgtoGg</f>
        <v>5.8892622000939351E-2</v>
      </c>
      <c r="AJ97" s="22">
        <f>'Activity data'!AJ56*ManureNEF*NtoN2O*kgtoGg</f>
        <v>5.9096619985257892E-2</v>
      </c>
      <c r="AK97" s="22">
        <f>'Activity data'!AK56*ManureNEF*NtoN2O*kgtoGg</f>
        <v>5.9321106138844185E-2</v>
      </c>
      <c r="AL97" s="22">
        <f>'Activity data'!AL56*ManureNEF*NtoN2O*kgtoGg</f>
        <v>5.9537526294367094E-2</v>
      </c>
      <c r="AM97" s="22">
        <f>'Activity data'!AM56*ManureNEF*NtoN2O*kgtoGg</f>
        <v>5.9623319637247735E-2</v>
      </c>
      <c r="AN97" s="22">
        <f>'Activity data'!AN56*ManureNEF*NtoN2O*kgtoGg</f>
        <v>5.972352251888155E-2</v>
      </c>
      <c r="AO97" s="22">
        <f>'Activity data'!AO56*ManureNEF*NtoN2O*kgtoGg</f>
        <v>5.9837729804353743E-2</v>
      </c>
      <c r="AP97" s="22">
        <f>'Activity data'!AP56*ManureNEF*NtoN2O*kgtoGg</f>
        <v>5.9965512465435071E-2</v>
      </c>
      <c r="AQ97" s="22">
        <f>'Activity data'!AQ56*ManureNEF*NtoN2O*kgtoGg</f>
        <v>6.0106433139309967E-2</v>
      </c>
      <c r="AR97" s="22">
        <f>'Activity data'!AR56*ManureNEF*NtoN2O*kgtoGg</f>
        <v>6.019297315863114E-2</v>
      </c>
      <c r="AS97" s="22">
        <f>'Activity data'!AS56*ManureNEF*NtoN2O*kgtoGg</f>
        <v>6.0290520079457455E-2</v>
      </c>
      <c r="AT97" s="22">
        <f>'Activity data'!AT56*ManureNEF*NtoN2O*kgtoGg</f>
        <v>6.039861392224713E-2</v>
      </c>
      <c r="AU97" s="22">
        <f>'Activity data'!AU56*ManureNEF*NtoN2O*kgtoGg</f>
        <v>6.0517325566081595E-2</v>
      </c>
      <c r="AV97" s="22">
        <f>'Activity data'!AV56*ManureNEF*NtoN2O*kgtoGg</f>
        <v>6.0645054804523743E-2</v>
      </c>
      <c r="AW97" s="22">
        <f>'Activity data'!AW56*ManureNEF*NtoN2O*kgtoGg</f>
        <v>6.0729563551848595E-2</v>
      </c>
      <c r="AX97" s="22">
        <f>'Activity data'!AX56*ManureNEF*NtoN2O*kgtoGg</f>
        <v>6.0822341780434469E-2</v>
      </c>
      <c r="AY97" s="22">
        <f>'Activity data'!AY56*ManureNEF*NtoN2O*kgtoGg</f>
        <v>6.0923006412945922E-2</v>
      </c>
      <c r="AZ97" s="22">
        <f>'Activity data'!AZ56*ManureNEF*NtoN2O*kgtoGg</f>
        <v>6.1031199897132724E-2</v>
      </c>
      <c r="BA97" s="22">
        <f>'Activity data'!BA56*ManureNEF*NtoN2O*kgtoGg</f>
        <v>6.1145430761155514E-2</v>
      </c>
      <c r="BB97" s="22">
        <f>'Activity data'!BB56*ManureNEF*NtoN2O*kgtoGg</f>
        <v>6.1216254722494062E-2</v>
      </c>
      <c r="BC97" s="22">
        <f>'Activity data'!BC56*ManureNEF*NtoN2O*kgtoGg</f>
        <v>6.1294001326082009E-2</v>
      </c>
      <c r="BD97" s="22">
        <f>'Activity data'!BD56*ManureNEF*NtoN2O*kgtoGg</f>
        <v>6.1378200895407506E-2</v>
      </c>
      <c r="BE97" s="22">
        <f>'Activity data'!BE56*ManureNEF*NtoN2O*kgtoGg</f>
        <v>6.1467744530330805E-2</v>
      </c>
      <c r="BF97" s="22">
        <f>'Activity data'!BF56*ManureNEF*NtoN2O*kgtoGg</f>
        <v>6.1562930949533204E-2</v>
      </c>
      <c r="BG97" s="22">
        <f>'Activity data'!BG56*ManureNEF*NtoN2O*kgtoGg</f>
        <v>6.1616750593097493E-2</v>
      </c>
      <c r="BH97" s="22">
        <f>'Activity data'!BH56*ManureNEF*NtoN2O*kgtoGg</f>
        <v>6.1676050162210311E-2</v>
      </c>
      <c r="BI97" s="22">
        <f>'Activity data'!BI56*ManureNEF*NtoN2O*kgtoGg</f>
        <v>6.1740834724056538E-2</v>
      </c>
      <c r="BJ97" s="22">
        <f>'Activity data'!BJ56*ManureNEF*NtoN2O*kgtoGg</f>
        <v>6.1810887945012515E-2</v>
      </c>
      <c r="BK97" s="22">
        <f>'Activity data'!BK56*ManureNEF*NtoN2O*kgtoGg</f>
        <v>6.1886424610215533E-2</v>
      </c>
      <c r="BL97" s="22">
        <f>'Activity data'!BL56*ManureNEF*NtoN2O*kgtoGg</f>
        <v>6.1919522636135184E-2</v>
      </c>
      <c r="BM97" s="22">
        <f>'Activity data'!BM56*ManureNEF*NtoN2O*kgtoGg</f>
        <v>6.1957277879549633E-2</v>
      </c>
      <c r="BN97" s="22">
        <f>'Activity data'!BN56*ManureNEF*NtoN2O*kgtoGg</f>
        <v>6.1998668816419883E-2</v>
      </c>
      <c r="BO97" s="22">
        <f>'Activity data'!BO56*ManureNEF*NtoN2O*kgtoGg</f>
        <v>6.2044553445996305E-2</v>
      </c>
      <c r="BP97" s="22">
        <f>'Activity data'!BP56*ManureNEF*NtoN2O*kgtoGg</f>
        <v>6.2095050003092643E-2</v>
      </c>
    </row>
    <row r="98" spans="1:68" x14ac:dyDescent="0.25">
      <c r="A98" t="str">
        <f t="shared" si="29"/>
        <v>3C Aggregated and non-CO2 emissions on land</v>
      </c>
      <c r="B98" t="str">
        <f t="shared" si="31"/>
        <v>3C4 Direct N2O from managed soils (N2O)</v>
      </c>
      <c r="C98" t="str">
        <f t="shared" si="35"/>
        <v>MM emissions</v>
      </c>
      <c r="D98" t="str">
        <f>'Activity data'!D57</f>
        <v xml:space="preserve"> - Subsistence sheep</v>
      </c>
      <c r="E98" t="str">
        <f t="shared" si="32"/>
        <v>MM emissions - Subsistence sheep</v>
      </c>
      <c r="F98" t="str">
        <f t="shared" si="33"/>
        <v>N2O</v>
      </c>
      <c r="G98" t="str">
        <f t="shared" si="34"/>
        <v>Gg N2O</v>
      </c>
      <c r="H98" s="22">
        <f>'Activity data'!H57*ManureNEF*NtoN2O*kgtoGg</f>
        <v>6.9925803620037946E-2</v>
      </c>
      <c r="I98" s="22">
        <f>'Activity data'!I57*ManureNEF*NtoN2O*kgtoGg</f>
        <v>6.6781603237109521E-2</v>
      </c>
      <c r="J98" s="22">
        <f>'Activity data'!J57*ManureNEF*NtoN2O*kgtoGg</f>
        <v>6.4022264177017271E-2</v>
      </c>
      <c r="K98" s="22">
        <f>'Activity data'!K57*ManureNEF*NtoN2O*kgtoGg</f>
        <v>5.9875091861849083E-2</v>
      </c>
      <c r="L98" s="22">
        <f>'Activity data'!L57*ManureNEF*NtoN2O*kgtoGg</f>
        <v>6.0297273070536055E-2</v>
      </c>
      <c r="M98" s="22">
        <f>'Activity data'!M57*ManureNEF*NtoN2O*kgtoGg</f>
        <v>5.9434250710236718E-2</v>
      </c>
      <c r="N98" s="22">
        <f>'Activity data'!N57*ManureNEF*NtoN2O*kgtoGg</f>
        <v>5.9632512603818993E-2</v>
      </c>
      <c r="O98" s="22">
        <f>'Activity data'!O57*ManureNEF*NtoN2O*kgtoGg</f>
        <v>5.8335646570504315E-2</v>
      </c>
      <c r="P98" s="22">
        <f>'Activity data'!P57*ManureNEF*NtoN2O*kgtoGg</f>
        <v>5.8496588578235996E-2</v>
      </c>
      <c r="Q98" s="22">
        <f>'Activity data'!Q57*ManureNEF*NtoN2O*kgtoGg</f>
        <v>5.7059772972980871E-2</v>
      </c>
      <c r="R98" s="22">
        <f>'Activity data'!R57*ManureNEF*NtoN2O*kgtoGg</f>
        <v>5.5014176729784849E-2</v>
      </c>
      <c r="S98" s="22">
        <f>'Activity data'!S57*ManureNEF*NtoN2O*kgtoGg</f>
        <v>5.3642670924768585E-2</v>
      </c>
      <c r="T98" s="22">
        <f>'Activity data'!T57*ManureNEF*NtoN2O*kgtoGg</f>
        <v>5.2746993664349803E-2</v>
      </c>
      <c r="U98" s="22">
        <f>'Activity data'!U57*ManureNEF*NtoN2O*kgtoGg</f>
        <v>5.2931260600738043E-2</v>
      </c>
      <c r="V98" s="22">
        <f>'Activity data'!V57*ManureNEF*NtoN2O*kgtoGg</f>
        <v>5.1988933483005775E-2</v>
      </c>
      <c r="W98" s="22">
        <f>'Activity data'!W57*ManureNEF*NtoN2O*kgtoGg</f>
        <v>5.1865311361125072E-2</v>
      </c>
      <c r="X98" s="22">
        <f>'Activity data'!X57*ManureNEF*NtoN2O*kgtoGg</f>
        <v>5.1186555937213961E-2</v>
      </c>
      <c r="Y98" s="22">
        <f>'Activity data'!Y57*ManureNEF*NtoN2O*kgtoGg</f>
        <v>5.1137573587034801E-2</v>
      </c>
      <c r="Z98" s="22">
        <f>'Activity data'!Z57*ManureNEF*NtoN2O*kgtoGg</f>
        <v>5.1303180580497661E-2</v>
      </c>
      <c r="AA98" s="22">
        <f>'Activity data'!AA57*ManureNEF*NtoN2O*kgtoGg</f>
        <v>5.1121246136975086E-2</v>
      </c>
      <c r="AB98" s="22">
        <f>'Activity data'!AB57*ManureNEF*NtoN2O*kgtoGg</f>
        <v>5.0132269161929359E-2</v>
      </c>
      <c r="AC98" s="22">
        <f>'Activity data'!AC57*ManureNEF*NtoN2O*kgtoGg</f>
        <v>4.9740410360496132E-2</v>
      </c>
      <c r="AD98" s="22">
        <f>'Activity data'!AD57*ManureNEF*NtoN2O*kgtoGg</f>
        <v>4.7487817467690596E-2</v>
      </c>
      <c r="AE98" s="22">
        <f>'Activity data'!AE57*ManureNEF*NtoN2O*kgtoGg</f>
        <v>4.7513550336083406E-2</v>
      </c>
      <c r="AF98" s="22">
        <f>'Activity data'!AF57*ManureNEF*NtoN2O*kgtoGg</f>
        <v>4.7572081350122343E-2</v>
      </c>
      <c r="AG98" s="22">
        <f>'Activity data'!AG57*ManureNEF*NtoN2O*kgtoGg</f>
        <v>4.7661716299806457E-2</v>
      </c>
      <c r="AH98" s="22">
        <f>'Activity data'!AH57*ManureNEF*NtoN2O*kgtoGg</f>
        <v>4.7780794735024563E-2</v>
      </c>
      <c r="AI98" s="22">
        <f>'Activity data'!AI57*ManureNEF*NtoN2O*kgtoGg</f>
        <v>4.7930588965273434E-2</v>
      </c>
      <c r="AJ98" s="22">
        <f>'Activity data'!AJ57*ManureNEF*NtoN2O*kgtoGg</f>
        <v>4.8096615594822388E-2</v>
      </c>
      <c r="AK98" s="22">
        <f>'Activity data'!AK57*ManureNEF*NtoN2O*kgtoGg</f>
        <v>4.8279316809174314E-2</v>
      </c>
      <c r="AL98" s="22">
        <f>'Activity data'!AL57*ManureNEF*NtoN2O*kgtoGg</f>
        <v>4.8455453397523246E-2</v>
      </c>
      <c r="AM98" s="22">
        <f>'Activity data'!AM57*ManureNEF*NtoN2O*kgtoGg</f>
        <v>4.8525277516637919E-2</v>
      </c>
      <c r="AN98" s="22">
        <f>'Activity data'!AN57*ManureNEF*NtoN2O*kgtoGg</f>
        <v>4.8606829041592081E-2</v>
      </c>
      <c r="AO98" s="22">
        <f>'Activity data'!AO57*ManureNEF*NtoN2O*kgtoGg</f>
        <v>4.8699778247635585E-2</v>
      </c>
      <c r="AP98" s="22">
        <f>'Activity data'!AP57*ManureNEF*NtoN2O*kgtoGg</f>
        <v>4.8803775964108127E-2</v>
      </c>
      <c r="AQ98" s="22">
        <f>'Activity data'!AQ57*ManureNEF*NtoN2O*kgtoGg</f>
        <v>4.8918466237129067E-2</v>
      </c>
      <c r="AR98" s="22">
        <f>'Activity data'!AR57*ManureNEF*NtoN2O*kgtoGg</f>
        <v>4.8988898049369713E-2</v>
      </c>
      <c r="AS98" s="22">
        <f>'Activity data'!AS57*ManureNEF*NtoN2O*kgtoGg</f>
        <v>4.9068287983254466E-2</v>
      </c>
      <c r="AT98" s="22">
        <f>'Activity data'!AT57*ManureNEF*NtoN2O*kgtoGg</f>
        <v>4.9156261677961867E-2</v>
      </c>
      <c r="AU98" s="22">
        <f>'Activity data'!AU57*ManureNEF*NtoN2O*kgtoGg</f>
        <v>4.9252876819429518E-2</v>
      </c>
      <c r="AV98" s="22">
        <f>'Activity data'!AV57*ManureNEF*NtoN2O*kgtoGg</f>
        <v>4.9356831057135564E-2</v>
      </c>
      <c r="AW98" s="22">
        <f>'Activity data'!AW57*ManureNEF*NtoN2O*kgtoGg</f>
        <v>4.9425609690084416E-2</v>
      </c>
      <c r="AX98" s="22">
        <f>'Activity data'!AX57*ManureNEF*NtoN2O*kgtoGg</f>
        <v>4.9501118556699392E-2</v>
      </c>
      <c r="AY98" s="22">
        <f>'Activity data'!AY57*ManureNEF*NtoN2O*kgtoGg</f>
        <v>4.9583045884101645E-2</v>
      </c>
      <c r="AZ98" s="22">
        <f>'Activity data'!AZ57*ManureNEF*NtoN2O*kgtoGg</f>
        <v>4.9671100673361918E-2</v>
      </c>
      <c r="BA98" s="22">
        <f>'Activity data'!BA57*ManureNEF*NtoN2O*kgtoGg</f>
        <v>4.9764069069140535E-2</v>
      </c>
      <c r="BB98" s="22">
        <f>'Activity data'!BB57*ManureNEF*NtoN2O*kgtoGg</f>
        <v>4.9821710146485607E-2</v>
      </c>
      <c r="BC98" s="22">
        <f>'Activity data'!BC57*ManureNEF*NtoN2O*kgtoGg</f>
        <v>4.988498531361877E-2</v>
      </c>
      <c r="BD98" s="22">
        <f>'Activity data'!BD57*ManureNEF*NtoN2O*kgtoGg</f>
        <v>4.9953512317703064E-2</v>
      </c>
      <c r="BE98" s="22">
        <f>'Activity data'!BE57*ManureNEF*NtoN2O*kgtoGg</f>
        <v>5.002638866475885E-2</v>
      </c>
      <c r="BF98" s="22">
        <f>'Activity data'!BF57*ManureNEF*NtoN2O*kgtoGg</f>
        <v>5.01038574711875E-2</v>
      </c>
      <c r="BG98" s="22">
        <f>'Activity data'!BG57*ManureNEF*NtoN2O*kgtoGg</f>
        <v>5.0147659345281301E-2</v>
      </c>
      <c r="BH98" s="22">
        <f>'Activity data'!BH57*ManureNEF*NtoN2O*kgtoGg</f>
        <v>5.0195921133878822E-2</v>
      </c>
      <c r="BI98" s="22">
        <f>'Activity data'!BI57*ManureNEF*NtoN2O*kgtoGg</f>
        <v>5.0248646960979845E-2</v>
      </c>
      <c r="BJ98" s="22">
        <f>'Activity data'!BJ57*ManureNEF*NtoN2O*kgtoGg</f>
        <v>5.0305660760421145E-2</v>
      </c>
      <c r="BK98" s="22">
        <f>'Activity data'!BK57*ManureNEF*NtoN2O*kgtoGg</f>
        <v>5.036713733810852E-2</v>
      </c>
      <c r="BL98" s="22">
        <f>'Activity data'!BL57*ManureNEF*NtoN2O*kgtoGg</f>
        <v>5.0394074632153452E-2</v>
      </c>
      <c r="BM98" s="22">
        <f>'Activity data'!BM57*ManureNEF*NtoN2O*kgtoGg</f>
        <v>5.0424802268178096E-2</v>
      </c>
      <c r="BN98" s="22">
        <f>'Activity data'!BN57*ManureNEF*NtoN2O*kgtoGg</f>
        <v>5.0458488864471671E-2</v>
      </c>
      <c r="BO98" s="22">
        <f>'Activity data'!BO57*ManureNEF*NtoN2O*kgtoGg</f>
        <v>5.0495832715795129E-2</v>
      </c>
      <c r="BP98" s="22">
        <f>'Activity data'!BP57*ManureNEF*NtoN2O*kgtoGg</f>
        <v>5.0536930049215049E-2</v>
      </c>
    </row>
    <row r="99" spans="1:68" x14ac:dyDescent="0.25">
      <c r="A99" t="str">
        <f t="shared" si="29"/>
        <v>3C Aggregated and non-CO2 emissions on land</v>
      </c>
      <c r="B99" t="str">
        <f t="shared" si="31"/>
        <v>3C4 Direct N2O from managed soils (N2O)</v>
      </c>
      <c r="C99" t="str">
        <f t="shared" si="35"/>
        <v>MM emissions</v>
      </c>
      <c r="D99" t="str">
        <f>'Activity data'!D58</f>
        <v xml:space="preserve"> - Commercial goats</v>
      </c>
      <c r="E99" t="str">
        <f t="shared" si="32"/>
        <v>MM emissions - Commercial goats</v>
      </c>
      <c r="F99" t="str">
        <f t="shared" si="33"/>
        <v>N2O</v>
      </c>
      <c r="G99" t="str">
        <f t="shared" si="34"/>
        <v>Gg N2O</v>
      </c>
      <c r="H99" s="22">
        <f>'Activity data'!H58*ManureNEF*NtoN2O*kgtoGg</f>
        <v>9.6765143377954225E-3</v>
      </c>
      <c r="I99" s="22">
        <f>'Activity data'!I58*ManureNEF*NtoN2O*kgtoGg</f>
        <v>8.5567734933713682E-3</v>
      </c>
      <c r="J99" s="22">
        <f>'Activity data'!J58*ManureNEF*NtoN2O*kgtoGg</f>
        <v>7.9707409018970922E-3</v>
      </c>
      <c r="K99" s="22">
        <f>'Activity data'!K58*ManureNEF*NtoN2O*kgtoGg</f>
        <v>7.5312164582913869E-3</v>
      </c>
      <c r="L99" s="22">
        <f>'Activity data'!L58*ManureNEF*NtoN2O*kgtoGg</f>
        <v>8.152131942115318E-3</v>
      </c>
      <c r="M99" s="22">
        <f>'Activity data'!M58*ManureNEF*NtoN2O*kgtoGg</f>
        <v>8.2637571976342285E-3</v>
      </c>
      <c r="N99" s="22">
        <f>'Activity data'!N58*ManureNEF*NtoN2O*kgtoGg</f>
        <v>8.3928238993279686E-3</v>
      </c>
      <c r="O99" s="22">
        <f>'Activity data'!O58*ManureNEF*NtoN2O*kgtoGg</f>
        <v>8.350964428508377E-3</v>
      </c>
      <c r="P99" s="22">
        <f>'Activity data'!P58*ManureNEF*NtoN2O*kgtoGg</f>
        <v>8.232362594519536E-3</v>
      </c>
      <c r="Q99" s="22">
        <f>'Activity data'!Q58*ManureNEF*NtoN2O*kgtoGg</f>
        <v>8.1102724712957298E-3</v>
      </c>
      <c r="R99" s="22">
        <f>'Activity data'!R58*ManureNEF*NtoN2O*kgtoGg</f>
        <v>8.2149211483447063E-3</v>
      </c>
      <c r="S99" s="22">
        <f>'Activity data'!S58*ManureNEF*NtoN2O*kgtoGg</f>
        <v>8.4660779732622544E-3</v>
      </c>
      <c r="T99" s="22">
        <f>'Activity data'!T58*ManureNEF*NtoN2O*kgtoGg</f>
        <v>7.7300489446844476E-3</v>
      </c>
      <c r="U99" s="22">
        <f>'Activity data'!U58*ManureNEF*NtoN2O*kgtoGg</f>
        <v>7.5347047475263548E-3</v>
      </c>
      <c r="V99" s="22">
        <f>'Activity data'!V58*ManureNEF*NtoN2O*kgtoGg</f>
        <v>7.548657904466221E-3</v>
      </c>
      <c r="W99" s="22">
        <f>'Activity data'!W58*ManureNEF*NtoN2O*kgtoGg</f>
        <v>7.4509858058871732E-3</v>
      </c>
      <c r="X99" s="22">
        <f>'Activity data'!X58*ManureNEF*NtoN2O*kgtoGg</f>
        <v>7.6079588214606388E-3</v>
      </c>
      <c r="Y99" s="22">
        <f>'Activity data'!Y58*ManureNEF*NtoN2O*kgtoGg</f>
        <v>7.3812200211878561E-3</v>
      </c>
      <c r="Z99" s="22">
        <f>'Activity data'!Z58*ManureNEF*NtoN2O*kgtoGg</f>
        <v>7.3742434427179256E-3</v>
      </c>
      <c r="AA99" s="22">
        <f>'Activity data'!AA58*ManureNEF*NtoN2O*kgtoGg</f>
        <v>7.2451767410241855E-3</v>
      </c>
      <c r="AB99" s="22">
        <f>'Activity data'!AB58*ManureNEF*NtoN2O*kgtoGg</f>
        <v>7.1579695101500369E-3</v>
      </c>
      <c r="AC99" s="22">
        <f>'Activity data'!AC58*ManureNEF*NtoN2O*kgtoGg</f>
        <v>7.0916920146856851E-3</v>
      </c>
      <c r="AD99" s="22">
        <f>'Activity data'!AD58*ManureNEF*NtoN2O*kgtoGg</f>
        <v>7.2118947481549442E-3</v>
      </c>
      <c r="AE99" s="22">
        <f>'Activity data'!AE58*ManureNEF*NtoN2O*kgtoGg</f>
        <v>7.2306677802343872E-3</v>
      </c>
      <c r="AF99" s="22">
        <f>'Activity data'!AF58*ManureNEF*NtoN2O*kgtoGg</f>
        <v>7.2558560615785059E-3</v>
      </c>
      <c r="AG99" s="22">
        <f>'Activity data'!AG58*ManureNEF*NtoN2O*kgtoGg</f>
        <v>7.2871646404448877E-3</v>
      </c>
      <c r="AH99" s="22">
        <f>'Activity data'!AH58*ManureNEF*NtoN2O*kgtoGg</f>
        <v>7.3242856904116548E-3</v>
      </c>
      <c r="AI99" s="22">
        <f>'Activity data'!AI58*ManureNEF*NtoN2O*kgtoGg</f>
        <v>7.3675920432291989E-3</v>
      </c>
      <c r="AJ99" s="22">
        <f>'Activity data'!AJ58*ManureNEF*NtoN2O*kgtoGg</f>
        <v>7.4137070808812724E-3</v>
      </c>
      <c r="AK99" s="22">
        <f>'Activity data'!AK58*ManureNEF*NtoN2O*kgtoGg</f>
        <v>7.4628030136323076E-3</v>
      </c>
      <c r="AL99" s="22">
        <f>'Activity data'!AL58*ManureNEF*NtoN2O*kgtoGg</f>
        <v>7.5094632254699631E-3</v>
      </c>
      <c r="AM99" s="22">
        <f>'Activity data'!AM58*ManureNEF*NtoN2O*kgtoGg</f>
        <v>7.5303508900207974E-3</v>
      </c>
      <c r="AN99" s="22">
        <f>'Activity data'!AN58*ManureNEF*NtoN2O*kgtoGg</f>
        <v>7.5533719784122927E-3</v>
      </c>
      <c r="AO99" s="22">
        <f>'Activity data'!AO58*ManureNEF*NtoN2O*kgtoGg</f>
        <v>7.5784818279928156E-3</v>
      </c>
      <c r="AP99" s="22">
        <f>'Activity data'!AP58*ManureNEF*NtoN2O*kgtoGg</f>
        <v>7.60562671306009E-3</v>
      </c>
      <c r="AQ99" s="22">
        <f>'Activity data'!AQ58*ManureNEF*NtoN2O*kgtoGg</f>
        <v>7.6347476435184511E-3</v>
      </c>
      <c r="AR99" s="22">
        <f>'Activity data'!AR58*ManureNEF*NtoN2O*kgtoGg</f>
        <v>7.6531149651252591E-3</v>
      </c>
      <c r="AS99" s="22">
        <f>'Activity data'!AS58*ManureNEF*NtoN2O*kgtoGg</f>
        <v>7.6731519456509816E-3</v>
      </c>
      <c r="AT99" s="22">
        <f>'Activity data'!AT58*ManureNEF*NtoN2O*kgtoGg</f>
        <v>7.694787347401773E-3</v>
      </c>
      <c r="AU99" s="22">
        <f>'Activity data'!AU58*ManureNEF*NtoN2O*kgtoGg</f>
        <v>7.7180479244984184E-3</v>
      </c>
      <c r="AV99" s="22">
        <f>'Activity data'!AV58*ManureNEF*NtoN2O*kgtoGg</f>
        <v>7.742645450083665E-3</v>
      </c>
      <c r="AW99" s="22">
        <f>'Activity data'!AW58*ManureNEF*NtoN2O*kgtoGg</f>
        <v>7.7588326046662522E-3</v>
      </c>
      <c r="AX99" s="22">
        <f>'Activity data'!AX58*ManureNEF*NtoN2O*kgtoGg</f>
        <v>7.7762782142017668E-3</v>
      </c>
      <c r="AY99" s="22">
        <f>'Activity data'!AY58*ManureNEF*NtoN2O*kgtoGg</f>
        <v>7.7949191046436548E-3</v>
      </c>
      <c r="AZ99" s="22">
        <f>'Activity data'!AZ58*ManureNEF*NtoN2O*kgtoGg</f>
        <v>7.8146962188286005E-3</v>
      </c>
      <c r="BA99" s="22">
        <f>'Activity data'!BA58*ManureNEF*NtoN2O*kgtoGg</f>
        <v>7.835339802804351E-3</v>
      </c>
      <c r="BB99" s="22">
        <f>'Activity data'!BB58*ManureNEF*NtoN2O*kgtoGg</f>
        <v>7.8477107937473048E-3</v>
      </c>
      <c r="BC99" s="22">
        <f>'Activity data'!BC58*ManureNEF*NtoN2O*kgtoGg</f>
        <v>7.8611596689213813E-3</v>
      </c>
      <c r="BD99" s="22">
        <f>'Activity data'!BD58*ManureNEF*NtoN2O*kgtoGg</f>
        <v>7.8756037183379066E-3</v>
      </c>
      <c r="BE99" s="22">
        <f>'Activity data'!BE58*ManureNEF*NtoN2O*kgtoGg</f>
        <v>7.8908426443557115E-3</v>
      </c>
      <c r="BF99" s="22">
        <f>'Activity data'!BF58*ManureNEF*NtoN2O*kgtoGg</f>
        <v>7.9069355249522921E-3</v>
      </c>
      <c r="BG99" s="22">
        <f>'Activity data'!BG58*ManureNEF*NtoN2O*kgtoGg</f>
        <v>7.9152685099494711E-3</v>
      </c>
      <c r="BH99" s="22">
        <f>'Activity data'!BH58*ManureNEF*NtoN2O*kgtoGg</f>
        <v>7.9244619644047009E-3</v>
      </c>
      <c r="BI99" s="22">
        <f>'Activity data'!BI58*ManureNEF*NtoN2O*kgtoGg</f>
        <v>7.9345187774823422E-3</v>
      </c>
      <c r="BJ99" s="22">
        <f>'Activity data'!BJ58*ManureNEF*NtoN2O*kgtoGg</f>
        <v>7.9454011006644919E-3</v>
      </c>
      <c r="BK99" s="22">
        <f>'Activity data'!BK58*ManureNEF*NtoN2O*kgtoGg</f>
        <v>7.9571495194845146E-3</v>
      </c>
      <c r="BL99" s="22">
        <f>'Activity data'!BL58*ManureNEF*NtoN2O*kgtoGg</f>
        <v>7.9610547983313129E-3</v>
      </c>
      <c r="BM99" s="22">
        <f>'Activity data'!BM58*ManureNEF*NtoN2O*kgtoGg</f>
        <v>7.9657064442483789E-3</v>
      </c>
      <c r="BN99" s="22">
        <f>'Activity data'!BN58*ManureNEF*NtoN2O*kgtoGg</f>
        <v>7.9709200472623167E-3</v>
      </c>
      <c r="BO99" s="22">
        <f>'Activity data'!BO58*ManureNEF*NtoN2O*kgtoGg</f>
        <v>7.9768521412605462E-3</v>
      </c>
      <c r="BP99" s="22">
        <f>'Activity data'!BP58*ManureNEF*NtoN2O*kgtoGg</f>
        <v>7.9835244765595875E-3</v>
      </c>
    </row>
    <row r="100" spans="1:68" x14ac:dyDescent="0.25">
      <c r="A100" t="str">
        <f t="shared" si="29"/>
        <v>3C Aggregated and non-CO2 emissions on land</v>
      </c>
      <c r="B100" t="str">
        <f t="shared" si="31"/>
        <v>3C4 Direct N2O from managed soils (N2O)</v>
      </c>
      <c r="C100" t="str">
        <f t="shared" si="35"/>
        <v>MM emissions</v>
      </c>
      <c r="D100" t="str">
        <f>'Activity data'!D59</f>
        <v xml:space="preserve"> - Subsistence goats</v>
      </c>
      <c r="E100" t="str">
        <f t="shared" si="32"/>
        <v>MM emissions - Subsistence goats</v>
      </c>
      <c r="F100" t="str">
        <f t="shared" si="33"/>
        <v>N2O</v>
      </c>
      <c r="G100" t="str">
        <f t="shared" si="34"/>
        <v>Gg N2O</v>
      </c>
      <c r="H100" s="22">
        <f>'Activity data'!H59*ManureNEF*NtoN2O*kgtoGg</f>
        <v>0.11880557253341303</v>
      </c>
      <c r="I100" s="22">
        <f>'Activity data'!I59*ManureNEF*NtoN2O*kgtoGg</f>
        <v>0.10505770346952495</v>
      </c>
      <c r="J100" s="22">
        <f>'Activity data'!J59*ManureNEF*NtoN2O*kgtoGg</f>
        <v>9.7862557043564835E-2</v>
      </c>
      <c r="K100" s="22">
        <f>'Activity data'!K59*ManureNEF*NtoN2O*kgtoGg</f>
        <v>9.2466197224094729E-2</v>
      </c>
      <c r="L100" s="22">
        <f>'Activity data'!L59*ManureNEF*NtoN2O*kgtoGg</f>
        <v>0.10008962617540962</v>
      </c>
      <c r="M100" s="22">
        <f>'Activity data'!M59*ManureNEF*NtoN2O*kgtoGg</f>
        <v>0.10146013025654488</v>
      </c>
      <c r="N100" s="22">
        <f>'Activity data'!N59*ManureNEF*NtoN2O*kgtoGg</f>
        <v>0.10304477560035755</v>
      </c>
      <c r="O100" s="22">
        <f>'Activity data'!O59*ManureNEF*NtoN2O*kgtoGg</f>
        <v>0.10253083656993182</v>
      </c>
      <c r="P100" s="22">
        <f>'Activity data'!P59*ManureNEF*NtoN2O*kgtoGg</f>
        <v>0.1010746759837256</v>
      </c>
      <c r="Q100" s="22">
        <f>'Activity data'!Q59*ManureNEF*NtoN2O*kgtoGg</f>
        <v>9.9575687144983924E-2</v>
      </c>
      <c r="R100" s="22">
        <f>'Activity data'!R59*ManureNEF*NtoN2O*kgtoGg</f>
        <v>0.10086053472104822</v>
      </c>
      <c r="S100" s="22">
        <f>'Activity data'!S59*ManureNEF*NtoN2O*kgtoGg</f>
        <v>0.10394416890360253</v>
      </c>
      <c r="T100" s="22">
        <f>'Activity data'!T59*ManureNEF*NtoN2O*kgtoGg</f>
        <v>9.4907407618616907E-2</v>
      </c>
      <c r="U100" s="22">
        <f>'Activity data'!U59*ManureNEF*NtoN2O*kgtoGg</f>
        <v>9.2509025476630202E-2</v>
      </c>
      <c r="V100" s="22">
        <f>'Activity data'!V59*ManureNEF*NtoN2O*kgtoGg</f>
        <v>9.268033848677211E-2</v>
      </c>
      <c r="W100" s="22">
        <f>'Activity data'!W59*ManureNEF*NtoN2O*kgtoGg</f>
        <v>9.1481147415778757E-2</v>
      </c>
      <c r="X100" s="22">
        <f>'Activity data'!X59*ManureNEF*NtoN2O*kgtoGg</f>
        <v>9.3408418779875241E-2</v>
      </c>
      <c r="Y100" s="22">
        <f>'Activity data'!Y59*ManureNEF*NtoN2O*kgtoGg</f>
        <v>9.0624582365069234E-2</v>
      </c>
      <c r="Z100" s="22">
        <f>'Activity data'!Z59*ManureNEF*NtoN2O*kgtoGg</f>
        <v>9.0538925859998259E-2</v>
      </c>
      <c r="AA100" s="22">
        <f>'Activity data'!AA59*ManureNEF*NtoN2O*kgtoGg</f>
        <v>8.8954280516185633E-2</v>
      </c>
      <c r="AB100" s="22">
        <f>'Activity data'!AB59*ManureNEF*NtoN2O*kgtoGg</f>
        <v>8.7883574202798714E-2</v>
      </c>
      <c r="AC100" s="22">
        <f>'Activity data'!AC59*ManureNEF*NtoN2O*kgtoGg</f>
        <v>8.7069837404624637E-2</v>
      </c>
      <c r="AD100" s="22">
        <f>'Activity data'!AD59*ManureNEF*NtoN2O*kgtoGg</f>
        <v>8.7019150394673755E-2</v>
      </c>
      <c r="AE100" s="22">
        <f>'Activity data'!AE59*ManureNEF*NtoN2O*kgtoGg</f>
        <v>8.7245666914802261E-2</v>
      </c>
      <c r="AF100" s="22">
        <f>'Activity data'!AF59*ManureNEF*NtoN2O*kgtoGg</f>
        <v>8.754959021360359E-2</v>
      </c>
      <c r="AG100" s="22">
        <f>'Activity data'!AG59*ManureNEF*NtoN2O*kgtoGg</f>
        <v>8.7927361385834624E-2</v>
      </c>
      <c r="AH100" s="22">
        <f>'Activity data'!AH59*ManureNEF*NtoN2O*kgtoGg</f>
        <v>8.8375266179605019E-2</v>
      </c>
      <c r="AI100" s="22">
        <f>'Activity data'!AI59*ManureNEF*NtoN2O*kgtoGg</f>
        <v>8.8897803204960116E-2</v>
      </c>
      <c r="AJ100" s="22">
        <f>'Activity data'!AJ59*ManureNEF*NtoN2O*kgtoGg</f>
        <v>8.9454229988355463E-2</v>
      </c>
      <c r="AK100" s="22">
        <f>'Activity data'!AK59*ManureNEF*NtoN2O*kgtoGg</f>
        <v>9.0046624429070507E-2</v>
      </c>
      <c r="AL100" s="22">
        <f>'Activity data'!AL59*ManureNEF*NtoN2O*kgtoGg</f>
        <v>9.0609629316570711E-2</v>
      </c>
      <c r="AM100" s="22">
        <f>'Activity data'!AM59*ManureNEF*NtoN2O*kgtoGg</f>
        <v>9.0861661117701428E-2</v>
      </c>
      <c r="AN100" s="22">
        <f>'Activity data'!AN59*ManureNEF*NtoN2O*kgtoGg</f>
        <v>9.1139434937612104E-2</v>
      </c>
      <c r="AO100" s="22">
        <f>'Activity data'!AO59*ManureNEF*NtoN2O*kgtoGg</f>
        <v>9.1442411874095256E-2</v>
      </c>
      <c r="AP100" s="22">
        <f>'Activity data'!AP59*ManureNEF*NtoN2O*kgtoGg</f>
        <v>9.1769943669636159E-2</v>
      </c>
      <c r="AQ100" s="22">
        <f>'Activity data'!AQ59*ManureNEF*NtoN2O*kgtoGg</f>
        <v>9.212131854623673E-2</v>
      </c>
      <c r="AR100" s="22">
        <f>'Activity data'!AR59*ManureNEF*NtoN2O*kgtoGg</f>
        <v>9.2342939739704519E-2</v>
      </c>
      <c r="AS100" s="22">
        <f>'Activity data'!AS59*ManureNEF*NtoN2O*kgtoGg</f>
        <v>9.2584707136860303E-2</v>
      </c>
      <c r="AT100" s="22">
        <f>'Activity data'!AT59*ManureNEF*NtoN2O*kgtoGg</f>
        <v>9.2845761179458849E-2</v>
      </c>
      <c r="AU100" s="22">
        <f>'Activity data'!AU59*ManureNEF*NtoN2O*kgtoGg</f>
        <v>9.3126424684310746E-2</v>
      </c>
      <c r="AV100" s="22">
        <f>'Activity data'!AV59*ManureNEF*NtoN2O*kgtoGg</f>
        <v>9.3423219889036485E-2</v>
      </c>
      <c r="AW100" s="22">
        <f>'Activity data'!AW59*ManureNEF*NtoN2O*kgtoGg</f>
        <v>9.3618535057695129E-2</v>
      </c>
      <c r="AX100" s="22">
        <f>'Activity data'!AX59*ManureNEF*NtoN2O*kgtoGg</f>
        <v>9.3829034818563944E-2</v>
      </c>
      <c r="AY100" s="22">
        <f>'Activity data'!AY59*ManureNEF*NtoN2O*kgtoGg</f>
        <v>9.405395690984493E-2</v>
      </c>
      <c r="AZ100" s="22">
        <f>'Activity data'!AZ59*ManureNEF*NtoN2O*kgtoGg</f>
        <v>9.4292588744297662E-2</v>
      </c>
      <c r="BA100" s="22">
        <f>'Activity data'!BA59*ManureNEF*NtoN2O*kgtoGg</f>
        <v>9.4541675454711843E-2</v>
      </c>
      <c r="BB100" s="22">
        <f>'Activity data'!BB59*ManureNEF*NtoN2O*kgtoGg</f>
        <v>9.4690944566226704E-2</v>
      </c>
      <c r="BC100" s="22">
        <f>'Activity data'!BC59*ManureNEF*NtoN2O*kgtoGg</f>
        <v>9.4853219492897184E-2</v>
      </c>
      <c r="BD100" s="22">
        <f>'Activity data'!BD59*ManureNEF*NtoN2O*kgtoGg</f>
        <v>9.5027502251087262E-2</v>
      </c>
      <c r="BE100" s="22">
        <f>'Activity data'!BE59*ManureNEF*NtoN2O*kgtoGg</f>
        <v>9.521137603756144E-2</v>
      </c>
      <c r="BF100" s="22">
        <f>'Activity data'!BF59*ManureNEF*NtoN2O*kgtoGg</f>
        <v>9.5405553690705316E-2</v>
      </c>
      <c r="BG100" s="22">
        <f>'Activity data'!BG59*ManureNEF*NtoN2O*kgtoGg</f>
        <v>9.5506099982633888E-2</v>
      </c>
      <c r="BH100" s="22">
        <f>'Activity data'!BH59*ManureNEF*NtoN2O*kgtoGg</f>
        <v>9.5617028750152433E-2</v>
      </c>
      <c r="BI100" s="22">
        <f>'Activity data'!BI59*ManureNEF*NtoN2O*kgtoGg</f>
        <v>9.5738374854089703E-2</v>
      </c>
      <c r="BJ100" s="22">
        <f>'Activity data'!BJ59*ManureNEF*NtoN2O*kgtoGg</f>
        <v>9.5869681611980631E-2</v>
      </c>
      <c r="BK100" s="22">
        <f>'Activity data'!BK59*ManureNEF*NtoN2O*kgtoGg</f>
        <v>9.6011438731281457E-2</v>
      </c>
      <c r="BL100" s="22">
        <f>'Activity data'!BL59*ManureNEF*NtoN2O*kgtoGg</f>
        <v>9.6058560057807954E-2</v>
      </c>
      <c r="BM100" s="22">
        <f>'Activity data'!BM59*ManureNEF*NtoN2O*kgtoGg</f>
        <v>9.6114687093736162E-2</v>
      </c>
      <c r="BN100" s="22">
        <f>'Activity data'!BN59*ManureNEF*NtoN2O*kgtoGg</f>
        <v>9.6177594737373653E-2</v>
      </c>
      <c r="BO100" s="22">
        <f>'Activity data'!BO59*ManureNEF*NtoN2O*kgtoGg</f>
        <v>9.624917173590368E-2</v>
      </c>
      <c r="BP100" s="22">
        <f>'Activity data'!BP59*ManureNEF*NtoN2O*kgtoGg</f>
        <v>9.632968052993722E-2</v>
      </c>
    </row>
    <row r="101" spans="1:68" x14ac:dyDescent="0.25">
      <c r="A101" t="str">
        <f t="shared" si="29"/>
        <v>3C Aggregated and non-CO2 emissions on land</v>
      </c>
      <c r="B101" t="str">
        <f t="shared" si="31"/>
        <v>3C4 Direct N2O from managed soils (N2O)</v>
      </c>
      <c r="C101" t="str">
        <f t="shared" si="35"/>
        <v>MM emissions</v>
      </c>
      <c r="D101" t="str">
        <f>'Activity data'!D60</f>
        <v xml:space="preserve"> - Horses</v>
      </c>
      <c r="E101" t="str">
        <f t="shared" si="32"/>
        <v>MM emissions - Horses</v>
      </c>
      <c r="F101" t="str">
        <f t="shared" si="33"/>
        <v>N2O</v>
      </c>
      <c r="G101" t="str">
        <f t="shared" si="34"/>
        <v>Gg N2O</v>
      </c>
      <c r="H101" s="22">
        <f>'Activity data'!H60*ManureNEF*NtoN2O*kgtoGg</f>
        <v>0</v>
      </c>
      <c r="I101" s="22">
        <f>'Activity data'!I60*ManureNEF*NtoN2O*kgtoGg</f>
        <v>0</v>
      </c>
      <c r="J101" s="22">
        <f>'Activity data'!J60*ManureNEF*NtoN2O*kgtoGg</f>
        <v>0</v>
      </c>
      <c r="K101" s="22">
        <f>'Activity data'!K60*ManureNEF*NtoN2O*kgtoGg</f>
        <v>0</v>
      </c>
      <c r="L101" s="22">
        <f>'Activity data'!L60*ManureNEF*NtoN2O*kgtoGg</f>
        <v>0</v>
      </c>
      <c r="M101" s="22">
        <f>'Activity data'!M60*ManureNEF*NtoN2O*kgtoGg</f>
        <v>0</v>
      </c>
      <c r="N101" s="22">
        <f>'Activity data'!N60*ManureNEF*NtoN2O*kgtoGg</f>
        <v>0</v>
      </c>
      <c r="O101" s="22">
        <f>'Activity data'!O60*ManureNEF*NtoN2O*kgtoGg</f>
        <v>0</v>
      </c>
      <c r="P101" s="22">
        <f>'Activity data'!P60*ManureNEF*NtoN2O*kgtoGg</f>
        <v>0</v>
      </c>
      <c r="Q101" s="22">
        <f>'Activity data'!Q60*ManureNEF*NtoN2O*kgtoGg</f>
        <v>0</v>
      </c>
      <c r="R101" s="22">
        <f>'Activity data'!R60*ManureNEF*NtoN2O*kgtoGg</f>
        <v>0</v>
      </c>
      <c r="S101" s="22">
        <f>'Activity data'!S60*ManureNEF*NtoN2O*kgtoGg</f>
        <v>0</v>
      </c>
      <c r="T101" s="22">
        <f>'Activity data'!T60*ManureNEF*NtoN2O*kgtoGg</f>
        <v>0</v>
      </c>
      <c r="U101" s="22">
        <f>'Activity data'!U60*ManureNEF*NtoN2O*kgtoGg</f>
        <v>0</v>
      </c>
      <c r="V101" s="22">
        <f>'Activity data'!V60*ManureNEF*NtoN2O*kgtoGg</f>
        <v>0</v>
      </c>
      <c r="W101" s="22">
        <f>'Activity data'!W60*ManureNEF*NtoN2O*kgtoGg</f>
        <v>0</v>
      </c>
      <c r="X101" s="22">
        <f>'Activity data'!X60*ManureNEF*NtoN2O*kgtoGg</f>
        <v>0</v>
      </c>
      <c r="Y101" s="22">
        <f>'Activity data'!Y60*ManureNEF*NtoN2O*kgtoGg</f>
        <v>0</v>
      </c>
      <c r="Z101" s="22">
        <f>'Activity data'!Z60*ManureNEF*NtoN2O*kgtoGg</f>
        <v>0</v>
      </c>
      <c r="AA101" s="22">
        <f>'Activity data'!AA60*ManureNEF*NtoN2O*kgtoGg</f>
        <v>0</v>
      </c>
      <c r="AB101" s="22">
        <f>'Activity data'!AB60*ManureNEF*NtoN2O*kgtoGg</f>
        <v>0</v>
      </c>
      <c r="AC101" s="22">
        <f>'Activity data'!AC60*ManureNEF*NtoN2O*kgtoGg</f>
        <v>0</v>
      </c>
      <c r="AD101" s="22">
        <f>'Activity data'!AD60*ManureNEF*NtoN2O*kgtoGg</f>
        <v>0</v>
      </c>
      <c r="AE101" s="22">
        <f>'Activity data'!AE60*ManureNEF*NtoN2O*kgtoGg</f>
        <v>0</v>
      </c>
      <c r="AF101" s="22">
        <f>'Activity data'!AF60*ManureNEF*NtoN2O*kgtoGg</f>
        <v>0</v>
      </c>
      <c r="AG101" s="22">
        <f>'Activity data'!AG60*ManureNEF*NtoN2O*kgtoGg</f>
        <v>0</v>
      </c>
      <c r="AH101" s="22">
        <f>'Activity data'!AH60*ManureNEF*NtoN2O*kgtoGg</f>
        <v>0</v>
      </c>
      <c r="AI101" s="22">
        <f>'Activity data'!AI60*ManureNEF*NtoN2O*kgtoGg</f>
        <v>0</v>
      </c>
      <c r="AJ101" s="22">
        <f>'Activity data'!AJ60*ManureNEF*NtoN2O*kgtoGg</f>
        <v>0</v>
      </c>
      <c r="AK101" s="22">
        <f>'Activity data'!AK60*ManureNEF*NtoN2O*kgtoGg</f>
        <v>0</v>
      </c>
      <c r="AL101" s="22">
        <f>'Activity data'!AL60*ManureNEF*NtoN2O*kgtoGg</f>
        <v>0</v>
      </c>
      <c r="AM101" s="22">
        <f>'Activity data'!AM60*ManureNEF*NtoN2O*kgtoGg</f>
        <v>0</v>
      </c>
      <c r="AN101" s="22">
        <f>'Activity data'!AN60*ManureNEF*NtoN2O*kgtoGg</f>
        <v>0</v>
      </c>
      <c r="AO101" s="22">
        <f>'Activity data'!AO60*ManureNEF*NtoN2O*kgtoGg</f>
        <v>0</v>
      </c>
      <c r="AP101" s="22">
        <f>'Activity data'!AP60*ManureNEF*NtoN2O*kgtoGg</f>
        <v>0</v>
      </c>
      <c r="AQ101" s="22">
        <f>'Activity data'!AQ60*ManureNEF*NtoN2O*kgtoGg</f>
        <v>0</v>
      </c>
      <c r="AR101" s="22">
        <f>'Activity data'!AR60*ManureNEF*NtoN2O*kgtoGg</f>
        <v>0</v>
      </c>
      <c r="AS101" s="22">
        <f>'Activity data'!AS60*ManureNEF*NtoN2O*kgtoGg</f>
        <v>0</v>
      </c>
      <c r="AT101" s="22">
        <f>'Activity data'!AT60*ManureNEF*NtoN2O*kgtoGg</f>
        <v>0</v>
      </c>
      <c r="AU101" s="22">
        <f>'Activity data'!AU60*ManureNEF*NtoN2O*kgtoGg</f>
        <v>0</v>
      </c>
      <c r="AV101" s="22">
        <f>'Activity data'!AV60*ManureNEF*NtoN2O*kgtoGg</f>
        <v>0</v>
      </c>
      <c r="AW101" s="22">
        <f>'Activity data'!AW60*ManureNEF*NtoN2O*kgtoGg</f>
        <v>0</v>
      </c>
      <c r="AX101" s="22">
        <f>'Activity data'!AX60*ManureNEF*NtoN2O*kgtoGg</f>
        <v>0</v>
      </c>
      <c r="AY101" s="22">
        <f>'Activity data'!AY60*ManureNEF*NtoN2O*kgtoGg</f>
        <v>0</v>
      </c>
      <c r="AZ101" s="22">
        <f>'Activity data'!AZ60*ManureNEF*NtoN2O*kgtoGg</f>
        <v>0</v>
      </c>
      <c r="BA101" s="22">
        <f>'Activity data'!BA60*ManureNEF*NtoN2O*kgtoGg</f>
        <v>0</v>
      </c>
      <c r="BB101" s="22">
        <f>'Activity data'!BB60*ManureNEF*NtoN2O*kgtoGg</f>
        <v>0</v>
      </c>
      <c r="BC101" s="22">
        <f>'Activity data'!BC60*ManureNEF*NtoN2O*kgtoGg</f>
        <v>0</v>
      </c>
      <c r="BD101" s="22">
        <f>'Activity data'!BD60*ManureNEF*NtoN2O*kgtoGg</f>
        <v>0</v>
      </c>
      <c r="BE101" s="22">
        <f>'Activity data'!BE60*ManureNEF*NtoN2O*kgtoGg</f>
        <v>0</v>
      </c>
      <c r="BF101" s="22">
        <f>'Activity data'!BF60*ManureNEF*NtoN2O*kgtoGg</f>
        <v>0</v>
      </c>
      <c r="BG101" s="22">
        <f>'Activity data'!BG60*ManureNEF*NtoN2O*kgtoGg</f>
        <v>0</v>
      </c>
      <c r="BH101" s="22">
        <f>'Activity data'!BH60*ManureNEF*NtoN2O*kgtoGg</f>
        <v>0</v>
      </c>
      <c r="BI101" s="22">
        <f>'Activity data'!BI60*ManureNEF*NtoN2O*kgtoGg</f>
        <v>0</v>
      </c>
      <c r="BJ101" s="22">
        <f>'Activity data'!BJ60*ManureNEF*NtoN2O*kgtoGg</f>
        <v>0</v>
      </c>
      <c r="BK101" s="22">
        <f>'Activity data'!BK60*ManureNEF*NtoN2O*kgtoGg</f>
        <v>0</v>
      </c>
      <c r="BL101" s="22">
        <f>'Activity data'!BL60*ManureNEF*NtoN2O*kgtoGg</f>
        <v>0</v>
      </c>
      <c r="BM101" s="22">
        <f>'Activity data'!BM60*ManureNEF*NtoN2O*kgtoGg</f>
        <v>0</v>
      </c>
      <c r="BN101" s="22">
        <f>'Activity data'!BN60*ManureNEF*NtoN2O*kgtoGg</f>
        <v>0</v>
      </c>
      <c r="BO101" s="22">
        <f>'Activity data'!BO60*ManureNEF*NtoN2O*kgtoGg</f>
        <v>0</v>
      </c>
      <c r="BP101" s="22">
        <f>'Activity data'!BP60*ManureNEF*NtoN2O*kgtoGg</f>
        <v>0</v>
      </c>
    </row>
    <row r="102" spans="1:68" x14ac:dyDescent="0.25">
      <c r="A102" t="str">
        <f t="shared" si="29"/>
        <v>3C Aggregated and non-CO2 emissions on land</v>
      </c>
      <c r="B102" t="str">
        <f t="shared" si="31"/>
        <v>3C4 Direct N2O from managed soils (N2O)</v>
      </c>
      <c r="C102" t="str">
        <f t="shared" si="35"/>
        <v>MM emissions</v>
      </c>
      <c r="D102" t="str">
        <f>'Activity data'!D61</f>
        <v xml:space="preserve"> - Mules &amp; Asses</v>
      </c>
      <c r="E102" t="str">
        <f t="shared" si="32"/>
        <v>MM emissions - Mules &amp; Asses</v>
      </c>
      <c r="F102" t="str">
        <f t="shared" si="33"/>
        <v>N2O</v>
      </c>
      <c r="G102" t="str">
        <f t="shared" si="34"/>
        <v>Gg N2O</v>
      </c>
      <c r="H102" s="22">
        <f>'Activity data'!H61*ManureNEF*NtoN2O*kgtoGg</f>
        <v>0</v>
      </c>
      <c r="I102" s="22">
        <f>'Activity data'!I61*ManureNEF*NtoN2O*kgtoGg</f>
        <v>0</v>
      </c>
      <c r="J102" s="22">
        <f>'Activity data'!J61*ManureNEF*NtoN2O*kgtoGg</f>
        <v>0</v>
      </c>
      <c r="K102" s="22">
        <f>'Activity data'!K61*ManureNEF*NtoN2O*kgtoGg</f>
        <v>0</v>
      </c>
      <c r="L102" s="22">
        <f>'Activity data'!L61*ManureNEF*NtoN2O*kgtoGg</f>
        <v>0</v>
      </c>
      <c r="M102" s="22">
        <f>'Activity data'!M61*ManureNEF*NtoN2O*kgtoGg</f>
        <v>0</v>
      </c>
      <c r="N102" s="22">
        <f>'Activity data'!N61*ManureNEF*NtoN2O*kgtoGg</f>
        <v>0</v>
      </c>
      <c r="O102" s="22">
        <f>'Activity data'!O61*ManureNEF*NtoN2O*kgtoGg</f>
        <v>0</v>
      </c>
      <c r="P102" s="22">
        <f>'Activity data'!P61*ManureNEF*NtoN2O*kgtoGg</f>
        <v>0</v>
      </c>
      <c r="Q102" s="22">
        <f>'Activity data'!Q61*ManureNEF*NtoN2O*kgtoGg</f>
        <v>0</v>
      </c>
      <c r="R102" s="22">
        <f>'Activity data'!R61*ManureNEF*NtoN2O*kgtoGg</f>
        <v>0</v>
      </c>
      <c r="S102" s="22">
        <f>'Activity data'!S61*ManureNEF*NtoN2O*kgtoGg</f>
        <v>0</v>
      </c>
      <c r="T102" s="22">
        <f>'Activity data'!T61*ManureNEF*NtoN2O*kgtoGg</f>
        <v>0</v>
      </c>
      <c r="U102" s="22">
        <f>'Activity data'!U61*ManureNEF*NtoN2O*kgtoGg</f>
        <v>0</v>
      </c>
      <c r="V102" s="22">
        <f>'Activity data'!V61*ManureNEF*NtoN2O*kgtoGg</f>
        <v>0</v>
      </c>
      <c r="W102" s="22">
        <f>'Activity data'!W61*ManureNEF*NtoN2O*kgtoGg</f>
        <v>0</v>
      </c>
      <c r="X102" s="22">
        <f>'Activity data'!X61*ManureNEF*NtoN2O*kgtoGg</f>
        <v>0</v>
      </c>
      <c r="Y102" s="22">
        <f>'Activity data'!Y61*ManureNEF*NtoN2O*kgtoGg</f>
        <v>0</v>
      </c>
      <c r="Z102" s="22">
        <f>'Activity data'!Z61*ManureNEF*NtoN2O*kgtoGg</f>
        <v>0</v>
      </c>
      <c r="AA102" s="22">
        <f>'Activity data'!AA61*ManureNEF*NtoN2O*kgtoGg</f>
        <v>0</v>
      </c>
      <c r="AB102" s="22">
        <f>'Activity data'!AB61*ManureNEF*NtoN2O*kgtoGg</f>
        <v>0</v>
      </c>
      <c r="AC102" s="22">
        <f>'Activity data'!AC61*ManureNEF*NtoN2O*kgtoGg</f>
        <v>0</v>
      </c>
      <c r="AD102" s="22">
        <f>'Activity data'!AD61*ManureNEF*NtoN2O*kgtoGg</f>
        <v>0</v>
      </c>
      <c r="AE102" s="22">
        <f>'Activity data'!AE61*ManureNEF*NtoN2O*kgtoGg</f>
        <v>0</v>
      </c>
      <c r="AF102" s="22">
        <f>'Activity data'!AF61*ManureNEF*NtoN2O*kgtoGg</f>
        <v>0</v>
      </c>
      <c r="AG102" s="22">
        <f>'Activity data'!AG61*ManureNEF*NtoN2O*kgtoGg</f>
        <v>0</v>
      </c>
      <c r="AH102" s="22">
        <f>'Activity data'!AH61*ManureNEF*NtoN2O*kgtoGg</f>
        <v>0</v>
      </c>
      <c r="AI102" s="22">
        <f>'Activity data'!AI61*ManureNEF*NtoN2O*kgtoGg</f>
        <v>0</v>
      </c>
      <c r="AJ102" s="22">
        <f>'Activity data'!AJ61*ManureNEF*NtoN2O*kgtoGg</f>
        <v>0</v>
      </c>
      <c r="AK102" s="22">
        <f>'Activity data'!AK61*ManureNEF*NtoN2O*kgtoGg</f>
        <v>0</v>
      </c>
      <c r="AL102" s="22">
        <f>'Activity data'!AL61*ManureNEF*NtoN2O*kgtoGg</f>
        <v>0</v>
      </c>
      <c r="AM102" s="22">
        <f>'Activity data'!AM61*ManureNEF*NtoN2O*kgtoGg</f>
        <v>0</v>
      </c>
      <c r="AN102" s="22">
        <f>'Activity data'!AN61*ManureNEF*NtoN2O*kgtoGg</f>
        <v>0</v>
      </c>
      <c r="AO102" s="22">
        <f>'Activity data'!AO61*ManureNEF*NtoN2O*kgtoGg</f>
        <v>0</v>
      </c>
      <c r="AP102" s="22">
        <f>'Activity data'!AP61*ManureNEF*NtoN2O*kgtoGg</f>
        <v>0</v>
      </c>
      <c r="AQ102" s="22">
        <f>'Activity data'!AQ61*ManureNEF*NtoN2O*kgtoGg</f>
        <v>0</v>
      </c>
      <c r="AR102" s="22">
        <f>'Activity data'!AR61*ManureNEF*NtoN2O*kgtoGg</f>
        <v>0</v>
      </c>
      <c r="AS102" s="22">
        <f>'Activity data'!AS61*ManureNEF*NtoN2O*kgtoGg</f>
        <v>0</v>
      </c>
      <c r="AT102" s="22">
        <f>'Activity data'!AT61*ManureNEF*NtoN2O*kgtoGg</f>
        <v>0</v>
      </c>
      <c r="AU102" s="22">
        <f>'Activity data'!AU61*ManureNEF*NtoN2O*kgtoGg</f>
        <v>0</v>
      </c>
      <c r="AV102" s="22">
        <f>'Activity data'!AV61*ManureNEF*NtoN2O*kgtoGg</f>
        <v>0</v>
      </c>
      <c r="AW102" s="22">
        <f>'Activity data'!AW61*ManureNEF*NtoN2O*kgtoGg</f>
        <v>0</v>
      </c>
      <c r="AX102" s="22">
        <f>'Activity data'!AX61*ManureNEF*NtoN2O*kgtoGg</f>
        <v>0</v>
      </c>
      <c r="AY102" s="22">
        <f>'Activity data'!AY61*ManureNEF*NtoN2O*kgtoGg</f>
        <v>0</v>
      </c>
      <c r="AZ102" s="22">
        <f>'Activity data'!AZ61*ManureNEF*NtoN2O*kgtoGg</f>
        <v>0</v>
      </c>
      <c r="BA102" s="22">
        <f>'Activity data'!BA61*ManureNEF*NtoN2O*kgtoGg</f>
        <v>0</v>
      </c>
      <c r="BB102" s="22">
        <f>'Activity data'!BB61*ManureNEF*NtoN2O*kgtoGg</f>
        <v>0</v>
      </c>
      <c r="BC102" s="22">
        <f>'Activity data'!BC61*ManureNEF*NtoN2O*kgtoGg</f>
        <v>0</v>
      </c>
      <c r="BD102" s="22">
        <f>'Activity data'!BD61*ManureNEF*NtoN2O*kgtoGg</f>
        <v>0</v>
      </c>
      <c r="BE102" s="22">
        <f>'Activity data'!BE61*ManureNEF*NtoN2O*kgtoGg</f>
        <v>0</v>
      </c>
      <c r="BF102" s="22">
        <f>'Activity data'!BF61*ManureNEF*NtoN2O*kgtoGg</f>
        <v>0</v>
      </c>
      <c r="BG102" s="22">
        <f>'Activity data'!BG61*ManureNEF*NtoN2O*kgtoGg</f>
        <v>0</v>
      </c>
      <c r="BH102" s="22">
        <f>'Activity data'!BH61*ManureNEF*NtoN2O*kgtoGg</f>
        <v>0</v>
      </c>
      <c r="BI102" s="22">
        <f>'Activity data'!BI61*ManureNEF*NtoN2O*kgtoGg</f>
        <v>0</v>
      </c>
      <c r="BJ102" s="22">
        <f>'Activity data'!BJ61*ManureNEF*NtoN2O*kgtoGg</f>
        <v>0</v>
      </c>
      <c r="BK102" s="22">
        <f>'Activity data'!BK61*ManureNEF*NtoN2O*kgtoGg</f>
        <v>0</v>
      </c>
      <c r="BL102" s="22">
        <f>'Activity data'!BL61*ManureNEF*NtoN2O*kgtoGg</f>
        <v>0</v>
      </c>
      <c r="BM102" s="22">
        <f>'Activity data'!BM61*ManureNEF*NtoN2O*kgtoGg</f>
        <v>0</v>
      </c>
      <c r="BN102" s="22">
        <f>'Activity data'!BN61*ManureNEF*NtoN2O*kgtoGg</f>
        <v>0</v>
      </c>
      <c r="BO102" s="22">
        <f>'Activity data'!BO61*ManureNEF*NtoN2O*kgtoGg</f>
        <v>0</v>
      </c>
      <c r="BP102" s="22">
        <f>'Activity data'!BP61*ManureNEF*NtoN2O*kgtoGg</f>
        <v>0</v>
      </c>
    </row>
    <row r="103" spans="1:68" x14ac:dyDescent="0.25">
      <c r="A103" t="str">
        <f t="shared" si="29"/>
        <v>3C Aggregated and non-CO2 emissions on land</v>
      </c>
      <c r="B103" t="str">
        <f t="shared" si="31"/>
        <v>3C4 Direct N2O from managed soils (N2O)</v>
      </c>
      <c r="C103" t="str">
        <f t="shared" si="35"/>
        <v>MM emissions</v>
      </c>
      <c r="D103" t="str">
        <f>'Activity data'!D62</f>
        <v xml:space="preserve"> - Commercial swine</v>
      </c>
      <c r="E103" t="str">
        <f t="shared" si="32"/>
        <v>MM emissions - Commercial swine</v>
      </c>
      <c r="F103" t="str">
        <f t="shared" si="33"/>
        <v>N2O</v>
      </c>
      <c r="G103" t="str">
        <f t="shared" si="34"/>
        <v>Gg N2O</v>
      </c>
      <c r="H103" s="22">
        <f>'Activity data'!H62*ManureNEF*NtoN2O*kgtoGg</f>
        <v>0.11469131025188571</v>
      </c>
      <c r="I103" s="22">
        <f>'Activity data'!I62*ManureNEF*NtoN2O*kgtoGg</f>
        <v>0.12530251415314284</v>
      </c>
      <c r="J103" s="22">
        <f>'Activity data'!J62*ManureNEF*NtoN2O*kgtoGg</f>
        <v>0.1244746897353143</v>
      </c>
      <c r="K103" s="22">
        <f>'Activity data'!K62*ManureNEF*NtoN2O*kgtoGg</f>
        <v>0.12439943297005714</v>
      </c>
      <c r="L103" s="22">
        <f>'Activity data'!L62*ManureNEF*NtoN2O*kgtoGg</f>
        <v>0.11815312145371427</v>
      </c>
      <c r="M103" s="22">
        <f>'Activity data'!M62*ManureNEF*NtoN2O*kgtoGg</f>
        <v>0.11928197293257144</v>
      </c>
      <c r="N103" s="22">
        <f>'Activity data'!N62*ManureNEF*NtoN2O*kgtoGg</f>
        <v>0.12846329829394287</v>
      </c>
      <c r="O103" s="22">
        <f>'Activity data'!O62*ManureNEF*NtoN2O*kgtoGg</f>
        <v>0.12786124417188571</v>
      </c>
      <c r="P103" s="22">
        <f>'Activity data'!P62*ManureNEF*NtoN2O*kgtoGg</f>
        <v>0.13064574448639998</v>
      </c>
      <c r="Q103" s="22">
        <f>'Activity data'!Q62*ManureNEF*NtoN2O*kgtoGg</f>
        <v>0.13395704215771428</v>
      </c>
      <c r="R103" s="22">
        <f>'Activity data'!R62*ManureNEF*NtoN2O*kgtoGg</f>
        <v>0.12394789237851427</v>
      </c>
      <c r="S103" s="22">
        <f>'Activity data'!S62*ManureNEF*NtoN2O*kgtoGg</f>
        <v>0.12628085210148574</v>
      </c>
      <c r="T103" s="22">
        <f>'Activity data'!T62*ManureNEF*NtoN2O*kgtoGg</f>
        <v>0.12868906858971427</v>
      </c>
      <c r="U103" s="22">
        <f>'Activity data'!U62*ManureNEF*NtoN2O*kgtoGg</f>
        <v>0.12515200062262857</v>
      </c>
      <c r="V103" s="22">
        <f>'Activity data'!V62*ManureNEF*NtoN2O*kgtoGg</f>
        <v>0.12515200062262857</v>
      </c>
      <c r="W103" s="22">
        <f>'Activity data'!W62*ManureNEF*NtoN2O*kgtoGg</f>
        <v>0.12424891943954286</v>
      </c>
      <c r="X103" s="22">
        <f>'Activity data'!X62*ManureNEF*NtoN2O*kgtoGg</f>
        <v>0.12206647324708569</v>
      </c>
      <c r="Y103" s="22">
        <f>'Activity data'!Y62*ManureNEF*NtoN2O*kgtoGg</f>
        <v>0.12424891943954286</v>
      </c>
      <c r="Z103" s="22">
        <f>'Activity data'!Z62*ManureNEF*NtoN2O*kgtoGg</f>
        <v>0.12153967589028571</v>
      </c>
      <c r="AA103" s="22">
        <f>'Activity data'!AA62*ManureNEF*NtoN2O*kgtoGg</f>
        <v>0.12138916235977143</v>
      </c>
      <c r="AB103" s="22">
        <f>'Activity data'!AB62*ManureNEF*NtoN2O*kgtoGg</f>
        <v>0.11995928381988573</v>
      </c>
      <c r="AC103" s="22">
        <f>'Activity data'!AC62*ManureNEF*NtoN2O*kgtoGg</f>
        <v>0.11920671616731429</v>
      </c>
      <c r="AD103" s="22">
        <f>'Activity data'!AD62*ManureNEF*NtoN2O*kgtoGg</f>
        <v>0.12465987635369812</v>
      </c>
      <c r="AE103" s="22">
        <f>'Activity data'!AE62*ManureNEF*NtoN2O*kgtoGg</f>
        <v>0.12465049264779751</v>
      </c>
      <c r="AF103" s="22">
        <f>'Activity data'!AF62*ManureNEF*NtoN2O*kgtoGg</f>
        <v>0.12378925175339769</v>
      </c>
      <c r="AG103" s="22">
        <f>'Activity data'!AG62*ManureNEF*NtoN2O*kgtoGg</f>
        <v>0.1223288282399369</v>
      </c>
      <c r="AH103" s="22">
        <f>'Activity data'!AH62*ManureNEF*NtoN2O*kgtoGg</f>
        <v>0.12025713286584666</v>
      </c>
      <c r="AI103" s="22">
        <f>'Activity data'!AI62*ManureNEF*NtoN2O*kgtoGg</f>
        <v>0.11913475113199663</v>
      </c>
      <c r="AJ103" s="22">
        <f>'Activity data'!AJ62*ManureNEF*NtoN2O*kgtoGg</f>
        <v>0.11789141805163621</v>
      </c>
      <c r="AK103" s="22">
        <f>'Activity data'!AK62*ManureNEF*NtoN2O*kgtoGg</f>
        <v>0.116640295379251</v>
      </c>
      <c r="AL103" s="22">
        <f>'Activity data'!AL62*ManureNEF*NtoN2O*kgtoGg</f>
        <v>0.10251476481337218</v>
      </c>
      <c r="AM103" s="22">
        <f>'Activity data'!AM62*ManureNEF*NtoN2O*kgtoGg</f>
        <v>0.10336269343939376</v>
      </c>
      <c r="AN103" s="22">
        <f>'Activity data'!AN62*ManureNEF*NtoN2O*kgtoGg</f>
        <v>0.10402948557232687</v>
      </c>
      <c r="AO103" s="22">
        <f>'Activity data'!AO62*ManureNEF*NtoN2O*kgtoGg</f>
        <v>0.104738705442646</v>
      </c>
      <c r="AP103" s="22">
        <f>'Activity data'!AP62*ManureNEF*NtoN2O*kgtoGg</f>
        <v>0.10564192270835054</v>
      </c>
      <c r="AQ103" s="22">
        <f>'Activity data'!AQ62*ManureNEF*NtoN2O*kgtoGg</f>
        <v>0.10683778972959369</v>
      </c>
      <c r="AR103" s="22">
        <f>'Activity data'!AR62*ManureNEF*NtoN2O*kgtoGg</f>
        <v>0.10815050822774842</v>
      </c>
      <c r="AS103" s="22">
        <f>'Activity data'!AS62*ManureNEF*NtoN2O*kgtoGg</f>
        <v>0.10963100965507444</v>
      </c>
      <c r="AT103" s="22">
        <f>'Activity data'!AT62*ManureNEF*NtoN2O*kgtoGg</f>
        <v>0.11129447022834441</v>
      </c>
      <c r="AU103" s="22">
        <f>'Activity data'!AU62*ManureNEF*NtoN2O*kgtoGg</f>
        <v>0.11334907311434428</v>
      </c>
      <c r="AV103" s="22">
        <f>'Activity data'!AV62*ManureNEF*NtoN2O*kgtoGg</f>
        <v>0.11530303337942538</v>
      </c>
      <c r="AW103" s="22">
        <f>'Activity data'!AW62*ManureNEF*NtoN2O*kgtoGg</f>
        <v>0.11786990175071761</v>
      </c>
      <c r="AX103" s="22">
        <f>'Activity data'!AX62*ManureNEF*NtoN2O*kgtoGg</f>
        <v>0.12050528545041855</v>
      </c>
      <c r="AY103" s="22">
        <f>'Activity data'!AY62*ManureNEF*NtoN2O*kgtoGg</f>
        <v>0.12318434304590672</v>
      </c>
      <c r="AZ103" s="22">
        <f>'Activity data'!AZ62*ManureNEF*NtoN2O*kgtoGg</f>
        <v>0.12588215491458704</v>
      </c>
      <c r="BA103" s="22">
        <f>'Activity data'!BA62*ManureNEF*NtoN2O*kgtoGg</f>
        <v>0.12814533350754545</v>
      </c>
      <c r="BB103" s="22">
        <f>'Activity data'!BB62*ManureNEF*NtoN2O*kgtoGg</f>
        <v>0.13053251706133323</v>
      </c>
      <c r="BC103" s="22">
        <f>'Activity data'!BC62*ManureNEF*NtoN2O*kgtoGg</f>
        <v>0.13313807836137653</v>
      </c>
      <c r="BD103" s="22">
        <f>'Activity data'!BD62*ManureNEF*NtoN2O*kgtoGg</f>
        <v>0.13586432599111206</v>
      </c>
      <c r="BE103" s="22">
        <f>'Activity data'!BE62*ManureNEF*NtoN2O*kgtoGg</f>
        <v>0.13838990661011552</v>
      </c>
      <c r="BF103" s="22">
        <f>'Activity data'!BF62*ManureNEF*NtoN2O*kgtoGg</f>
        <v>0.14089058523455741</v>
      </c>
      <c r="BG103" s="22">
        <f>'Activity data'!BG62*ManureNEF*NtoN2O*kgtoGg</f>
        <v>0.14348660414580447</v>
      </c>
      <c r="BH103" s="22">
        <f>'Activity data'!BH62*ManureNEF*NtoN2O*kgtoGg</f>
        <v>0.14621145805619098</v>
      </c>
      <c r="BI103" s="22">
        <f>'Activity data'!BI62*ManureNEF*NtoN2O*kgtoGg</f>
        <v>0.14911266671780635</v>
      </c>
      <c r="BJ103" s="22">
        <f>'Activity data'!BJ62*ManureNEF*NtoN2O*kgtoGg</f>
        <v>0.15215930291227386</v>
      </c>
      <c r="BK103" s="22">
        <f>'Activity data'!BK62*ManureNEF*NtoN2O*kgtoGg</f>
        <v>0.15545603803315983</v>
      </c>
      <c r="BL103" s="22">
        <f>'Activity data'!BL62*ManureNEF*NtoN2O*kgtoGg</f>
        <v>0.15894722601530181</v>
      </c>
      <c r="BM103" s="22">
        <f>'Activity data'!BM62*ManureNEF*NtoN2O*kgtoGg</f>
        <v>0.1625551537958761</v>
      </c>
      <c r="BN103" s="22">
        <f>'Activity data'!BN62*ManureNEF*NtoN2O*kgtoGg</f>
        <v>0.16599787023413881</v>
      </c>
      <c r="BO103" s="22">
        <f>'Activity data'!BO62*ManureNEF*NtoN2O*kgtoGg</f>
        <v>0.16957181326106288</v>
      </c>
      <c r="BP103" s="22">
        <f>'Activity data'!BP62*ManureNEF*NtoN2O*kgtoGg</f>
        <v>0.1733348676057527</v>
      </c>
    </row>
    <row r="104" spans="1:68" x14ac:dyDescent="0.25">
      <c r="A104" t="str">
        <f t="shared" si="29"/>
        <v>3C Aggregated and non-CO2 emissions on land</v>
      </c>
      <c r="B104" t="str">
        <f t="shared" si="31"/>
        <v>3C4 Direct N2O from managed soils (N2O)</v>
      </c>
      <c r="C104" t="str">
        <f t="shared" si="35"/>
        <v>MM emissions</v>
      </c>
      <c r="D104" t="str">
        <f>'Activity data'!D63</f>
        <v xml:space="preserve"> - Subsistence swine</v>
      </c>
      <c r="E104" t="str">
        <f t="shared" si="32"/>
        <v>MM emissions - Subsistence swine</v>
      </c>
      <c r="F104" t="str">
        <f t="shared" si="33"/>
        <v>N2O</v>
      </c>
      <c r="G104" t="str">
        <f t="shared" si="34"/>
        <v>Gg N2O</v>
      </c>
      <c r="H104" s="22">
        <f>'Activity data'!H63*ManureNEF*NtoN2O*kgtoGg</f>
        <v>2.7864346310359195E-2</v>
      </c>
      <c r="I104" s="22">
        <f>'Activity data'!I63*ManureNEF*NtoN2O*kgtoGg</f>
        <v>3.0442346854821566E-2</v>
      </c>
      <c r="J104" s="22">
        <f>'Activity data'!J63*ManureNEF*NtoN2O*kgtoGg</f>
        <v>3.0241226244969888E-2</v>
      </c>
      <c r="K104" s="22">
        <f>'Activity data'!K63*ManureNEF*NtoN2O*kgtoGg</f>
        <v>3.0222942553165193E-2</v>
      </c>
      <c r="L104" s="22">
        <f>'Activity data'!L63*ManureNEF*NtoN2O*kgtoGg</f>
        <v>2.8705396133375288E-2</v>
      </c>
      <c r="M104" s="22">
        <f>'Activity data'!M63*ManureNEF*NtoN2O*kgtoGg</f>
        <v>2.8979651510445754E-2</v>
      </c>
      <c r="N104" s="22">
        <f>'Activity data'!N63*ManureNEF*NtoN2O*kgtoGg</f>
        <v>3.1210261910618868E-2</v>
      </c>
      <c r="O104" s="22">
        <f>'Activity data'!O63*ManureNEF*NtoN2O*kgtoGg</f>
        <v>3.1063992376181286E-2</v>
      </c>
      <c r="P104" s="22">
        <f>'Activity data'!P63*ManureNEF*NtoN2O*kgtoGg</f>
        <v>3.1740488972955096E-2</v>
      </c>
      <c r="Q104" s="22">
        <f>'Activity data'!Q63*ManureNEF*NtoN2O*kgtoGg</f>
        <v>3.2544971412361789E-2</v>
      </c>
      <c r="R104" s="22">
        <f>'Activity data'!R63*ManureNEF*NtoN2O*kgtoGg</f>
        <v>3.011324040233701E-2</v>
      </c>
      <c r="S104" s="22">
        <f>'Activity data'!S63*ManureNEF*NtoN2O*kgtoGg</f>
        <v>3.0680034848282637E-2</v>
      </c>
      <c r="T104" s="22">
        <f>'Activity data'!T63*ManureNEF*NtoN2O*kgtoGg</f>
        <v>3.1265112986032961E-2</v>
      </c>
      <c r="U104" s="22">
        <f>'Activity data'!U63*ManureNEF*NtoN2O*kgtoGg</f>
        <v>3.0405779471212167E-2</v>
      </c>
      <c r="V104" s="22">
        <f>'Activity data'!V63*ManureNEF*NtoN2O*kgtoGg</f>
        <v>3.0405779471212167E-2</v>
      </c>
      <c r="W104" s="22">
        <f>'Activity data'!W63*ManureNEF*NtoN2O*kgtoGg</f>
        <v>3.0186375169555798E-2</v>
      </c>
      <c r="X104" s="22">
        <f>'Activity data'!X63*ManureNEF*NtoN2O*kgtoGg</f>
        <v>2.9656148107219563E-2</v>
      </c>
      <c r="Y104" s="22">
        <f>'Activity data'!Y63*ManureNEF*NtoN2O*kgtoGg</f>
        <v>3.0186375169555798E-2</v>
      </c>
      <c r="Z104" s="22">
        <f>'Activity data'!Z63*ManureNEF*NtoN2O*kgtoGg</f>
        <v>2.9528162264586686E-2</v>
      </c>
      <c r="AA104" s="22">
        <f>'Activity data'!AA63*ManureNEF*NtoN2O*kgtoGg</f>
        <v>2.9491594880977284E-2</v>
      </c>
      <c r="AB104" s="22">
        <f>'Activity data'!AB63*ManureNEF*NtoN2O*kgtoGg</f>
        <v>2.9144204736688033E-2</v>
      </c>
      <c r="AC104" s="22">
        <f>'Activity data'!AC63*ManureNEF*NtoN2O*kgtoGg</f>
        <v>2.8961367818641053E-2</v>
      </c>
      <c r="AD104" s="22">
        <f>'Activity data'!AD63*ManureNEF*NtoN2O*kgtoGg</f>
        <v>3.1626686674045577E-2</v>
      </c>
      <c r="AE104" s="22">
        <f>'Activity data'!AE63*ManureNEF*NtoN2O*kgtoGg</f>
        <v>3.1624305992024704E-2</v>
      </c>
      <c r="AF104" s="22">
        <f>'Activity data'!AF63*ManureNEF*NtoN2O*kgtoGg</f>
        <v>3.1405805888264172E-2</v>
      </c>
      <c r="AG104" s="22">
        <f>'Activity data'!AG63*ManureNEF*NtoN2O*kgtoGg</f>
        <v>3.1035290865927861E-2</v>
      </c>
      <c r="AH104" s="22">
        <f>'Activity data'!AH63*ManureNEF*NtoN2O*kgtoGg</f>
        <v>3.0509693838264206E-2</v>
      </c>
      <c r="AI104" s="22">
        <f>'Activity data'!AI63*ManureNEF*NtoN2O*kgtoGg</f>
        <v>3.0224941306307332E-2</v>
      </c>
      <c r="AJ104" s="22">
        <f>'Activity data'!AJ63*ManureNEF*NtoN2O*kgtoGg</f>
        <v>2.9909502955859545E-2</v>
      </c>
      <c r="AK104" s="22">
        <f>'Activity data'!AK63*ManureNEF*NtoN2O*kgtoGg</f>
        <v>2.9592088356168677E-2</v>
      </c>
      <c r="AL104" s="22">
        <f>'Activity data'!AL63*ManureNEF*NtoN2O*kgtoGg</f>
        <v>2.6008387309938256E-2</v>
      </c>
      <c r="AM104" s="22">
        <f>'Activity data'!AM63*ManureNEF*NtoN2O*kgtoGg</f>
        <v>2.6223510040375198E-2</v>
      </c>
      <c r="AN104" s="22">
        <f>'Activity data'!AN63*ManureNEF*NtoN2O*kgtoGg</f>
        <v>2.6392677750803208E-2</v>
      </c>
      <c r="AO104" s="22">
        <f>'Activity data'!AO63*ManureNEF*NtoN2O*kgtoGg</f>
        <v>2.6572609540226361E-2</v>
      </c>
      <c r="AP104" s="22">
        <f>'Activity data'!AP63*ManureNEF*NtoN2O*kgtoGg</f>
        <v>2.6801759209683557E-2</v>
      </c>
      <c r="AQ104" s="22">
        <f>'Activity data'!AQ63*ManureNEF*NtoN2O*kgtoGg</f>
        <v>2.7105155239672964E-2</v>
      </c>
      <c r="AR104" s="22">
        <f>'Activity data'!AR63*ManureNEF*NtoN2O*kgtoGg</f>
        <v>2.7438196935579733E-2</v>
      </c>
      <c r="AS104" s="22">
        <f>'Activity data'!AS63*ManureNEF*NtoN2O*kgtoGg</f>
        <v>2.7813805801335904E-2</v>
      </c>
      <c r="AT104" s="22">
        <f>'Activity data'!AT63*ManureNEF*NtoN2O*kgtoGg</f>
        <v>2.8235832101090656E-2</v>
      </c>
      <c r="AU104" s="22">
        <f>'Activity data'!AU63*ManureNEF*NtoN2O*kgtoGg</f>
        <v>2.8757092699254087E-2</v>
      </c>
      <c r="AV104" s="22">
        <f>'Activity data'!AV63*ManureNEF*NtoN2O*kgtoGg</f>
        <v>2.9252819880162859E-2</v>
      </c>
      <c r="AW104" s="22">
        <f>'Activity data'!AW63*ManureNEF*NtoN2O*kgtoGg</f>
        <v>2.9904044188151437E-2</v>
      </c>
      <c r="AX104" s="22">
        <f>'Activity data'!AX63*ManureNEF*NtoN2O*kgtoGg</f>
        <v>3.0572651096599207E-2</v>
      </c>
      <c r="AY104" s="22">
        <f>'Activity data'!AY63*ManureNEF*NtoN2O*kgtoGg</f>
        <v>3.1252338239187272E-2</v>
      </c>
      <c r="AZ104" s="22">
        <f>'Activity data'!AZ63*ManureNEF*NtoN2O*kgtoGg</f>
        <v>3.19367834125018E-2</v>
      </c>
      <c r="BA104" s="22">
        <f>'Activity data'!BA63*ManureNEF*NtoN2O*kgtoGg</f>
        <v>3.2510960464016095E-2</v>
      </c>
      <c r="BB104" s="22">
        <f>'Activity data'!BB63*ManureNEF*NtoN2O*kgtoGg</f>
        <v>3.3116598047634956E-2</v>
      </c>
      <c r="BC104" s="22">
        <f>'Activity data'!BC63*ManureNEF*NtoN2O*kgtoGg</f>
        <v>3.3777638899405736E-2</v>
      </c>
      <c r="BD104" s="22">
        <f>'Activity data'!BD63*ManureNEF*NtoN2O*kgtoGg</f>
        <v>3.4469298333888621E-2</v>
      </c>
      <c r="BE104" s="22">
        <f>'Activity data'!BE63*ManureNEF*NtoN2O*kgtoGg</f>
        <v>3.5110047781454504E-2</v>
      </c>
      <c r="BF104" s="22">
        <f>'Activity data'!BF63*ManureNEF*NtoN2O*kgtoGg</f>
        <v>3.5744479497905997E-2</v>
      </c>
      <c r="BG104" s="22">
        <f>'Activity data'!BG63*ManureNEF*NtoN2O*kgtoGg</f>
        <v>3.6403099409199308E-2</v>
      </c>
      <c r="BH104" s="22">
        <f>'Activity data'!BH63*ManureNEF*NtoN2O*kgtoGg</f>
        <v>3.7094405251761102E-2</v>
      </c>
      <c r="BI104" s="22">
        <f>'Activity data'!BI63*ManureNEF*NtoN2O*kgtoGg</f>
        <v>3.7830452968161822E-2</v>
      </c>
      <c r="BJ104" s="22">
        <f>'Activity data'!BJ63*ManureNEF*NtoN2O*kgtoGg</f>
        <v>3.8603396204996442E-2</v>
      </c>
      <c r="BK104" s="22">
        <f>'Activity data'!BK63*ManureNEF*NtoN2O*kgtoGg</f>
        <v>3.9439790494525097E-2</v>
      </c>
      <c r="BL104" s="22">
        <f>'Activity data'!BL63*ManureNEF*NtoN2O*kgtoGg</f>
        <v>4.0325518217518494E-2</v>
      </c>
      <c r="BM104" s="22">
        <f>'Activity data'!BM63*ManureNEF*NtoN2O*kgtoGg</f>
        <v>4.1240863273172571E-2</v>
      </c>
      <c r="BN104" s="22">
        <f>'Activity data'!BN63*ManureNEF*NtoN2O*kgtoGg</f>
        <v>4.211429358038378E-2</v>
      </c>
      <c r="BO104" s="22">
        <f>'Activity data'!BO63*ManureNEF*NtoN2O*kgtoGg</f>
        <v>4.3021016574258025E-2</v>
      </c>
      <c r="BP104" s="22">
        <f>'Activity data'!BP63*ManureNEF*NtoN2O*kgtoGg</f>
        <v>4.3975717831615552E-2</v>
      </c>
    </row>
    <row r="105" spans="1:68" x14ac:dyDescent="0.25">
      <c r="A105" t="str">
        <f t="shared" si="29"/>
        <v>3C Aggregated and non-CO2 emissions on land</v>
      </c>
      <c r="B105" t="str">
        <f t="shared" si="31"/>
        <v>3C4 Direct N2O from managed soils (N2O)</v>
      </c>
      <c r="C105" t="str">
        <f t="shared" si="35"/>
        <v>MM emissions</v>
      </c>
      <c r="D105" t="str">
        <f>'Activity data'!D64</f>
        <v xml:space="preserve"> - Commercial layers</v>
      </c>
      <c r="E105" t="str">
        <f t="shared" si="32"/>
        <v>MM emissions - Commercial layers</v>
      </c>
      <c r="F105" t="str">
        <f t="shared" si="33"/>
        <v>N2O</v>
      </c>
      <c r="G105" t="str">
        <f t="shared" si="34"/>
        <v>Gg N2O</v>
      </c>
      <c r="H105" s="22">
        <f>'Activity data'!H64*ManureNEF*NtoN2O*kgtoGg</f>
        <v>9.7200530286632988E-2</v>
      </c>
      <c r="I105" s="22">
        <f>'Activity data'!I64*ManureNEF*NtoN2O*kgtoGg</f>
        <v>9.4428858969144991E-2</v>
      </c>
      <c r="J105" s="22">
        <f>'Activity data'!J64*ManureNEF*NtoN2O*kgtoGg</f>
        <v>8.9559204193753711E-2</v>
      </c>
      <c r="K105" s="22">
        <f>'Activity data'!K64*ManureNEF*NtoN2O*kgtoGg</f>
        <v>8.8151043346442318E-2</v>
      </c>
      <c r="L105" s="22">
        <f>'Activity data'!L64*ManureNEF*NtoN2O*kgtoGg</f>
        <v>8.4316790348484383E-2</v>
      </c>
      <c r="M105" s="22">
        <f>'Activity data'!M64*ManureNEF*NtoN2O*kgtoGg</f>
        <v>9.2000112653199614E-2</v>
      </c>
      <c r="N105" s="22">
        <f>'Activity data'!N64*ManureNEF*NtoN2O*kgtoGg</f>
        <v>9.7180196522010265E-2</v>
      </c>
      <c r="O105" s="22">
        <f>'Activity data'!O64*ManureNEF*NtoN2O*kgtoGg</f>
        <v>9.7499760881509301E-2</v>
      </c>
      <c r="P105" s="22">
        <f>'Activity data'!P64*ManureNEF*NtoN2O*kgtoGg</f>
        <v>0.10977650358290812</v>
      </c>
      <c r="Q105" s="22">
        <f>'Activity data'!Q64*ManureNEF*NtoN2O*kgtoGg</f>
        <v>0.11769142781513957</v>
      </c>
      <c r="R105" s="22">
        <f>'Activity data'!R64*ManureNEF*NtoN2O*kgtoGg</f>
        <v>0.11519773530237168</v>
      </c>
      <c r="S105" s="22">
        <f>'Activity data'!S64*ManureNEF*NtoN2O*kgtoGg</f>
        <v>0.11827079994576317</v>
      </c>
      <c r="T105" s="22">
        <f>'Activity data'!T64*ManureNEF*NtoN2O*kgtoGg</f>
        <v>0.11734254390212158</v>
      </c>
      <c r="U105" s="22">
        <f>'Activity data'!U64*ManureNEF*NtoN2O*kgtoGg</f>
        <v>0.11265793599714678</v>
      </c>
      <c r="V105" s="22">
        <f>'Activity data'!V64*ManureNEF*NtoN2O*kgtoGg</f>
        <v>0.11674302954549233</v>
      </c>
      <c r="W105" s="22">
        <f>'Activity data'!W64*ManureNEF*NtoN2O*kgtoGg</f>
        <v>0.12378269546779383</v>
      </c>
      <c r="X105" s="22">
        <f>'Activity data'!X64*ManureNEF*NtoN2O*kgtoGg</f>
        <v>0.136608752009132</v>
      </c>
      <c r="Y105" s="22">
        <f>'Activity data'!Y64*ManureNEF*NtoN2O*kgtoGg</f>
        <v>0.15118112258886537</v>
      </c>
      <c r="Z105" s="22">
        <f>'Activity data'!Z64*ManureNEF*NtoN2O*kgtoGg</f>
        <v>0.15317215945854146</v>
      </c>
      <c r="AA105" s="22">
        <f>'Activity data'!AA64*ManureNEF*NtoN2O*kgtoGg</f>
        <v>0.14752524872712022</v>
      </c>
      <c r="AB105" s="22">
        <f>'Activity data'!AB64*ManureNEF*NtoN2O*kgtoGg</f>
        <v>0.1532718669032935</v>
      </c>
      <c r="AC105" s="22">
        <f>'Activity data'!AC64*ManureNEF*NtoN2O*kgtoGg</f>
        <v>0.16034648531014095</v>
      </c>
      <c r="AD105" s="22">
        <f>'Activity data'!AD64*ManureNEF*NtoN2O*kgtoGg</f>
        <v>0.15702218170172552</v>
      </c>
      <c r="AE105" s="22">
        <f>'Activity data'!AE64*ManureNEF*NtoN2O*kgtoGg</f>
        <v>0.16069139903163124</v>
      </c>
      <c r="AF105" s="22">
        <f>'Activity data'!AF64*ManureNEF*NtoN2O*kgtoGg</f>
        <v>0.16376134945981452</v>
      </c>
      <c r="AG105" s="22">
        <f>'Activity data'!AG64*ManureNEF*NtoN2O*kgtoGg</f>
        <v>0.16637826554869137</v>
      </c>
      <c r="AH105" s="22">
        <f>'Activity data'!AH64*ManureNEF*NtoN2O*kgtoGg</f>
        <v>0.16850315964520021</v>
      </c>
      <c r="AI105" s="22">
        <f>'Activity data'!AI64*ManureNEF*NtoN2O*kgtoGg</f>
        <v>0.17134494739031975</v>
      </c>
      <c r="AJ105" s="22">
        <f>'Activity data'!AJ64*ManureNEF*NtoN2O*kgtoGg</f>
        <v>0.17406126315669709</v>
      </c>
      <c r="AK105" s="22">
        <f>'Activity data'!AK64*ManureNEF*NtoN2O*kgtoGg</f>
        <v>0.17674616009090413</v>
      </c>
      <c r="AL105" s="22">
        <f>'Activity data'!AL64*ManureNEF*NtoN2O*kgtoGg</f>
        <v>0.16841579019324149</v>
      </c>
      <c r="AM105" s="22">
        <f>'Activity data'!AM64*ManureNEF*NtoN2O*kgtoGg</f>
        <v>0.1722229092539482</v>
      </c>
      <c r="AN105" s="22">
        <f>'Activity data'!AN64*ManureNEF*NtoN2O*kgtoGg</f>
        <v>0.17592191573493554</v>
      </c>
      <c r="AO105" s="22">
        <f>'Activity data'!AO64*ManureNEF*NtoN2O*kgtoGg</f>
        <v>0.17970835556951301</v>
      </c>
      <c r="AP105" s="22">
        <f>'Activity data'!AP64*ManureNEF*NtoN2O*kgtoGg</f>
        <v>0.18372843869738972</v>
      </c>
      <c r="AQ105" s="22">
        <f>'Activity data'!AQ64*ManureNEF*NtoN2O*kgtoGg</f>
        <v>0.18809019574097363</v>
      </c>
      <c r="AR105" s="22">
        <f>'Activity data'!AR64*ManureNEF*NtoN2O*kgtoGg</f>
        <v>0.19248573865206159</v>
      </c>
      <c r="AS105" s="22">
        <f>'Activity data'!AS64*ManureNEF*NtoN2O*kgtoGg</f>
        <v>0.19712844940697186</v>
      </c>
      <c r="AT105" s="22">
        <f>'Activity data'!AT64*ManureNEF*NtoN2O*kgtoGg</f>
        <v>0.20204648002219761</v>
      </c>
      <c r="AU105" s="22">
        <f>'Activity data'!AU64*ManureNEF*NtoN2O*kgtoGg</f>
        <v>0.2074697088506178</v>
      </c>
      <c r="AV105" s="22">
        <f>'Activity data'!AV64*ManureNEF*NtoN2O*kgtoGg</f>
        <v>0.21290492718928036</v>
      </c>
      <c r="AW105" s="22">
        <f>'Activity data'!AW64*ManureNEF*NtoN2O*kgtoGg</f>
        <v>0.21898979454987244</v>
      </c>
      <c r="AX105" s="22">
        <f>'Activity data'!AX64*ManureNEF*NtoN2O*kgtoGg</f>
        <v>0.22529421865302915</v>
      </c>
      <c r="AY105" s="22">
        <f>'Activity data'!AY64*ManureNEF*NtoN2O*kgtoGg</f>
        <v>0.23179814452493144</v>
      </c>
      <c r="AZ105" s="22">
        <f>'Activity data'!AZ64*ManureNEF*NtoN2O*kgtoGg</f>
        <v>0.23847945857286593</v>
      </c>
      <c r="BA105" s="22">
        <f>'Activity data'!BA64*ManureNEF*NtoN2O*kgtoGg</f>
        <v>0.24481353780938409</v>
      </c>
      <c r="BB105" s="22">
        <f>'Activity data'!BB64*ManureNEF*NtoN2O*kgtoGg</f>
        <v>0.25131506738137821</v>
      </c>
      <c r="BC105" s="22">
        <f>'Activity data'!BC64*ManureNEF*NtoN2O*kgtoGg</f>
        <v>0.25823360748335356</v>
      </c>
      <c r="BD105" s="22">
        <f>'Activity data'!BD64*ManureNEF*NtoN2O*kgtoGg</f>
        <v>0.26546741862598033</v>
      </c>
      <c r="BE105" s="22">
        <f>'Activity data'!BE64*ManureNEF*NtoN2O*kgtoGg</f>
        <v>0.27262418583029457</v>
      </c>
      <c r="BF105" s="22">
        <f>'Activity data'!BF64*ManureNEF*NtoN2O*kgtoGg</f>
        <v>0.27991978224171921</v>
      </c>
      <c r="BG105" s="22">
        <f>'Activity data'!BG64*ManureNEF*NtoN2O*kgtoGg</f>
        <v>0.28739573958098558</v>
      </c>
      <c r="BH105" s="22">
        <f>'Activity data'!BH64*ManureNEF*NtoN2O*kgtoGg</f>
        <v>0.29522526113606534</v>
      </c>
      <c r="BI105" s="22">
        <f>'Activity data'!BI64*ManureNEF*NtoN2O*kgtoGg</f>
        <v>0.30348743886220098</v>
      </c>
      <c r="BJ105" s="22">
        <f>'Activity data'!BJ64*ManureNEF*NtoN2O*kgtoGg</f>
        <v>0.31215814460135732</v>
      </c>
      <c r="BK105" s="22">
        <f>'Activity data'!BK64*ManureNEF*NtoN2O*kgtoGg</f>
        <v>0.32140179763784077</v>
      </c>
      <c r="BL105" s="22">
        <f>'Activity data'!BL64*ManureNEF*NtoN2O*kgtoGg</f>
        <v>0.33104247531354503</v>
      </c>
      <c r="BM105" s="22">
        <f>'Activity data'!BM64*ManureNEF*NtoN2O*kgtoGg</f>
        <v>0.34110913670909809</v>
      </c>
      <c r="BN105" s="22">
        <f>'Activity data'!BN64*ManureNEF*NtoN2O*kgtoGg</f>
        <v>0.35119862908636296</v>
      </c>
      <c r="BO105" s="22">
        <f>'Activity data'!BO64*ManureNEF*NtoN2O*kgtoGg</f>
        <v>0.36175457106105852</v>
      </c>
      <c r="BP105" s="22">
        <f>'Activity data'!BP64*ManureNEF*NtoN2O*kgtoGg</f>
        <v>0.37288516809443056</v>
      </c>
    </row>
    <row r="106" spans="1:68" x14ac:dyDescent="0.25">
      <c r="A106" t="str">
        <f t="shared" si="29"/>
        <v>3C Aggregated and non-CO2 emissions on land</v>
      </c>
      <c r="B106" t="str">
        <f t="shared" si="31"/>
        <v>3C4 Direct N2O from managed soils (N2O)</v>
      </c>
      <c r="C106" t="str">
        <f t="shared" si="35"/>
        <v>MM emissions</v>
      </c>
      <c r="D106" t="str">
        <f>'Activity data'!D65</f>
        <v xml:space="preserve"> - Commercial broilers</v>
      </c>
      <c r="E106" t="str">
        <f t="shared" si="32"/>
        <v>MM emissions - Commercial broilers</v>
      </c>
      <c r="F106" t="str">
        <f t="shared" si="33"/>
        <v>N2O</v>
      </c>
      <c r="G106" t="str">
        <f t="shared" si="34"/>
        <v>Gg N2O</v>
      </c>
      <c r="H106" s="22">
        <f>'Activity data'!H65*ManureNEF*NtoN2O*kgtoGg</f>
        <v>0.33694552073148476</v>
      </c>
      <c r="I106" s="22">
        <f>'Activity data'!I65*ManureNEF*NtoN2O*kgtoGg</f>
        <v>0.31672878989639686</v>
      </c>
      <c r="J106" s="22">
        <f>'Activity data'!J65*ManureNEF*NtoN2O*kgtoGg</f>
        <v>0.29933136362353469</v>
      </c>
      <c r="K106" s="22">
        <f>'Activity data'!K65*ManureNEF*NtoN2O*kgtoGg</f>
        <v>0.33664137760432367</v>
      </c>
      <c r="L106" s="22">
        <f>'Activity data'!L65*ManureNEF*NtoN2O*kgtoGg</f>
        <v>0.33348410598324085</v>
      </c>
      <c r="M106" s="22">
        <f>'Activity data'!M65*ManureNEF*NtoN2O*kgtoGg</f>
        <v>0.3817213101364974</v>
      </c>
      <c r="N106" s="22">
        <f>'Activity data'!N65*ManureNEF*NtoN2O*kgtoGg</f>
        <v>0.44384349237162696</v>
      </c>
      <c r="O106" s="22">
        <f>'Activity data'!O65*ManureNEF*NtoN2O*kgtoGg</f>
        <v>0.45178194059776339</v>
      </c>
      <c r="P106" s="22">
        <f>'Activity data'!P65*ManureNEF*NtoN2O*kgtoGg</f>
        <v>0.49503233967174015</v>
      </c>
      <c r="Q106" s="22">
        <f>'Activity data'!Q65*ManureNEF*NtoN2O*kgtoGg</f>
        <v>0.51680820971951225</v>
      </c>
      <c r="R106" s="22">
        <f>'Activity data'!R65*ManureNEF*NtoN2O*kgtoGg</f>
        <v>0.55604755062988331</v>
      </c>
      <c r="S106" s="22">
        <f>'Activity data'!S65*ManureNEF*NtoN2O*kgtoGg</f>
        <v>0.53692233734035788</v>
      </c>
      <c r="T106" s="22">
        <f>'Activity data'!T65*ManureNEF*NtoN2O*kgtoGg</f>
        <v>0.59508410809033618</v>
      </c>
      <c r="U106" s="22">
        <f>'Activity data'!U65*ManureNEF*NtoN2O*kgtoGg</f>
        <v>0.56601482196260933</v>
      </c>
      <c r="V106" s="22">
        <f>'Activity data'!V65*ManureNEF*NtoN2O*kgtoGg</f>
        <v>0.57967891352922574</v>
      </c>
      <c r="W106" s="22">
        <f>'Activity data'!W65*ManureNEF*NtoN2O*kgtoGg</f>
        <v>0.64140005161544356</v>
      </c>
      <c r="X106" s="22">
        <f>'Activity data'!X65*ManureNEF*NtoN2O*kgtoGg</f>
        <v>0.68603730264816176</v>
      </c>
      <c r="Y106" s="22">
        <f>'Activity data'!Y65*ManureNEF*NtoN2O*kgtoGg</f>
        <v>0.71778306696636274</v>
      </c>
      <c r="Z106" s="22">
        <f>'Activity data'!Z65*ManureNEF*NtoN2O*kgtoGg</f>
        <v>0.76424406737632311</v>
      </c>
      <c r="AA106" s="22">
        <f>'Activity data'!AA65*ManureNEF*NtoN2O*kgtoGg</f>
        <v>0.7211479440293127</v>
      </c>
      <c r="AB106" s="22">
        <f>'Activity data'!AB65*ManureNEF*NtoN2O*kgtoGg</f>
        <v>0.73928538984856018</v>
      </c>
      <c r="AC106" s="22">
        <f>'Activity data'!AC65*ManureNEF*NtoN2O*kgtoGg</f>
        <v>0.76461491186701336</v>
      </c>
      <c r="AD106" s="22">
        <f>'Activity data'!AD65*ManureNEF*NtoN2O*kgtoGg</f>
        <v>0.78661549516926177</v>
      </c>
      <c r="AE106" s="22">
        <f>'Activity data'!AE65*ManureNEF*NtoN2O*kgtoGg</f>
        <v>0.80320847038677412</v>
      </c>
      <c r="AF106" s="22">
        <f>'Activity data'!AF65*ManureNEF*NtoN2O*kgtoGg</f>
        <v>0.81127159103698498</v>
      </c>
      <c r="AG106" s="22">
        <f>'Activity data'!AG65*ManureNEF*NtoN2O*kgtoGg</f>
        <v>0.81292733743985113</v>
      </c>
      <c r="AH106" s="22">
        <f>'Activity data'!AH65*ManureNEF*NtoN2O*kgtoGg</f>
        <v>0.80785318615216317</v>
      </c>
      <c r="AI106" s="22">
        <f>'Activity data'!AI65*ManureNEF*NtoN2O*kgtoGg</f>
        <v>0.81125316680487902</v>
      </c>
      <c r="AJ106" s="22">
        <f>'Activity data'!AJ65*ManureNEF*NtoN2O*kgtoGg</f>
        <v>0.81297987180205156</v>
      </c>
      <c r="AK106" s="22">
        <f>'Activity data'!AK65*ManureNEF*NtoN2O*kgtoGg</f>
        <v>0.81414490485768509</v>
      </c>
      <c r="AL106" s="22">
        <f>'Activity data'!AL65*ManureNEF*NtoN2O*kgtoGg</f>
        <v>0.68225632293886396</v>
      </c>
      <c r="AM106" s="22">
        <f>'Activity data'!AM65*ManureNEF*NtoN2O*kgtoGg</f>
        <v>0.70447005152639253</v>
      </c>
      <c r="AN106" s="22">
        <f>'Activity data'!AN65*ManureNEF*NtoN2O*kgtoGg</f>
        <v>0.72494958113190089</v>
      </c>
      <c r="AO106" s="22">
        <f>'Activity data'!AO65*ManureNEF*NtoN2O*kgtoGg</f>
        <v>0.74603637886644969</v>
      </c>
      <c r="AP106" s="22">
        <f>'Activity data'!AP65*ManureNEF*NtoN2O*kgtoGg</f>
        <v>0.76941474689435652</v>
      </c>
      <c r="AQ106" s="22">
        <f>'Activity data'!AQ65*ManureNEF*NtoN2O*kgtoGg</f>
        <v>0.79627239867190325</v>
      </c>
      <c r="AR106" s="22">
        <f>'Activity data'!AR65*ManureNEF*NtoN2O*kgtoGg</f>
        <v>0.82545974732340965</v>
      </c>
      <c r="AS106" s="22">
        <f>'Activity data'!AS65*ManureNEF*NtoN2O*kgtoGg</f>
        <v>0.85695976526932682</v>
      </c>
      <c r="AT106" s="22">
        <f>'Activity data'!AT65*ManureNEF*NtoN2O*kgtoGg</f>
        <v>0.8910391255019513</v>
      </c>
      <c r="AU106" s="22">
        <f>'Activity data'!AU65*ManureNEF*NtoN2O*kgtoGg</f>
        <v>0.93021109736530994</v>
      </c>
      <c r="AV106" s="22">
        <f>'Activity data'!AV65*ManureNEF*NtoN2O*kgtoGg</f>
        <v>0.96889900363108916</v>
      </c>
      <c r="AW106" s="22">
        <f>'Activity data'!AW65*ManureNEF*NtoN2O*kgtoGg</f>
        <v>1.0160913395940947</v>
      </c>
      <c r="AX106" s="22">
        <f>'Activity data'!AX65*ManureNEF*NtoN2O*kgtoGg</f>
        <v>1.0650085960883573</v>
      </c>
      <c r="AY106" s="22">
        <f>'Activity data'!AY65*ManureNEF*NtoN2O*kgtoGg</f>
        <v>1.1154054493652881</v>
      </c>
      <c r="AZ106" s="22">
        <f>'Activity data'!AZ65*ManureNEF*NtoN2O*kgtoGg</f>
        <v>1.1670215316822243</v>
      </c>
      <c r="BA106" s="22">
        <f>'Activity data'!BA65*ManureNEF*NtoN2O*kgtoGg</f>
        <v>1.2142239715277403</v>
      </c>
      <c r="BB106" s="22">
        <f>'Activity data'!BB65*ManureNEF*NtoN2O*kgtoGg</f>
        <v>1.2644023871411667</v>
      </c>
      <c r="BC106" s="22">
        <f>'Activity data'!BC65*ManureNEF*NtoN2O*kgtoGg</f>
        <v>1.3183621638336511</v>
      </c>
      <c r="BD106" s="22">
        <f>'Activity data'!BD65*ManureNEF*NtoN2O*kgtoGg</f>
        <v>1.3749702279277354</v>
      </c>
      <c r="BE106" s="22">
        <f>'Activity data'!BE65*ManureNEF*NtoN2O*kgtoGg</f>
        <v>1.4300905730478115</v>
      </c>
      <c r="BF106" s="22">
        <f>'Activity data'!BF65*ManureNEF*NtoN2O*kgtoGg</f>
        <v>1.4859967632089874</v>
      </c>
      <c r="BG106" s="22">
        <f>'Activity data'!BG65*ManureNEF*NtoN2O*kgtoGg</f>
        <v>1.5447852196997083</v>
      </c>
      <c r="BH106" s="22">
        <f>'Activity data'!BH65*ManureNEF*NtoN2O*kgtoGg</f>
        <v>1.6065433765294963</v>
      </c>
      <c r="BI106" s="22">
        <f>'Activity data'!BI65*ManureNEF*NtoN2O*kgtoGg</f>
        <v>1.672032366719715</v>
      </c>
      <c r="BJ106" s="22">
        <f>'Activity data'!BJ65*ManureNEF*NtoN2O*kgtoGg</f>
        <v>1.7409508750327438</v>
      </c>
      <c r="BK106" s="22">
        <f>'Activity data'!BK65*ManureNEF*NtoN2O*kgtoGg</f>
        <v>1.8149048972806059</v>
      </c>
      <c r="BL106" s="22">
        <f>'Activity data'!BL65*ManureNEF*NtoN2O*kgtoGg</f>
        <v>1.8937292505635184</v>
      </c>
      <c r="BM106" s="22">
        <f>'Activity data'!BM65*ManureNEF*NtoN2O*kgtoGg</f>
        <v>1.9759951444821144</v>
      </c>
      <c r="BN106" s="22">
        <f>'Activity data'!BN65*ManureNEF*NtoN2O*kgtoGg</f>
        <v>2.0576595992100346</v>
      </c>
      <c r="BO106" s="22">
        <f>'Activity data'!BO65*ManureNEF*NtoN2O*kgtoGg</f>
        <v>2.1431141018155375</v>
      </c>
      <c r="BP106" s="22">
        <f>'Activity data'!BP65*ManureNEF*NtoN2O*kgtoGg</f>
        <v>2.2333684106032243</v>
      </c>
    </row>
    <row r="107" spans="1:68" x14ac:dyDescent="0.25">
      <c r="A107" t="str">
        <f t="shared" si="29"/>
        <v>3C Aggregated and non-CO2 emissions on land</v>
      </c>
      <c r="B107" t="str">
        <f t="shared" si="31"/>
        <v>3C4 Direct N2O from managed soils (N2O)</v>
      </c>
      <c r="C107" t="s">
        <v>422</v>
      </c>
      <c r="D107" t="str">
        <f>D91</f>
        <v xml:space="preserve"> - TMR</v>
      </c>
      <c r="E107" t="str">
        <f t="shared" si="32"/>
        <v>U&amp;D emissions - TMR</v>
      </c>
      <c r="F107" t="str">
        <f t="shared" ref="F107:F138" si="36">F106</f>
        <v>N2O</v>
      </c>
      <c r="G107" t="str">
        <f t="shared" ref="G107:G138" si="37">G106</f>
        <v>Gg N2O</v>
      </c>
      <c r="H107" s="22">
        <f>'Activity data'!H66*UDCPPEF*NtoN2O*kgtoGg</f>
        <v>0</v>
      </c>
      <c r="I107" s="22">
        <f>'Activity data'!I66*UDCPPEF*NtoN2O*kgtoGg</f>
        <v>0</v>
      </c>
      <c r="J107" s="22">
        <f>'Activity data'!J66*UDCPPEF*NtoN2O*kgtoGg</f>
        <v>0</v>
      </c>
      <c r="K107" s="22">
        <f>'Activity data'!K66*UDCPPEF*NtoN2O*kgtoGg</f>
        <v>0</v>
      </c>
      <c r="L107" s="22">
        <f>'Activity data'!L66*UDCPPEF*NtoN2O*kgtoGg</f>
        <v>0</v>
      </c>
      <c r="M107" s="22">
        <f>'Activity data'!M66*UDCPPEF*NtoN2O*kgtoGg</f>
        <v>0</v>
      </c>
      <c r="N107" s="22">
        <f>'Activity data'!N66*UDCPPEF*NtoN2O*kgtoGg</f>
        <v>0</v>
      </c>
      <c r="O107" s="22">
        <f>'Activity data'!O66*UDCPPEF*NtoN2O*kgtoGg</f>
        <v>0</v>
      </c>
      <c r="P107" s="22">
        <f>'Activity data'!P66*UDCPPEF*NtoN2O*kgtoGg</f>
        <v>0</v>
      </c>
      <c r="Q107" s="22">
        <f>'Activity data'!Q66*UDCPPEF*NtoN2O*kgtoGg</f>
        <v>0</v>
      </c>
      <c r="R107" s="22">
        <f>'Activity data'!R66*UDCPPEF*NtoN2O*kgtoGg</f>
        <v>0</v>
      </c>
      <c r="S107" s="22">
        <f>'Activity data'!S66*UDCPPEF*NtoN2O*kgtoGg</f>
        <v>0</v>
      </c>
      <c r="T107" s="22">
        <f>'Activity data'!T66*UDCPPEF*NtoN2O*kgtoGg</f>
        <v>0</v>
      </c>
      <c r="U107" s="22">
        <f>'Activity data'!U66*UDCPPEF*NtoN2O*kgtoGg</f>
        <v>0</v>
      </c>
      <c r="V107" s="22">
        <f>'Activity data'!V66*UDCPPEF*NtoN2O*kgtoGg</f>
        <v>0</v>
      </c>
      <c r="W107" s="22">
        <f>'Activity data'!W66*UDCPPEF*NtoN2O*kgtoGg</f>
        <v>0</v>
      </c>
      <c r="X107" s="22">
        <f>'Activity data'!X66*UDCPPEF*NtoN2O*kgtoGg</f>
        <v>0</v>
      </c>
      <c r="Y107" s="22">
        <f>'Activity data'!Y66*UDCPPEF*NtoN2O*kgtoGg</f>
        <v>0</v>
      </c>
      <c r="Z107" s="22">
        <f>'Activity data'!Z66*UDCPPEF*NtoN2O*kgtoGg</f>
        <v>0</v>
      </c>
      <c r="AA107" s="22">
        <f>'Activity data'!AA66*UDCPPEF*NtoN2O*kgtoGg</f>
        <v>0</v>
      </c>
      <c r="AB107" s="22">
        <f>'Activity data'!AB66*UDCPPEF*NtoN2O*kgtoGg</f>
        <v>0</v>
      </c>
      <c r="AC107" s="22">
        <f>'Activity data'!AC66*UDCPPEF*NtoN2O*kgtoGg</f>
        <v>0</v>
      </c>
      <c r="AD107" s="22">
        <f>'Activity data'!AD66*UDCPPEF*NtoN2O*kgtoGg</f>
        <v>0</v>
      </c>
      <c r="AE107" s="22">
        <f>'Activity data'!AE66*UDCPPEF*NtoN2O*kgtoGg</f>
        <v>0</v>
      </c>
      <c r="AF107" s="22">
        <f>'Activity data'!AF66*UDCPPEF*NtoN2O*kgtoGg</f>
        <v>0</v>
      </c>
      <c r="AG107" s="22">
        <f>'Activity data'!AG66*UDCPPEF*NtoN2O*kgtoGg</f>
        <v>0</v>
      </c>
      <c r="AH107" s="22">
        <f>'Activity data'!AH66*UDCPPEF*NtoN2O*kgtoGg</f>
        <v>0</v>
      </c>
      <c r="AI107" s="22">
        <f>'Activity data'!AI66*UDCPPEF*NtoN2O*kgtoGg</f>
        <v>0</v>
      </c>
      <c r="AJ107" s="22">
        <f>'Activity data'!AJ66*UDCPPEF*NtoN2O*kgtoGg</f>
        <v>0</v>
      </c>
      <c r="AK107" s="22">
        <f>'Activity data'!AK66*UDCPPEF*NtoN2O*kgtoGg</f>
        <v>0</v>
      </c>
      <c r="AL107" s="22">
        <f>'Activity data'!AL66*UDCPPEF*NtoN2O*kgtoGg</f>
        <v>0</v>
      </c>
      <c r="AM107" s="22">
        <f>'Activity data'!AM66*UDCPPEF*NtoN2O*kgtoGg</f>
        <v>0</v>
      </c>
      <c r="AN107" s="22">
        <f>'Activity data'!AN66*UDCPPEF*NtoN2O*kgtoGg</f>
        <v>0</v>
      </c>
      <c r="AO107" s="22">
        <f>'Activity data'!AO66*UDCPPEF*NtoN2O*kgtoGg</f>
        <v>0</v>
      </c>
      <c r="AP107" s="22">
        <f>'Activity data'!AP66*UDCPPEF*NtoN2O*kgtoGg</f>
        <v>0</v>
      </c>
      <c r="AQ107" s="22">
        <f>'Activity data'!AQ66*UDCPPEF*NtoN2O*kgtoGg</f>
        <v>0</v>
      </c>
      <c r="AR107" s="22">
        <f>'Activity data'!AR66*UDCPPEF*NtoN2O*kgtoGg</f>
        <v>0</v>
      </c>
      <c r="AS107" s="22">
        <f>'Activity data'!AS66*UDCPPEF*NtoN2O*kgtoGg</f>
        <v>0</v>
      </c>
      <c r="AT107" s="22">
        <f>'Activity data'!AT66*UDCPPEF*NtoN2O*kgtoGg</f>
        <v>0</v>
      </c>
      <c r="AU107" s="22">
        <f>'Activity data'!AU66*UDCPPEF*NtoN2O*kgtoGg</f>
        <v>0</v>
      </c>
      <c r="AV107" s="22">
        <f>'Activity data'!AV66*UDCPPEF*NtoN2O*kgtoGg</f>
        <v>0</v>
      </c>
      <c r="AW107" s="22">
        <f>'Activity data'!AW66*UDCPPEF*NtoN2O*kgtoGg</f>
        <v>0</v>
      </c>
      <c r="AX107" s="22">
        <f>'Activity data'!AX66*UDCPPEF*NtoN2O*kgtoGg</f>
        <v>0</v>
      </c>
      <c r="AY107" s="22">
        <f>'Activity data'!AY66*UDCPPEF*NtoN2O*kgtoGg</f>
        <v>0</v>
      </c>
      <c r="AZ107" s="22">
        <f>'Activity data'!AZ66*UDCPPEF*NtoN2O*kgtoGg</f>
        <v>0</v>
      </c>
      <c r="BA107" s="22">
        <f>'Activity data'!BA66*UDCPPEF*NtoN2O*kgtoGg</f>
        <v>0</v>
      </c>
      <c r="BB107" s="22">
        <f>'Activity data'!BB66*UDCPPEF*NtoN2O*kgtoGg</f>
        <v>0</v>
      </c>
      <c r="BC107" s="22">
        <f>'Activity data'!BC66*UDCPPEF*NtoN2O*kgtoGg</f>
        <v>0</v>
      </c>
      <c r="BD107" s="22">
        <f>'Activity data'!BD66*UDCPPEF*NtoN2O*kgtoGg</f>
        <v>0</v>
      </c>
      <c r="BE107" s="22">
        <f>'Activity data'!BE66*UDCPPEF*NtoN2O*kgtoGg</f>
        <v>0</v>
      </c>
      <c r="BF107" s="22">
        <f>'Activity data'!BF66*UDCPPEF*NtoN2O*kgtoGg</f>
        <v>0</v>
      </c>
      <c r="BG107" s="22">
        <f>'Activity data'!BG66*UDCPPEF*NtoN2O*kgtoGg</f>
        <v>0</v>
      </c>
      <c r="BH107" s="22">
        <f>'Activity data'!BH66*UDCPPEF*NtoN2O*kgtoGg</f>
        <v>0</v>
      </c>
      <c r="BI107" s="22">
        <f>'Activity data'!BI66*UDCPPEF*NtoN2O*kgtoGg</f>
        <v>0</v>
      </c>
      <c r="BJ107" s="22">
        <f>'Activity data'!BJ66*UDCPPEF*NtoN2O*kgtoGg</f>
        <v>0</v>
      </c>
      <c r="BK107" s="22">
        <f>'Activity data'!BK66*UDCPPEF*NtoN2O*kgtoGg</f>
        <v>0</v>
      </c>
      <c r="BL107" s="22">
        <f>'Activity data'!BL66*UDCPPEF*NtoN2O*kgtoGg</f>
        <v>0</v>
      </c>
      <c r="BM107" s="22">
        <f>'Activity data'!BM66*UDCPPEF*NtoN2O*kgtoGg</f>
        <v>0</v>
      </c>
      <c r="BN107" s="22">
        <f>'Activity data'!BN66*UDCPPEF*NtoN2O*kgtoGg</f>
        <v>0</v>
      </c>
      <c r="BO107" s="22">
        <f>'Activity data'!BO66*UDCPPEF*NtoN2O*kgtoGg</f>
        <v>0</v>
      </c>
      <c r="BP107" s="22">
        <f>'Activity data'!BP66*UDCPPEF*NtoN2O*kgtoGg</f>
        <v>0</v>
      </c>
    </row>
    <row r="108" spans="1:68" x14ac:dyDescent="0.25">
      <c r="A108" t="str">
        <f t="shared" si="29"/>
        <v>3C Aggregated and non-CO2 emissions on land</v>
      </c>
      <c r="B108" t="str">
        <f t="shared" si="31"/>
        <v>3C4 Direct N2O from managed soils (N2O)</v>
      </c>
      <c r="C108" t="s">
        <v>422</v>
      </c>
      <c r="D108" t="str">
        <f t="shared" ref="D108:D122" si="38">D92</f>
        <v xml:space="preserve"> - Pasture</v>
      </c>
      <c r="E108" t="str">
        <f t="shared" si="32"/>
        <v>U&amp;D emissions - Pasture</v>
      </c>
      <c r="F108" t="str">
        <f t="shared" si="36"/>
        <v>N2O</v>
      </c>
      <c r="G108" t="str">
        <f t="shared" si="37"/>
        <v>Gg N2O</v>
      </c>
      <c r="H108" s="22">
        <f>'Activity data'!H67*UDCPPEF*NtoN2O*kgtoGg</f>
        <v>0.88103728610164056</v>
      </c>
      <c r="I108" s="22">
        <f>'Activity data'!I67*UDCPPEF*NtoN2O*kgtoGg</f>
        <v>1.0143027628293235</v>
      </c>
      <c r="J108" s="22">
        <f>'Activity data'!J67*UDCPPEF*NtoN2O*kgtoGg</f>
        <v>0.87750313013359393</v>
      </c>
      <c r="K108" s="22">
        <f>'Activity data'!K67*UDCPPEF*NtoN2O*kgtoGg</f>
        <v>0.93067430812476426</v>
      </c>
      <c r="L108" s="22">
        <f>'Activity data'!L67*UDCPPEF*NtoN2O*kgtoGg</f>
        <v>0.86336650626140843</v>
      </c>
      <c r="M108" s="22">
        <f>'Activity data'!M67*UDCPPEF*NtoN2O*kgtoGg</f>
        <v>0.92360599618867145</v>
      </c>
      <c r="N108" s="22">
        <f>'Activity data'!N67*UDCPPEF*NtoN2O*kgtoGg</f>
        <v>0.92714015215671775</v>
      </c>
      <c r="O108" s="22">
        <f>'Activity data'!O67*UDCPPEF*NtoN2O*kgtoGg</f>
        <v>0.89382378297479725</v>
      </c>
      <c r="P108" s="22">
        <f>'Activity data'!P67*UDCPPEF*NtoN2O*kgtoGg</f>
        <v>0.88322131507065782</v>
      </c>
      <c r="Q108" s="22">
        <f>'Activity data'!Q67*UDCPPEF*NtoN2O*kgtoGg</f>
        <v>0.86757572572896902</v>
      </c>
      <c r="R108" s="22">
        <f>'Activity data'!R67*UDCPPEF*NtoN2O*kgtoGg</f>
        <v>1.1171109628436178</v>
      </c>
      <c r="S108" s="22">
        <f>'Activity data'!S67*UDCPPEF*NtoN2O*kgtoGg</f>
        <v>1.1135768068755714</v>
      </c>
      <c r="T108" s="22">
        <f>'Activity data'!T67*UDCPPEF*NtoN2O*kgtoGg</f>
        <v>0.97105898924277778</v>
      </c>
      <c r="U108" s="22">
        <f>'Activity data'!U67*UDCPPEF*NtoN2O*kgtoGg</f>
        <v>0.88322131507065782</v>
      </c>
      <c r="V108" s="22">
        <f>'Activity data'!V67*UDCPPEF*NtoN2O*kgtoGg</f>
        <v>0.85276403835726899</v>
      </c>
      <c r="W108" s="22">
        <f>'Activity data'!W67*UDCPPEF*NtoN2O*kgtoGg</f>
        <v>0.91300352828453224</v>
      </c>
      <c r="X108" s="22">
        <f>'Activity data'!X67*UDCPPEF*NtoN2O*kgtoGg</f>
        <v>0.89314871947528263</v>
      </c>
      <c r="Y108" s="22">
        <f>'Activity data'!Y67*UDCPPEF*NtoN2O*kgtoGg</f>
        <v>0.88675547103870456</v>
      </c>
      <c r="Z108" s="22">
        <f>'Activity data'!Z67*UDCPPEF*NtoN2O*kgtoGg</f>
        <v>1.0859786226307144</v>
      </c>
      <c r="AA108" s="22">
        <f>'Activity data'!AA67*UDCPPEF*NtoN2O*kgtoGg</f>
        <v>1.1129017433760566</v>
      </c>
      <c r="AB108" s="22">
        <f>'Activity data'!AB67*UDCPPEF*NtoN2O*kgtoGg</f>
        <v>1.1129017433760566</v>
      </c>
      <c r="AC108" s="22">
        <f>'Activity data'!AC67*UDCPPEF*NtoN2O*kgtoGg</f>
        <v>1.0725170622580433</v>
      </c>
      <c r="AD108" s="22">
        <f>'Activity data'!AD67*UDCPPEF*NtoN2O*kgtoGg</f>
        <v>1.0776421427256442</v>
      </c>
      <c r="AE108" s="22">
        <f>'Activity data'!AE67*UDCPPEF*NtoN2O*kgtoGg</f>
        <v>1.085557789301105</v>
      </c>
      <c r="AF108" s="22">
        <f>'Activity data'!AF67*UDCPPEF*NtoN2O*kgtoGg</f>
        <v>1.0914875235896533</v>
      </c>
      <c r="AG108" s="22">
        <f>'Activity data'!AG67*UDCPPEF*NtoN2O*kgtoGg</f>
        <v>1.0960178275515537</v>
      </c>
      <c r="AH108" s="22">
        <f>'Activity data'!AH67*UDCPPEF*NtoN2O*kgtoGg</f>
        <v>1.0990020525302686</v>
      </c>
      <c r="AI108" s="22">
        <f>'Activity data'!AI67*UDCPPEF*NtoN2O*kgtoGg</f>
        <v>1.1051027652044605</v>
      </c>
      <c r="AJ108" s="22">
        <f>'Activity data'!AJ67*UDCPPEF*NtoN2O*kgtoGg</f>
        <v>1.1109505853877735</v>
      </c>
      <c r="AK108" s="22">
        <f>'Activity data'!AK67*UDCPPEF*NtoN2O*kgtoGg</f>
        <v>1.1168977190563003</v>
      </c>
      <c r="AL108" s="22">
        <f>'Activity data'!AL67*UDCPPEF*NtoN2O*kgtoGg</f>
        <v>1.0814593821973424</v>
      </c>
      <c r="AM108" s="22">
        <f>'Activity data'!AM67*UDCPPEF*NtoN2O*kgtoGg</f>
        <v>1.0914163439494713</v>
      </c>
      <c r="AN108" s="22">
        <f>'Activity data'!AN67*UDCPPEF*NtoN2O*kgtoGg</f>
        <v>1.1010679091292395</v>
      </c>
      <c r="AO108" s="22">
        <f>'Activity data'!AO67*UDCPPEF*NtoN2O*kgtoGg</f>
        <v>1.1111367996545438</v>
      </c>
      <c r="AP108" s="22">
        <f>'Activity data'!AP67*UDCPPEF*NtoN2O*kgtoGg</f>
        <v>1.1221488659360523</v>
      </c>
      <c r="AQ108" s="22">
        <f>'Activity data'!AQ67*UDCPPEF*NtoN2O*kgtoGg</f>
        <v>1.1344800483227611</v>
      </c>
      <c r="AR108" s="22">
        <f>'Activity data'!AR67*UDCPPEF*NtoN2O*kgtoGg</f>
        <v>1.1466730131886729</v>
      </c>
      <c r="AS108" s="22">
        <f>'Activity data'!AS67*UDCPPEF*NtoN2O*kgtoGg</f>
        <v>1.159801140737577</v>
      </c>
      <c r="AT108" s="22">
        <f>'Activity data'!AT67*UDCPPEF*NtoN2O*kgtoGg</f>
        <v>1.1739493798480598</v>
      </c>
      <c r="AU108" s="22">
        <f>'Activity data'!AU67*UDCPPEF*NtoN2O*kgtoGg</f>
        <v>1.1899287084389321</v>
      </c>
      <c r="AV108" s="22">
        <f>'Activity data'!AV67*UDCPPEF*NtoN2O*kgtoGg</f>
        <v>1.2059436777532657</v>
      </c>
      <c r="AW108" s="22">
        <f>'Activity data'!AW67*UDCPPEF*NtoN2O*kgtoGg</f>
        <v>1.2240204742671195</v>
      </c>
      <c r="AX108" s="22">
        <f>'Activity data'!AX67*UDCPPEF*NtoN2O*kgtoGg</f>
        <v>1.2428452642396963</v>
      </c>
      <c r="AY108" s="22">
        <f>'Activity data'!AY67*UDCPPEF*NtoN2O*kgtoGg</f>
        <v>1.2623370663224025</v>
      </c>
      <c r="AZ108" s="22">
        <f>'Activity data'!AZ67*UDCPPEF*NtoN2O*kgtoGg</f>
        <v>1.2824094302346636</v>
      </c>
      <c r="BA108" s="22">
        <f>'Activity data'!BA67*UDCPPEF*NtoN2O*kgtoGg</f>
        <v>1.3012130094789447</v>
      </c>
      <c r="BB108" s="22">
        <f>'Activity data'!BB67*UDCPPEF*NtoN2O*kgtoGg</f>
        <v>1.3203283056836981</v>
      </c>
      <c r="BC108" s="22">
        <f>'Activity data'!BC67*UDCPPEF*NtoN2O*kgtoGg</f>
        <v>1.3408514447540485</v>
      </c>
      <c r="BD108" s="22">
        <f>'Activity data'!BD67*UDCPPEF*NtoN2O*kgtoGg</f>
        <v>1.3624134427717238</v>
      </c>
      <c r="BE108" s="22">
        <f>'Activity data'!BE67*UDCPPEF*NtoN2O*kgtoGg</f>
        <v>1.3836461198180572</v>
      </c>
      <c r="BF108" s="22">
        <f>'Activity data'!BF67*UDCPPEF*NtoN2O*kgtoGg</f>
        <v>1.4052975480968304</v>
      </c>
      <c r="BG108" s="22">
        <f>'Activity data'!BG67*UDCPPEF*NtoN2O*kgtoGg</f>
        <v>1.4272875932717075</v>
      </c>
      <c r="BH108" s="22">
        <f>'Activity data'!BH67*UDCPPEF*NtoN2O*kgtoGg</f>
        <v>1.450421244858175</v>
      </c>
      <c r="BI108" s="22">
        <f>'Activity data'!BI67*UDCPPEF*NtoN2O*kgtoGg</f>
        <v>1.4749572936725177</v>
      </c>
      <c r="BJ108" s="22">
        <f>'Activity data'!BJ67*UDCPPEF*NtoN2O*kgtoGg</f>
        <v>1.5008004908199672</v>
      </c>
      <c r="BK108" s="22">
        <f>'Activity data'!BK67*UDCPPEF*NtoN2O*kgtoGg</f>
        <v>1.5284962291744069</v>
      </c>
      <c r="BL108" s="22">
        <f>'Activity data'!BL67*UDCPPEF*NtoN2O*kgtoGg</f>
        <v>1.5572123439974381</v>
      </c>
      <c r="BM108" s="22">
        <f>'Activity data'!BM67*UDCPPEF*NtoN2O*kgtoGg</f>
        <v>1.5872560120755783</v>
      </c>
      <c r="BN108" s="22">
        <f>'Activity data'!BN67*UDCPPEF*NtoN2O*kgtoGg</f>
        <v>1.6172627991954838</v>
      </c>
      <c r="BO108" s="22">
        <f>'Activity data'!BO67*UDCPPEF*NtoN2O*kgtoGg</f>
        <v>1.6487193461712311</v>
      </c>
      <c r="BP108" s="22">
        <f>'Activity data'!BP67*UDCPPEF*NtoN2O*kgtoGg</f>
        <v>1.6819751757689703</v>
      </c>
    </row>
    <row r="109" spans="1:68" x14ac:dyDescent="0.25">
      <c r="A109" t="str">
        <f t="shared" si="29"/>
        <v>3C Aggregated and non-CO2 emissions on land</v>
      </c>
      <c r="B109" t="str">
        <f t="shared" si="31"/>
        <v>3C4 Direct N2O from managed soils (N2O)</v>
      </c>
      <c r="C109" t="s">
        <v>422</v>
      </c>
      <c r="D109" t="str">
        <f t="shared" si="38"/>
        <v xml:space="preserve"> - Non-lactating</v>
      </c>
      <c r="E109" t="str">
        <f t="shared" si="32"/>
        <v>U&amp;D emissions - Non-lactating</v>
      </c>
      <c r="F109" t="str">
        <f t="shared" si="36"/>
        <v>N2O</v>
      </c>
      <c r="G109" t="str">
        <f t="shared" si="37"/>
        <v>Gg N2O</v>
      </c>
      <c r="H109" s="22">
        <f>'Activity data'!H68*UDCPPEF*NtoN2O*kgtoGg</f>
        <v>0.70829542150320102</v>
      </c>
      <c r="I109" s="22">
        <f>'Activity data'!I68*UDCPPEF*NtoN2O*kgtoGg</f>
        <v>0.80509081056291543</v>
      </c>
      <c r="J109" s="22">
        <f>'Activity data'!J68*UDCPPEF*NtoN2O*kgtoGg</f>
        <v>0.69640564763455981</v>
      </c>
      <c r="K109" s="22">
        <f>'Activity data'!K68*UDCPPEF*NtoN2O*kgtoGg</f>
        <v>0.72881054383034738</v>
      </c>
      <c r="L109" s="22">
        <f>'Activity data'!L68*UDCPPEF*NtoN2O*kgtoGg</f>
        <v>0.64884655215999665</v>
      </c>
      <c r="M109" s="22">
        <f>'Activity data'!M68*UDCPPEF*NtoN2O*kgtoGg</f>
        <v>0.7050309960930653</v>
      </c>
      <c r="N109" s="22">
        <f>'Activity data'!N68*UDCPPEF*NtoN2O*kgtoGg</f>
        <v>0.71692076996170606</v>
      </c>
      <c r="O109" s="22">
        <f>'Activity data'!O68*UDCPPEF*NtoN2O*kgtoGg</f>
        <v>0.69272192269677746</v>
      </c>
      <c r="P109" s="22">
        <f>'Activity data'!P68*UDCPPEF*NtoN2O*kgtoGg</f>
        <v>0.65705260109085506</v>
      </c>
      <c r="Q109" s="22">
        <f>'Activity data'!Q68*UDCPPEF*NtoN2O*kgtoGg</f>
        <v>0.69230262316913072</v>
      </c>
      <c r="R109" s="22">
        <f>'Activity data'!R68*UDCPPEF*NtoN2O*kgtoGg</f>
        <v>0.85801082908584869</v>
      </c>
      <c r="S109" s="22">
        <f>'Activity data'!S68*UDCPPEF*NtoN2O*kgtoGg</f>
        <v>0.84612105521720782</v>
      </c>
      <c r="T109" s="22">
        <f>'Activity data'!T68*UDCPPEF*NtoN2O*kgtoGg</f>
        <v>0.77678893883255762</v>
      </c>
      <c r="U109" s="22">
        <f>'Activity data'!U68*UDCPPEF*NtoN2O*kgtoGg</f>
        <v>0.65705260109085506</v>
      </c>
      <c r="V109" s="22">
        <f>'Activity data'!V68*UDCPPEF*NtoN2O*kgtoGg</f>
        <v>0.6131772305540738</v>
      </c>
      <c r="W109" s="22">
        <f>'Activity data'!W68*UDCPPEF*NtoN2O*kgtoGg</f>
        <v>0.66936167448714268</v>
      </c>
      <c r="X109" s="22">
        <f>'Activity data'!X68*UDCPPEF*NtoN2O*kgtoGg</f>
        <v>0.66115562555628415</v>
      </c>
      <c r="Y109" s="22">
        <f>'Activity data'!Y68*UDCPPEF*NtoN2O*kgtoGg</f>
        <v>0.66894237495949582</v>
      </c>
      <c r="Z109" s="22">
        <f>'Activity data'!Z68*UDCPPEF*NtoN2O*kgtoGg</f>
        <v>0.78256916140857435</v>
      </c>
      <c r="AA109" s="22">
        <f>'Activity data'!AA68*UDCPPEF*NtoN2O*kgtoGg</f>
        <v>0.8145547580767144</v>
      </c>
      <c r="AB109" s="22">
        <f>'Activity data'!AB68*UDCPPEF*NtoN2O*kgtoGg</f>
        <v>0.8145547580767144</v>
      </c>
      <c r="AC109" s="22">
        <f>'Activity data'!AC68*UDCPPEF*NtoN2O*kgtoGg</f>
        <v>0.76657636307450427</v>
      </c>
      <c r="AD109" s="22">
        <f>'Activity data'!AD68*UDCPPEF*NtoN2O*kgtoGg</f>
        <v>0.73388167251827741</v>
      </c>
      <c r="AE109" s="22">
        <f>'Activity data'!AE68*UDCPPEF*NtoN2O*kgtoGg</f>
        <v>0.73927228199571482</v>
      </c>
      <c r="AF109" s="22">
        <f>'Activity data'!AF68*UDCPPEF*NtoN2O*kgtoGg</f>
        <v>0.7433104716179787</v>
      </c>
      <c r="AG109" s="22">
        <f>'Activity data'!AG68*UDCPPEF*NtoN2O*kgtoGg</f>
        <v>0.74639563961276989</v>
      </c>
      <c r="AH109" s="22">
        <f>'Activity data'!AH68*UDCPPEF*NtoN2O*kgtoGg</f>
        <v>0.74842791724160429</v>
      </c>
      <c r="AI109" s="22">
        <f>'Activity data'!AI68*UDCPPEF*NtoN2O*kgtoGg</f>
        <v>0.75258254431434035</v>
      </c>
      <c r="AJ109" s="22">
        <f>'Activity data'!AJ68*UDCPPEF*NtoN2O*kgtoGg</f>
        <v>0.7565649498704754</v>
      </c>
      <c r="AK109" s="22">
        <f>'Activity data'!AK68*UDCPPEF*NtoN2O*kgtoGg</f>
        <v>0.76061498858955268</v>
      </c>
      <c r="AL109" s="22">
        <f>'Activity data'!AL68*UDCPPEF*NtoN2O*kgtoGg</f>
        <v>0.7364812387163916</v>
      </c>
      <c r="AM109" s="22">
        <f>'Activity data'!AM68*UDCPPEF*NtoN2O*kgtoGg</f>
        <v>0.74326199779599722</v>
      </c>
      <c r="AN109" s="22">
        <f>'Activity data'!AN68*UDCPPEF*NtoN2O*kgtoGg</f>
        <v>0.74983477972027568</v>
      </c>
      <c r="AO109" s="22">
        <f>'Activity data'!AO68*UDCPPEF*NtoN2O*kgtoGg</f>
        <v>0.75669176306024011</v>
      </c>
      <c r="AP109" s="22">
        <f>'Activity data'!AP68*UDCPPEF*NtoN2O*kgtoGg</f>
        <v>0.76419105554347144</v>
      </c>
      <c r="AQ109" s="22">
        <f>'Activity data'!AQ68*UDCPPEF*NtoN2O*kgtoGg</f>
        <v>0.77258867511985219</v>
      </c>
      <c r="AR109" s="22">
        <f>'Activity data'!AR68*UDCPPEF*NtoN2O*kgtoGg</f>
        <v>0.7808921676188737</v>
      </c>
      <c r="AS109" s="22">
        <f>'Activity data'!AS68*UDCPPEF*NtoN2O*kgtoGg</f>
        <v>0.78983251230347828</v>
      </c>
      <c r="AT109" s="22">
        <f>'Activity data'!AT68*UDCPPEF*NtoN2O*kgtoGg</f>
        <v>0.79946755994121088</v>
      </c>
      <c r="AU109" s="22">
        <f>'Activity data'!AU68*UDCPPEF*NtoN2O*kgtoGg</f>
        <v>0.81034959204356338</v>
      </c>
      <c r="AV109" s="22">
        <f>'Activity data'!AV68*UDCPPEF*NtoN2O*kgtoGg</f>
        <v>0.82125589572244995</v>
      </c>
      <c r="AW109" s="22">
        <f>'Activity data'!AW68*UDCPPEF*NtoN2O*kgtoGg</f>
        <v>0.83356631783141266</v>
      </c>
      <c r="AX109" s="22">
        <f>'Activity data'!AX68*UDCPPEF*NtoN2O*kgtoGg</f>
        <v>0.84638612860360241</v>
      </c>
      <c r="AY109" s="22">
        <f>'Activity data'!AY68*UDCPPEF*NtoN2O*kgtoGg</f>
        <v>0.85966017918654603</v>
      </c>
      <c r="AZ109" s="22">
        <f>'Activity data'!AZ68*UDCPPEF*NtoN2O*kgtoGg</f>
        <v>0.87332959634767104</v>
      </c>
      <c r="BA109" s="22">
        <f>'Activity data'!BA68*UDCPPEF*NtoN2O*kgtoGg</f>
        <v>0.88613496246876589</v>
      </c>
      <c r="BB109" s="22">
        <f>'Activity data'!BB68*UDCPPEF*NtoN2O*kgtoGg</f>
        <v>0.89915260997273694</v>
      </c>
      <c r="BC109" s="22">
        <f>'Activity data'!BC68*UDCPPEF*NtoN2O*kgtoGg</f>
        <v>0.91312900810076425</v>
      </c>
      <c r="BD109" s="22">
        <f>'Activity data'!BD68*UDCPPEF*NtoN2O*kgtoGg</f>
        <v>0.92781287627988374</v>
      </c>
      <c r="BE109" s="22">
        <f>'Activity data'!BE68*UDCPPEF*NtoN2O*kgtoGg</f>
        <v>0.94227247462427643</v>
      </c>
      <c r="BF109" s="22">
        <f>'Activity data'!BF68*UDCPPEF*NtoN2O*kgtoGg</f>
        <v>0.95701724542309363</v>
      </c>
      <c r="BG109" s="22">
        <f>'Activity data'!BG68*UDCPPEF*NtoN2O*kgtoGg</f>
        <v>0.9719926166450038</v>
      </c>
      <c r="BH109" s="22">
        <f>'Activity data'!BH68*UDCPPEF*NtoN2O*kgtoGg</f>
        <v>0.98774679165786239</v>
      </c>
      <c r="BI109" s="22">
        <f>'Activity data'!BI68*UDCPPEF*NtoN2O*kgtoGg</f>
        <v>1.0044560087782295</v>
      </c>
      <c r="BJ109" s="22">
        <f>'Activity data'!BJ68*UDCPPEF*NtoN2O*kgtoGg</f>
        <v>1.022055402857065</v>
      </c>
      <c r="BK109" s="22">
        <f>'Activity data'!BK68*UDCPPEF*NtoN2O*kgtoGg</f>
        <v>1.0409163901731109</v>
      </c>
      <c r="BL109" s="22">
        <f>'Activity data'!BL68*UDCPPEF*NtoN2O*kgtoGg</f>
        <v>1.0604722608457731</v>
      </c>
      <c r="BM109" s="22">
        <f>'Activity data'!BM68*UDCPPEF*NtoN2O*kgtoGg</f>
        <v>1.0809322043683998</v>
      </c>
      <c r="BN109" s="22">
        <f>'Activity data'!BN68*UDCPPEF*NtoN2O*kgtoGg</f>
        <v>1.1013670317061266</v>
      </c>
      <c r="BO109" s="22">
        <f>'Activity data'!BO68*UDCPPEF*NtoN2O*kgtoGg</f>
        <v>1.1227891554250653</v>
      </c>
      <c r="BP109" s="22">
        <f>'Activity data'!BP68*UDCPPEF*NtoN2O*kgtoGg</f>
        <v>1.1454366029204301</v>
      </c>
    </row>
    <row r="110" spans="1:68" x14ac:dyDescent="0.25">
      <c r="A110" t="str">
        <f t="shared" si="29"/>
        <v>3C Aggregated and non-CO2 emissions on land</v>
      </c>
      <c r="B110" t="str">
        <f t="shared" si="31"/>
        <v>3C4 Direct N2O from managed soils (N2O)</v>
      </c>
      <c r="C110" t="s">
        <v>422</v>
      </c>
      <c r="D110" t="str">
        <f t="shared" si="38"/>
        <v xml:space="preserve"> - Commercial cattle</v>
      </c>
      <c r="E110" t="str">
        <f t="shared" si="32"/>
        <v>U&amp;D emissions - Commercial cattle</v>
      </c>
      <c r="F110" t="str">
        <f t="shared" si="36"/>
        <v>N2O</v>
      </c>
      <c r="G110" t="str">
        <f t="shared" si="37"/>
        <v>Gg N2O</v>
      </c>
      <c r="H110" s="22">
        <f>'Activity data'!H69*UDCPPEF*NtoN2O*kgtoGg</f>
        <v>17.576597352821153</v>
      </c>
      <c r="I110" s="22">
        <f>'Activity data'!I69*UDCPPEF*NtoN2O*kgtoGg</f>
        <v>16.817955407552034</v>
      </c>
      <c r="J110" s="22">
        <f>'Activity data'!J69*UDCPPEF*NtoN2O*kgtoGg</f>
        <v>16.811844812764484</v>
      </c>
      <c r="K110" s="22">
        <f>'Activity data'!K69*UDCPPEF*NtoN2O*kgtoGg</f>
        <v>15.728077971837282</v>
      </c>
      <c r="L110" s="22">
        <f>'Activity data'!L69*UDCPPEF*NtoN2O*kgtoGg</f>
        <v>16.202229187630483</v>
      </c>
      <c r="M110" s="22">
        <f>'Activity data'!M69*UDCPPEF*NtoN2O*kgtoGg</f>
        <v>16.570618125708414</v>
      </c>
      <c r="N110" s="22">
        <f>'Activity data'!N69*UDCPPEF*NtoN2O*kgtoGg</f>
        <v>17.258021364656891</v>
      </c>
      <c r="O110" s="22">
        <f>'Activity data'!O69*UDCPPEF*NtoN2O*kgtoGg</f>
        <v>17.911777657623301</v>
      </c>
      <c r="P110" s="22">
        <f>'Activity data'!P69*UDCPPEF*NtoN2O*kgtoGg</f>
        <v>18.066914572545961</v>
      </c>
      <c r="Q110" s="22">
        <f>'Activity data'!Q69*UDCPPEF*NtoN2O*kgtoGg</f>
        <v>17.774559997457377</v>
      </c>
      <c r="R110" s="22">
        <f>'Activity data'!R69*UDCPPEF*NtoN2O*kgtoGg</f>
        <v>16.567111624058178</v>
      </c>
      <c r="S110" s="22">
        <f>'Activity data'!S69*UDCPPEF*NtoN2O*kgtoGg</f>
        <v>16.653201396191591</v>
      </c>
      <c r="T110" s="22">
        <f>'Activity data'!T69*UDCPPEF*NtoN2O*kgtoGg</f>
        <v>15.520936543469553</v>
      </c>
      <c r="U110" s="22">
        <f>'Activity data'!U69*UDCPPEF*NtoN2O*kgtoGg</f>
        <v>15.926917241886068</v>
      </c>
      <c r="V110" s="22">
        <f>'Activity data'!V69*UDCPPEF*NtoN2O*kgtoGg</f>
        <v>16.073751998489783</v>
      </c>
      <c r="W110" s="22">
        <f>'Activity data'!W69*UDCPPEF*NtoN2O*kgtoGg</f>
        <v>16.210093033243147</v>
      </c>
      <c r="X110" s="22">
        <f>'Activity data'!X69*UDCPPEF*NtoN2O*kgtoGg</f>
        <v>15.840827469752652</v>
      </c>
      <c r="Y110" s="22">
        <f>'Activity data'!Y69*UDCPPEF*NtoN2O*kgtoGg</f>
        <v>16.304923276401787</v>
      </c>
      <c r="Z110" s="22">
        <f>'Activity data'!Z69*UDCPPEF*NtoN2O*kgtoGg</f>
        <v>15.851842654807969</v>
      </c>
      <c r="AA110" s="22">
        <f>'Activity data'!AA69*UDCPPEF*NtoN2O*kgtoGg</f>
        <v>15.585679412511292</v>
      </c>
      <c r="AB110" s="22">
        <f>'Activity data'!AB69*UDCPPEF*NtoN2O*kgtoGg</f>
        <v>15.5366840017385</v>
      </c>
      <c r="AC110" s="22">
        <f>'Activity data'!AC69*UDCPPEF*NtoN2O*kgtoGg</f>
        <v>15.48089495887754</v>
      </c>
      <c r="AD110" s="22">
        <f>'Activity data'!AD69*UDCPPEF*NtoN2O*kgtoGg</f>
        <v>15.356678929269997</v>
      </c>
      <c r="AE110" s="22">
        <f>'Activity data'!AE69*UDCPPEF*NtoN2O*kgtoGg</f>
        <v>15.304865262713232</v>
      </c>
      <c r="AF110" s="22">
        <f>'Activity data'!AF69*UDCPPEF*NtoN2O*kgtoGg</f>
        <v>15.141922500414999</v>
      </c>
      <c r="AG110" s="22">
        <f>'Activity data'!AG69*UDCPPEF*NtoN2O*kgtoGg</f>
        <v>14.900927647539216</v>
      </c>
      <c r="AH110" s="22">
        <f>'Activity data'!AH69*UDCPPEF*NtoN2O*kgtoGg</f>
        <v>14.582558581438674</v>
      </c>
      <c r="AI110" s="22">
        <f>'Activity data'!AI69*UDCPPEF*NtoN2O*kgtoGg</f>
        <v>14.374103453197231</v>
      </c>
      <c r="AJ110" s="22">
        <f>'Activity data'!AJ69*UDCPPEF*NtoN2O*kgtoGg</f>
        <v>14.146331386583737</v>
      </c>
      <c r="AK110" s="22">
        <f>'Activity data'!AK69*UDCPPEF*NtoN2O*kgtoGg</f>
        <v>13.913327353784148</v>
      </c>
      <c r="AL110" s="22">
        <f>'Activity data'!AL69*UDCPPEF*NtoN2O*kgtoGg</f>
        <v>12.18998531273248</v>
      </c>
      <c r="AM110" s="22">
        <f>'Activity data'!AM69*UDCPPEF*NtoN2O*kgtoGg</f>
        <v>12.334845954152655</v>
      </c>
      <c r="AN110" s="22">
        <f>'Activity data'!AN69*UDCPPEF*NtoN2O*kgtoGg</f>
        <v>12.457092334167461</v>
      </c>
      <c r="AO110" s="22">
        <f>'Activity data'!AO69*UDCPPEF*NtoN2O*kgtoGg</f>
        <v>12.582654296143264</v>
      </c>
      <c r="AP110" s="22">
        <f>'Activity data'!AP69*UDCPPEF*NtoN2O*kgtoGg</f>
        <v>12.72926308086628</v>
      </c>
      <c r="AQ110" s="22">
        <f>'Activity data'!AQ69*UDCPPEF*NtoN2O*kgtoGg</f>
        <v>12.908584941044079</v>
      </c>
      <c r="AR110" s="22">
        <f>'Activity data'!AR69*UDCPPEF*NtoN2O*kgtoGg</f>
        <v>13.096026469037909</v>
      </c>
      <c r="AS110" s="22">
        <f>'Activity data'!AS69*UDCPPEF*NtoN2O*kgtoGg</f>
        <v>13.302013300844692</v>
      </c>
      <c r="AT110" s="22">
        <f>'Activity data'!AT69*UDCPPEF*NtoN2O*kgtoGg</f>
        <v>13.528431750946286</v>
      </c>
      <c r="AU110" s="22">
        <f>'Activity data'!AU69*UDCPPEF*NtoN2O*kgtoGg</f>
        <v>13.799763423849834</v>
      </c>
      <c r="AV110" s="22">
        <f>'Activity data'!AV69*UDCPPEF*NtoN2O*kgtoGg</f>
        <v>14.058541066885352</v>
      </c>
      <c r="AW110" s="22">
        <f>'Activity data'!AW69*UDCPPEF*NtoN2O*kgtoGg</f>
        <v>14.264359278863138</v>
      </c>
      <c r="AX110" s="22">
        <f>'Activity data'!AX69*UDCPPEF*NtoN2O*kgtoGg</f>
        <v>14.46996207385509</v>
      </c>
      <c r="AY110" s="22">
        <f>'Activity data'!AY69*UDCPPEF*NtoN2O*kgtoGg</f>
        <v>14.672132764738677</v>
      </c>
      <c r="AZ110" s="22">
        <f>'Activity data'!AZ69*UDCPPEF*NtoN2O*kgtoGg</f>
        <v>14.867722261536878</v>
      </c>
      <c r="BA110" s="22">
        <f>'Activity data'!BA69*UDCPPEF*NtoN2O*kgtoGg</f>
        <v>15.005390117129116</v>
      </c>
      <c r="BB110" s="22">
        <f>'Activity data'!BB69*UDCPPEF*NtoN2O*kgtoGg</f>
        <v>15.145913799922795</v>
      </c>
      <c r="BC110" s="22">
        <f>'Activity data'!BC69*UDCPPEF*NtoN2O*kgtoGg</f>
        <v>15.301969486907444</v>
      </c>
      <c r="BD110" s="22">
        <f>'Activity data'!BD69*UDCPPEF*NtoN2O*kgtoGg</f>
        <v>15.461962915950689</v>
      </c>
      <c r="BE110" s="22">
        <f>'Activity data'!BE69*UDCPPEF*NtoN2O*kgtoGg</f>
        <v>15.590394747415573</v>
      </c>
      <c r="BF110" s="22">
        <f>'Activity data'!BF69*UDCPPEF*NtoN2O*kgtoGg</f>
        <v>15.706566915793509</v>
      </c>
      <c r="BG110" s="22">
        <f>'Activity data'!BG69*UDCPPEF*NtoN2O*kgtoGg</f>
        <v>15.901622604691928</v>
      </c>
      <c r="BH110" s="22">
        <f>'Activity data'!BH69*UDCPPEF*NtoN2O*kgtoGg</f>
        <v>16.104694460137136</v>
      </c>
      <c r="BI110" s="22">
        <f>'Activity data'!BI69*UDCPPEF*NtoN2O*kgtoGg</f>
        <v>16.320425846324564</v>
      </c>
      <c r="BJ110" s="22">
        <f>'Activity data'!BJ69*UDCPPEF*NtoN2O*kgtoGg</f>
        <v>16.545081993788386</v>
      </c>
      <c r="BK110" s="22">
        <f>'Activity data'!BK69*UDCPPEF*NtoN2O*kgtoGg</f>
        <v>16.78914269481092</v>
      </c>
      <c r="BL110" s="22">
        <f>'Activity data'!BL69*UDCPPEF*NtoN2O*kgtoGg</f>
        <v>17.044137925760431</v>
      </c>
      <c r="BM110" s="22">
        <f>'Activity data'!BM69*UDCPPEF*NtoN2O*kgtoGg</f>
        <v>17.303559376850888</v>
      </c>
      <c r="BN110" s="22">
        <f>'Activity data'!BN69*UDCPPEF*NtoN2O*kgtoGg</f>
        <v>17.538082256806099</v>
      </c>
      <c r="BO110" s="22">
        <f>'Activity data'!BO69*UDCPPEF*NtoN2O*kgtoGg</f>
        <v>17.777965408287582</v>
      </c>
      <c r="BP110" s="22">
        <f>'Activity data'!BP69*UDCPPEF*NtoN2O*kgtoGg</f>
        <v>18.028533600767879</v>
      </c>
    </row>
    <row r="111" spans="1:68" x14ac:dyDescent="0.25">
      <c r="A111" t="str">
        <f t="shared" si="29"/>
        <v>3C Aggregated and non-CO2 emissions on land</v>
      </c>
      <c r="B111" t="str">
        <f t="shared" si="31"/>
        <v>3C4 Direct N2O from managed soils (N2O)</v>
      </c>
      <c r="C111" t="s">
        <v>422</v>
      </c>
      <c r="D111" t="str">
        <f t="shared" si="38"/>
        <v xml:space="preserve"> - Subsistence cattle</v>
      </c>
      <c r="E111" t="str">
        <f t="shared" si="32"/>
        <v>U&amp;D emissions - Subsistence cattle</v>
      </c>
      <c r="F111" t="str">
        <f t="shared" si="36"/>
        <v>N2O</v>
      </c>
      <c r="G111" t="str">
        <f t="shared" si="37"/>
        <v>Gg N2O</v>
      </c>
      <c r="H111" s="22">
        <f>'Activity data'!H70*UDCPPEF*NtoN2O*kgtoGg</f>
        <v>8.3914870256546639</v>
      </c>
      <c r="I111" s="22">
        <f>'Activity data'!I70*UDCPPEF*NtoN2O*kgtoGg</f>
        <v>8.9033860163264062</v>
      </c>
      <c r="J111" s="22">
        <f>'Activity data'!J70*UDCPPEF*NtoN2O*kgtoGg</f>
        <v>9.3238744729496261</v>
      </c>
      <c r="K111" s="22">
        <f>'Activity data'!K70*UDCPPEF*NtoN2O*kgtoGg</f>
        <v>9.2141818320913931</v>
      </c>
      <c r="L111" s="22">
        <f>'Activity data'!L70*UDCPPEF*NtoN2O*kgtoGg</f>
        <v>8.0258448894605596</v>
      </c>
      <c r="M111" s="22">
        <f>'Activity data'!M70*UDCPPEF*NtoN2O*kgtoGg</f>
        <v>7.7516132873149823</v>
      </c>
      <c r="N111" s="22">
        <f>'Activity data'!N70*UDCPPEF*NtoN2O*kgtoGg</f>
        <v>7.970998569031444</v>
      </c>
      <c r="O111" s="22">
        <f>'Activity data'!O70*UDCPPEF*NtoN2O*kgtoGg</f>
        <v>8.3366407052255465</v>
      </c>
      <c r="P111" s="22">
        <f>'Activity data'!P70*UDCPPEF*NtoN2O*kgtoGg</f>
        <v>8.8485396958972924</v>
      </c>
      <c r="Q111" s="22">
        <f>'Activity data'!Q70*UDCPPEF*NtoN2O*kgtoGg</f>
        <v>9.2141818320913931</v>
      </c>
      <c r="R111" s="22">
        <f>'Activity data'!R70*UDCPPEF*NtoN2O*kgtoGg</f>
        <v>8.9947965503749323</v>
      </c>
      <c r="S111" s="22">
        <f>'Activity data'!S70*UDCPPEF*NtoN2O*kgtoGg</f>
        <v>8.7754112686584715</v>
      </c>
      <c r="T111" s="22">
        <f>'Activity data'!T70*UDCPPEF*NtoN2O*kgtoGg</f>
        <v>9.9454661044795998</v>
      </c>
      <c r="U111" s="22">
        <f>'Activity data'!U70*UDCPPEF*NtoN2O*kgtoGg</f>
        <v>10.183133493005768</v>
      </c>
      <c r="V111" s="22">
        <f>'Activity data'!V70*UDCPPEF*NtoN2O*kgtoGg</f>
        <v>10.018594531718419</v>
      </c>
      <c r="W111" s="22">
        <f>'Activity data'!W70*UDCPPEF*NtoN2O*kgtoGg</f>
        <v>9.726080822763139</v>
      </c>
      <c r="X111" s="22">
        <f>'Activity data'!X70*UDCPPEF*NtoN2O*kgtoGg</f>
        <v>10.036876638528124</v>
      </c>
      <c r="Y111" s="22">
        <f>'Activity data'!Y70*UDCPPEF*NtoN2O*kgtoGg</f>
        <v>10.439082988341639</v>
      </c>
      <c r="Z111" s="22">
        <f>'Activity data'!Z70*UDCPPEF*NtoN2O*kgtoGg</f>
        <v>10.274544027054292</v>
      </c>
      <c r="AA111" s="22">
        <f>'Activity data'!AA70*UDCPPEF*NtoN2O*kgtoGg</f>
        <v>10.164851386196062</v>
      </c>
      <c r="AB111" s="22">
        <f>'Activity data'!AB70*UDCPPEF*NtoN2O*kgtoGg</f>
        <v>10.018594531718419</v>
      </c>
      <c r="AC111" s="22">
        <f>'Activity data'!AC70*UDCPPEF*NtoN2O*kgtoGg</f>
        <v>10.091722958957241</v>
      </c>
      <c r="AD111" s="22">
        <f>'Activity data'!AD70*UDCPPEF*NtoN2O*kgtoGg</f>
        <v>9.6562921163368536</v>
      </c>
      <c r="AE111" s="22">
        <f>'Activity data'!AE70*UDCPPEF*NtoN2O*kgtoGg</f>
        <v>9.6237116409492423</v>
      </c>
      <c r="AF111" s="22">
        <f>'Activity data'!AF70*UDCPPEF*NtoN2O*kgtoGg</f>
        <v>9.5212531003857883</v>
      </c>
      <c r="AG111" s="22">
        <f>'Activity data'!AG70*UDCPPEF*NtoN2O*kgtoGg</f>
        <v>9.3697153422142172</v>
      </c>
      <c r="AH111" s="22">
        <f>'Activity data'!AH70*UDCPPEF*NtoN2O*kgtoGg</f>
        <v>9.1695246162615724</v>
      </c>
      <c r="AI111" s="22">
        <f>'Activity data'!AI70*UDCPPEF*NtoN2O*kgtoGg</f>
        <v>9.0384478632266951</v>
      </c>
      <c r="AJ111" s="22">
        <f>'Activity data'!AJ70*UDCPPEF*NtoN2O*kgtoGg</f>
        <v>8.8952246037386367</v>
      </c>
      <c r="AK111" s="22">
        <f>'Activity data'!AK70*UDCPPEF*NtoN2O*kgtoGg</f>
        <v>8.7487114796862127</v>
      </c>
      <c r="AL111" s="22">
        <f>'Activity data'!AL70*UDCPPEF*NtoN2O*kgtoGg</f>
        <v>7.6650726121026143</v>
      </c>
      <c r="AM111" s="22">
        <f>'Activity data'!AM70*UDCPPEF*NtoN2O*kgtoGg</f>
        <v>7.7561611004506359</v>
      </c>
      <c r="AN111" s="22">
        <f>'Activity data'!AN70*UDCPPEF*NtoN2O*kgtoGg</f>
        <v>7.8330297229584431</v>
      </c>
      <c r="AO111" s="22">
        <f>'Activity data'!AO70*UDCPPEF*NtoN2O*kgtoGg</f>
        <v>7.9119831860817609</v>
      </c>
      <c r="AP111" s="22">
        <f>'Activity data'!AP70*UDCPPEF*NtoN2O*kgtoGg</f>
        <v>8.004170908350817</v>
      </c>
      <c r="AQ111" s="22">
        <f>'Activity data'!AQ70*UDCPPEF*NtoN2O*kgtoGg</f>
        <v>8.1169286388924977</v>
      </c>
      <c r="AR111" s="22">
        <f>'Activity data'!AR70*UDCPPEF*NtoN2O*kgtoGg</f>
        <v>8.2347920231162224</v>
      </c>
      <c r="AS111" s="22">
        <f>'Activity data'!AS70*UDCPPEF*NtoN2O*kgtoGg</f>
        <v>8.3643167093590201</v>
      </c>
      <c r="AT111" s="22">
        <f>'Activity data'!AT70*UDCPPEF*NtoN2O*kgtoGg</f>
        <v>8.5066888136909</v>
      </c>
      <c r="AU111" s="22">
        <f>'Activity data'!AU70*UDCPPEF*NtoN2O*kgtoGg</f>
        <v>8.6773023888029766</v>
      </c>
      <c r="AV111" s="22">
        <f>'Activity data'!AV70*UDCPPEF*NtoN2O*kgtoGg</f>
        <v>8.840021979792489</v>
      </c>
      <c r="AW111" s="22">
        <f>'Activity data'!AW70*UDCPPEF*NtoN2O*kgtoGg</f>
        <v>8.9694406377505942</v>
      </c>
      <c r="AX111" s="22">
        <f>'Activity data'!AX70*UDCPPEF*NtoN2O*kgtoGg</f>
        <v>9.098723841333987</v>
      </c>
      <c r="AY111" s="22">
        <f>'Activity data'!AY70*UDCPPEF*NtoN2O*kgtoGg</f>
        <v>9.2258489350814799</v>
      </c>
      <c r="AZ111" s="22">
        <f>'Activity data'!AZ70*UDCPPEF*NtoN2O*kgtoGg</f>
        <v>9.3488357686715826</v>
      </c>
      <c r="BA111" s="22">
        <f>'Activity data'!BA70*UDCPPEF*NtoN2O*kgtoGg</f>
        <v>9.4354014274804374</v>
      </c>
      <c r="BB111" s="22">
        <f>'Activity data'!BB70*UDCPPEF*NtoN2O*kgtoGg</f>
        <v>9.5237628327405837</v>
      </c>
      <c r="BC111" s="22">
        <f>'Activity data'!BC70*UDCPPEF*NtoN2O*kgtoGg</f>
        <v>9.621890774783262</v>
      </c>
      <c r="BD111" s="22">
        <f>'Activity data'!BD70*UDCPPEF*NtoN2O*kgtoGg</f>
        <v>9.7224947722134178</v>
      </c>
      <c r="BE111" s="22">
        <f>'Activity data'!BE70*UDCPPEF*NtoN2O*kgtoGg</f>
        <v>9.8032528115898376</v>
      </c>
      <c r="BF111" s="22">
        <f>'Activity data'!BF70*UDCPPEF*NtoN2O*kgtoGg</f>
        <v>9.8763019649134467</v>
      </c>
      <c r="BG111" s="22">
        <f>'Activity data'!BG70*UDCPPEF*NtoN2O*kgtoGg</f>
        <v>9.9989531396649358</v>
      </c>
      <c r="BH111" s="22">
        <f>'Activity data'!BH70*UDCPPEF*NtoN2O*kgtoGg</f>
        <v>10.126644886416765</v>
      </c>
      <c r="BI111" s="22">
        <f>'Activity data'!BI70*UDCPPEF*NtoN2O*kgtoGg</f>
        <v>10.26229695632607</v>
      </c>
      <c r="BJ111" s="22">
        <f>'Activity data'!BJ70*UDCPPEF*NtoN2O*kgtoGg</f>
        <v>10.403560923335677</v>
      </c>
      <c r="BK111" s="22">
        <f>'Activity data'!BK70*UDCPPEF*NtoN2O*kgtoGg</f>
        <v>10.557026489298615</v>
      </c>
      <c r="BL111" s="22">
        <f>'Activity data'!BL70*UDCPPEF*NtoN2O*kgtoGg</f>
        <v>10.717367696512895</v>
      </c>
      <c r="BM111" s="22">
        <f>'Activity data'!BM70*UDCPPEF*NtoN2O*kgtoGg</f>
        <v>10.880492114527446</v>
      </c>
      <c r="BN111" s="22">
        <f>'Activity data'!BN70*UDCPPEF*NtoN2O*kgtoGg</f>
        <v>11.027960290898294</v>
      </c>
      <c r="BO111" s="22">
        <f>'Activity data'!BO70*UDCPPEF*NtoN2O*kgtoGg</f>
        <v>11.178799010335061</v>
      </c>
      <c r="BP111" s="22">
        <f>'Activity data'!BP70*UDCPPEF*NtoN2O*kgtoGg</f>
        <v>11.336356492183599</v>
      </c>
    </row>
    <row r="112" spans="1:68" x14ac:dyDescent="0.25">
      <c r="A112" t="str">
        <f t="shared" si="29"/>
        <v>3C Aggregated and non-CO2 emissions on land</v>
      </c>
      <c r="B112" t="str">
        <f t="shared" si="31"/>
        <v>3C4 Direct N2O from managed soils (N2O)</v>
      </c>
      <c r="C112" t="s">
        <v>422</v>
      </c>
      <c r="D112" t="str">
        <f t="shared" si="38"/>
        <v xml:space="preserve"> - Feedlot</v>
      </c>
      <c r="E112" t="str">
        <f t="shared" si="32"/>
        <v>U&amp;D emissions - Feedlot</v>
      </c>
      <c r="F112" t="str">
        <f t="shared" si="36"/>
        <v>N2O</v>
      </c>
      <c r="G112" t="str">
        <f t="shared" si="37"/>
        <v>Gg N2O</v>
      </c>
      <c r="H112" s="22">
        <f>'Activity data'!H71*UDCPPEF*NtoN2O*kgtoGg</f>
        <v>0</v>
      </c>
      <c r="I112" s="22">
        <f>'Activity data'!I71*UDCPPEF*NtoN2O*kgtoGg</f>
        <v>0</v>
      </c>
      <c r="J112" s="22">
        <f>'Activity data'!J71*UDCPPEF*NtoN2O*kgtoGg</f>
        <v>0</v>
      </c>
      <c r="K112" s="22">
        <f>'Activity data'!K71*UDCPPEF*NtoN2O*kgtoGg</f>
        <v>0</v>
      </c>
      <c r="L112" s="22">
        <f>'Activity data'!L71*UDCPPEF*NtoN2O*kgtoGg</f>
        <v>0</v>
      </c>
      <c r="M112" s="22">
        <f>'Activity data'!M71*UDCPPEF*NtoN2O*kgtoGg</f>
        <v>0</v>
      </c>
      <c r="N112" s="22">
        <f>'Activity data'!N71*UDCPPEF*NtoN2O*kgtoGg</f>
        <v>0</v>
      </c>
      <c r="O112" s="22">
        <f>'Activity data'!O71*UDCPPEF*NtoN2O*kgtoGg</f>
        <v>0</v>
      </c>
      <c r="P112" s="22">
        <f>'Activity data'!P71*UDCPPEF*NtoN2O*kgtoGg</f>
        <v>0</v>
      </c>
      <c r="Q112" s="22">
        <f>'Activity data'!Q71*UDCPPEF*NtoN2O*kgtoGg</f>
        <v>0</v>
      </c>
      <c r="R112" s="22">
        <f>'Activity data'!R71*UDCPPEF*NtoN2O*kgtoGg</f>
        <v>0</v>
      </c>
      <c r="S112" s="22">
        <f>'Activity data'!S71*UDCPPEF*NtoN2O*kgtoGg</f>
        <v>0</v>
      </c>
      <c r="T112" s="22">
        <f>'Activity data'!T71*UDCPPEF*NtoN2O*kgtoGg</f>
        <v>0</v>
      </c>
      <c r="U112" s="22">
        <f>'Activity data'!U71*UDCPPEF*NtoN2O*kgtoGg</f>
        <v>0</v>
      </c>
      <c r="V112" s="22">
        <f>'Activity data'!V71*UDCPPEF*NtoN2O*kgtoGg</f>
        <v>0</v>
      </c>
      <c r="W112" s="22">
        <f>'Activity data'!W71*UDCPPEF*NtoN2O*kgtoGg</f>
        <v>0</v>
      </c>
      <c r="X112" s="22">
        <f>'Activity data'!X71*UDCPPEF*NtoN2O*kgtoGg</f>
        <v>0</v>
      </c>
      <c r="Y112" s="22">
        <f>'Activity data'!Y71*UDCPPEF*NtoN2O*kgtoGg</f>
        <v>0</v>
      </c>
      <c r="Z112" s="22">
        <f>'Activity data'!Z71*UDCPPEF*NtoN2O*kgtoGg</f>
        <v>0</v>
      </c>
      <c r="AA112" s="22">
        <f>'Activity data'!AA71*UDCPPEF*NtoN2O*kgtoGg</f>
        <v>0</v>
      </c>
      <c r="AB112" s="22">
        <f>'Activity data'!AB71*UDCPPEF*NtoN2O*kgtoGg</f>
        <v>0</v>
      </c>
      <c r="AC112" s="22">
        <f>'Activity data'!AC71*UDCPPEF*NtoN2O*kgtoGg</f>
        <v>0</v>
      </c>
      <c r="AD112" s="22">
        <f>'Activity data'!AD71*UDCPPEF*NtoN2O*kgtoGg</f>
        <v>0</v>
      </c>
      <c r="AE112" s="22">
        <f>'Activity data'!AE71*UDCPPEF*NtoN2O*kgtoGg</f>
        <v>0</v>
      </c>
      <c r="AF112" s="22">
        <f>'Activity data'!AF71*UDCPPEF*NtoN2O*kgtoGg</f>
        <v>0</v>
      </c>
      <c r="AG112" s="22">
        <f>'Activity data'!AG71*UDCPPEF*NtoN2O*kgtoGg</f>
        <v>0</v>
      </c>
      <c r="AH112" s="22">
        <f>'Activity data'!AH71*UDCPPEF*NtoN2O*kgtoGg</f>
        <v>0</v>
      </c>
      <c r="AI112" s="22">
        <f>'Activity data'!AI71*UDCPPEF*NtoN2O*kgtoGg</f>
        <v>0</v>
      </c>
      <c r="AJ112" s="22">
        <f>'Activity data'!AJ71*UDCPPEF*NtoN2O*kgtoGg</f>
        <v>0</v>
      </c>
      <c r="AK112" s="22">
        <f>'Activity data'!AK71*UDCPPEF*NtoN2O*kgtoGg</f>
        <v>0</v>
      </c>
      <c r="AL112" s="22">
        <f>'Activity data'!AL71*UDCPPEF*NtoN2O*kgtoGg</f>
        <v>0</v>
      </c>
      <c r="AM112" s="22">
        <f>'Activity data'!AM71*UDCPPEF*NtoN2O*kgtoGg</f>
        <v>0</v>
      </c>
      <c r="AN112" s="22">
        <f>'Activity data'!AN71*UDCPPEF*NtoN2O*kgtoGg</f>
        <v>0</v>
      </c>
      <c r="AO112" s="22">
        <f>'Activity data'!AO71*UDCPPEF*NtoN2O*kgtoGg</f>
        <v>0</v>
      </c>
      <c r="AP112" s="22">
        <f>'Activity data'!AP71*UDCPPEF*NtoN2O*kgtoGg</f>
        <v>0</v>
      </c>
      <c r="AQ112" s="22">
        <f>'Activity data'!AQ71*UDCPPEF*NtoN2O*kgtoGg</f>
        <v>0</v>
      </c>
      <c r="AR112" s="22">
        <f>'Activity data'!AR71*UDCPPEF*NtoN2O*kgtoGg</f>
        <v>0</v>
      </c>
      <c r="AS112" s="22">
        <f>'Activity data'!AS71*UDCPPEF*NtoN2O*kgtoGg</f>
        <v>0</v>
      </c>
      <c r="AT112" s="22">
        <f>'Activity data'!AT71*UDCPPEF*NtoN2O*kgtoGg</f>
        <v>0</v>
      </c>
      <c r="AU112" s="22">
        <f>'Activity data'!AU71*UDCPPEF*NtoN2O*kgtoGg</f>
        <v>0</v>
      </c>
      <c r="AV112" s="22">
        <f>'Activity data'!AV71*UDCPPEF*NtoN2O*kgtoGg</f>
        <v>0</v>
      </c>
      <c r="AW112" s="22">
        <f>'Activity data'!AW71*UDCPPEF*NtoN2O*kgtoGg</f>
        <v>0</v>
      </c>
      <c r="AX112" s="22">
        <f>'Activity data'!AX71*UDCPPEF*NtoN2O*kgtoGg</f>
        <v>0</v>
      </c>
      <c r="AY112" s="22">
        <f>'Activity data'!AY71*UDCPPEF*NtoN2O*kgtoGg</f>
        <v>0</v>
      </c>
      <c r="AZ112" s="22">
        <f>'Activity data'!AZ71*UDCPPEF*NtoN2O*kgtoGg</f>
        <v>0</v>
      </c>
      <c r="BA112" s="22">
        <f>'Activity data'!BA71*UDCPPEF*NtoN2O*kgtoGg</f>
        <v>0</v>
      </c>
      <c r="BB112" s="22">
        <f>'Activity data'!BB71*UDCPPEF*NtoN2O*kgtoGg</f>
        <v>0</v>
      </c>
      <c r="BC112" s="22">
        <f>'Activity data'!BC71*UDCPPEF*NtoN2O*kgtoGg</f>
        <v>0</v>
      </c>
      <c r="BD112" s="22">
        <f>'Activity data'!BD71*UDCPPEF*NtoN2O*kgtoGg</f>
        <v>0</v>
      </c>
      <c r="BE112" s="22">
        <f>'Activity data'!BE71*UDCPPEF*NtoN2O*kgtoGg</f>
        <v>0</v>
      </c>
      <c r="BF112" s="22">
        <f>'Activity data'!BF71*UDCPPEF*NtoN2O*kgtoGg</f>
        <v>0</v>
      </c>
      <c r="BG112" s="22">
        <f>'Activity data'!BG71*UDCPPEF*NtoN2O*kgtoGg</f>
        <v>0</v>
      </c>
      <c r="BH112" s="22">
        <f>'Activity data'!BH71*UDCPPEF*NtoN2O*kgtoGg</f>
        <v>0</v>
      </c>
      <c r="BI112" s="22">
        <f>'Activity data'!BI71*UDCPPEF*NtoN2O*kgtoGg</f>
        <v>0</v>
      </c>
      <c r="BJ112" s="22">
        <f>'Activity data'!BJ71*UDCPPEF*NtoN2O*kgtoGg</f>
        <v>0</v>
      </c>
      <c r="BK112" s="22">
        <f>'Activity data'!BK71*UDCPPEF*NtoN2O*kgtoGg</f>
        <v>0</v>
      </c>
      <c r="BL112" s="22">
        <f>'Activity data'!BL71*UDCPPEF*NtoN2O*kgtoGg</f>
        <v>0</v>
      </c>
      <c r="BM112" s="22">
        <f>'Activity data'!BM71*UDCPPEF*NtoN2O*kgtoGg</f>
        <v>0</v>
      </c>
      <c r="BN112" s="22">
        <f>'Activity data'!BN71*UDCPPEF*NtoN2O*kgtoGg</f>
        <v>0</v>
      </c>
      <c r="BO112" s="22">
        <f>'Activity data'!BO71*UDCPPEF*NtoN2O*kgtoGg</f>
        <v>0</v>
      </c>
      <c r="BP112" s="22">
        <f>'Activity data'!BP71*UDCPPEF*NtoN2O*kgtoGg</f>
        <v>0</v>
      </c>
    </row>
    <row r="113" spans="1:68" x14ac:dyDescent="0.25">
      <c r="A113" t="str">
        <f t="shared" si="29"/>
        <v>3C Aggregated and non-CO2 emissions on land</v>
      </c>
      <c r="B113" t="str">
        <f t="shared" si="31"/>
        <v>3C4 Direct N2O from managed soils (N2O)</v>
      </c>
      <c r="C113" t="s">
        <v>422</v>
      </c>
      <c r="D113" t="str">
        <f t="shared" si="38"/>
        <v xml:space="preserve"> - Commercial sheep</v>
      </c>
      <c r="E113" t="str">
        <f t="shared" si="32"/>
        <v>U&amp;D emissions - Commercial sheep</v>
      </c>
      <c r="F113" t="str">
        <f t="shared" si="36"/>
        <v>N2O</v>
      </c>
      <c r="G113" t="str">
        <f t="shared" si="37"/>
        <v>Gg N2O</v>
      </c>
      <c r="H113" s="22">
        <f>'Activity data'!H72*UDSOEF*NtoN2O*kgtoGg</f>
        <v>9.1437692552590502</v>
      </c>
      <c r="I113" s="22">
        <f>'Activity data'!I72*UDSOEF*NtoN2O*kgtoGg</f>
        <v>8.7326214199046639</v>
      </c>
      <c r="J113" s="22">
        <f>'Activity data'!J72*UDSOEF*NtoN2O*kgtoGg</f>
        <v>8.371799543625551</v>
      </c>
      <c r="K113" s="22">
        <f>'Activity data'!K72*UDSOEF*NtoN2O*kgtoGg</f>
        <v>7.8294992088628641</v>
      </c>
      <c r="L113" s="22">
        <f>'Activity data'!L72*UDSOEF*NtoN2O*kgtoGg</f>
        <v>7.8847052609393824</v>
      </c>
      <c r="M113" s="22">
        <f>'Activity data'!M72*UDSOEF*NtoN2O*kgtoGg</f>
        <v>7.7718531102857282</v>
      </c>
      <c r="N113" s="22">
        <f>'Activity data'!N72*UDSOEF*NtoN2O*kgtoGg</f>
        <v>7.7977786043548116</v>
      </c>
      <c r="O113" s="22">
        <f>'Activity data'!O72*UDSOEF*NtoN2O*kgtoGg</f>
        <v>7.6281953725617546</v>
      </c>
      <c r="P113" s="22">
        <f>'Activity data'!P72*UDSOEF*NtoN2O*kgtoGg</f>
        <v>7.6492407736295975</v>
      </c>
      <c r="Q113" s="22">
        <f>'Activity data'!Q72*UDSOEF*NtoN2O*kgtoGg</f>
        <v>7.4613571930818949</v>
      </c>
      <c r="R113" s="22">
        <f>'Activity data'!R72*UDSOEF*NtoN2O*kgtoGg</f>
        <v>7.1938670954514805</v>
      </c>
      <c r="S113" s="22">
        <f>'Activity data'!S72*UDSOEF*NtoN2O*kgtoGg</f>
        <v>7.0145236776559479</v>
      </c>
      <c r="T113" s="22">
        <f>'Activity data'!T72*UDSOEF*NtoN2O*kgtoGg</f>
        <v>6.89740144562621</v>
      </c>
      <c r="U113" s="22">
        <f>'Activity data'!U72*UDSOEF*NtoN2O*kgtoGg</f>
        <v>6.9214969048198283</v>
      </c>
      <c r="V113" s="22">
        <f>'Activity data'!V72*UDSOEF*NtoN2O*kgtoGg</f>
        <v>6.7982745565385434</v>
      </c>
      <c r="W113" s="22">
        <f>'Activity data'!W72*UDSOEF*NtoN2O*kgtoGg</f>
        <v>6.7821092484719374</v>
      </c>
      <c r="X113" s="22">
        <f>'Activity data'!X72*UDSOEF*NtoN2O*kgtoGg</f>
        <v>6.6933525570119041</v>
      </c>
      <c r="Y113" s="22">
        <f>'Activity data'!Y72*UDSOEF*NtoN2O*kgtoGg</f>
        <v>6.6869474349477782</v>
      </c>
      <c r="Z113" s="22">
        <f>'Activity data'!Z72*UDSOEF*NtoN2O*kgtoGg</f>
        <v>6.7086028476407771</v>
      </c>
      <c r="AA113" s="22">
        <f>'Activity data'!AA72*UDSOEF*NtoN2O*kgtoGg</f>
        <v>6.6848123942597351</v>
      </c>
      <c r="AB113" s="22">
        <f>'Activity data'!AB72*UDSOEF*NtoN2O*kgtoGg</f>
        <v>6.5554899297269005</v>
      </c>
      <c r="AC113" s="22">
        <f>'Activity data'!AC72*UDSOEF*NtoN2O*kgtoGg</f>
        <v>6.5042489532138905</v>
      </c>
      <c r="AD113" s="22">
        <f>'Activity data'!AD72*UDSOEF*NtoN2O*kgtoGg</f>
        <v>5.799708831777493</v>
      </c>
      <c r="AE113" s="22">
        <f>'Activity data'!AE72*UDSOEF*NtoN2O*kgtoGg</f>
        <v>5.8028515987447529</v>
      </c>
      <c r="AF113" s="22">
        <f>'Activity data'!AF72*UDSOEF*NtoN2O*kgtoGg</f>
        <v>5.8100000182164502</v>
      </c>
      <c r="AG113" s="22">
        <f>'Activity data'!AG72*UDSOEF*NtoN2O*kgtoGg</f>
        <v>5.8209471755515425</v>
      </c>
      <c r="AH113" s="22">
        <f>'Activity data'!AH72*UDSOEF*NtoN2O*kgtoGg</f>
        <v>5.8354902792197327</v>
      </c>
      <c r="AI113" s="22">
        <f>'Activity data'!AI72*UDSOEF*NtoN2O*kgtoGg</f>
        <v>5.8537847169608375</v>
      </c>
      <c r="AJ113" s="22">
        <f>'Activity data'!AJ72*UDSOEF*NtoN2O*kgtoGg</f>
        <v>5.8740616250406941</v>
      </c>
      <c r="AK113" s="22">
        <f>'Activity data'!AK72*UDSOEF*NtoN2O*kgtoGg</f>
        <v>5.8963750077766814</v>
      </c>
      <c r="AL113" s="22">
        <f>'Activity data'!AL72*UDSOEF*NtoN2O*kgtoGg</f>
        <v>5.9178866497413072</v>
      </c>
      <c r="AM113" s="22">
        <f>'Activity data'!AM72*UDSOEF*NtoN2O*kgtoGg</f>
        <v>5.9264143012926969</v>
      </c>
      <c r="AN113" s="22">
        <f>'Activity data'!AN72*UDSOEF*NtoN2O*kgtoGg</f>
        <v>5.9363742262743697</v>
      </c>
      <c r="AO113" s="22">
        <f>'Activity data'!AO72*UDSOEF*NtoN2O*kgtoGg</f>
        <v>5.9477261552520293</v>
      </c>
      <c r="AP113" s="22">
        <f>'Activity data'!AP72*UDSOEF*NtoN2O*kgtoGg</f>
        <v>5.9604274438534857</v>
      </c>
      <c r="AQ113" s="22">
        <f>'Activity data'!AQ72*UDSOEF*NtoN2O*kgtoGg</f>
        <v>5.974434619268763</v>
      </c>
      <c r="AR113" s="22">
        <f>'Activity data'!AR72*UDSOEF*NtoN2O*kgtoGg</f>
        <v>5.9830364886591187</v>
      </c>
      <c r="AS113" s="22">
        <f>'Activity data'!AS72*UDSOEF*NtoN2O*kgtoGg</f>
        <v>5.9927324175364332</v>
      </c>
      <c r="AT113" s="22">
        <f>'Activity data'!AT72*UDSOEF*NtoN2O*kgtoGg</f>
        <v>6.003476685042636</v>
      </c>
      <c r="AU113" s="22">
        <f>'Activity data'!AU72*UDSOEF*NtoN2O*kgtoGg</f>
        <v>6.015276336387628</v>
      </c>
      <c r="AV113" s="22">
        <f>'Activity data'!AV72*UDSOEF*NtoN2O*kgtoGg</f>
        <v>6.0279723149074806</v>
      </c>
      <c r="AW113" s="22">
        <f>'Activity data'!AW72*UDSOEF*NtoN2O*kgtoGg</f>
        <v>6.0363722807560345</v>
      </c>
      <c r="AX113" s="22">
        <f>'Activity data'!AX72*UDSOEF*NtoN2O*kgtoGg</f>
        <v>6.0455942131154741</v>
      </c>
      <c r="AY113" s="22">
        <f>'Activity data'!AY72*UDSOEF*NtoN2O*kgtoGg</f>
        <v>6.0556000350217332</v>
      </c>
      <c r="AZ113" s="22">
        <f>'Activity data'!AZ72*UDSOEF*NtoN2O*kgtoGg</f>
        <v>6.0663542066427096</v>
      </c>
      <c r="BA113" s="22">
        <f>'Activity data'!BA72*UDSOEF*NtoN2O*kgtoGg</f>
        <v>6.0777084792714815</v>
      </c>
      <c r="BB113" s="22">
        <f>'Activity data'!BB72*UDSOEF*NtoN2O*kgtoGg</f>
        <v>6.0847482103683852</v>
      </c>
      <c r="BC113" s="22">
        <f>'Activity data'!BC72*UDSOEF*NtoN2O*kgtoGg</f>
        <v>6.0924760354238137</v>
      </c>
      <c r="BD113" s="22">
        <f>'Activity data'!BD72*UDSOEF*NtoN2O*kgtoGg</f>
        <v>6.100845269724239</v>
      </c>
      <c r="BE113" s="22">
        <f>'Activity data'!BE72*UDSOEF*NtoN2O*kgtoGg</f>
        <v>6.109745691267821</v>
      </c>
      <c r="BF113" s="22">
        <f>'Activity data'!BF72*UDSOEF*NtoN2O*kgtoGg</f>
        <v>6.1192069919716738</v>
      </c>
      <c r="BG113" s="22">
        <f>'Activity data'!BG72*UDSOEF*NtoN2O*kgtoGg</f>
        <v>6.124556534856076</v>
      </c>
      <c r="BH113" s="22">
        <f>'Activity data'!BH72*UDSOEF*NtoN2O*kgtoGg</f>
        <v>6.1304507691353614</v>
      </c>
      <c r="BI113" s="22">
        <f>'Activity data'!BI72*UDSOEF*NtoN2O*kgtoGg</f>
        <v>6.1368901984754993</v>
      </c>
      <c r="BJ113" s="22">
        <f>'Activity data'!BJ72*UDSOEF*NtoN2O*kgtoGg</f>
        <v>6.1438533198355803</v>
      </c>
      <c r="BK113" s="22">
        <f>'Activity data'!BK72*UDSOEF*NtoN2O*kgtoGg</f>
        <v>6.1513614823406995</v>
      </c>
      <c r="BL113" s="22">
        <f>'Activity data'!BL72*UDSOEF*NtoN2O*kgtoGg</f>
        <v>6.1546513463628347</v>
      </c>
      <c r="BM113" s="22">
        <f>'Activity data'!BM72*UDSOEF*NtoN2O*kgtoGg</f>
        <v>6.1584041265817406</v>
      </c>
      <c r="BN113" s="22">
        <f>'Activity data'!BN72*UDSOEF*NtoN2O*kgtoGg</f>
        <v>6.1625182859694458</v>
      </c>
      <c r="BO113" s="22">
        <f>'Activity data'!BO72*UDSOEF*NtoN2O*kgtoGg</f>
        <v>6.1670791075839695</v>
      </c>
      <c r="BP113" s="22">
        <f>'Activity data'!BP72*UDSOEF*NtoN2O*kgtoGg</f>
        <v>6.1720983436808954</v>
      </c>
    </row>
    <row r="114" spans="1:68" x14ac:dyDescent="0.25">
      <c r="A114" t="str">
        <f t="shared" si="29"/>
        <v>3C Aggregated and non-CO2 emissions on land</v>
      </c>
      <c r="B114" t="str">
        <f t="shared" si="31"/>
        <v>3C4 Direct N2O from managed soils (N2O)</v>
      </c>
      <c r="C114" t="s">
        <v>422</v>
      </c>
      <c r="D114" t="str">
        <f t="shared" si="38"/>
        <v xml:space="preserve"> - Subsistence sheep</v>
      </c>
      <c r="E114" t="str">
        <f t="shared" si="32"/>
        <v>U&amp;D emissions - Subsistence sheep</v>
      </c>
      <c r="F114" t="str">
        <f t="shared" si="36"/>
        <v>N2O</v>
      </c>
      <c r="G114" t="str">
        <f t="shared" si="37"/>
        <v>Gg N2O</v>
      </c>
      <c r="H114" s="22">
        <f>'Activity data'!H73*UDSOEF*NtoN2O*kgtoGg</f>
        <v>0.95332401035894265</v>
      </c>
      <c r="I114" s="22">
        <f>'Activity data'!I73*UDSOEF*NtoN2O*kgtoGg</f>
        <v>0.9104579786045861</v>
      </c>
      <c r="J114" s="22">
        <f>'Activity data'!J73*UDSOEF*NtoN2O*kgtoGg</f>
        <v>0.87283890177565138</v>
      </c>
      <c r="K114" s="22">
        <f>'Activity data'!K73*UDSOEF*NtoN2O*kgtoGg</f>
        <v>0.81629898748837704</v>
      </c>
      <c r="L114" s="22">
        <f>'Activity data'!L73*UDSOEF*NtoN2O*kgtoGg</f>
        <v>0.82205473804293083</v>
      </c>
      <c r="M114" s="22">
        <f>'Activity data'!M73*UDSOEF*NtoN2O*kgtoGg</f>
        <v>0.8102888391192572</v>
      </c>
      <c r="N114" s="22">
        <f>'Activity data'!N73*UDSOEF*NtoN2O*kgtoGg</f>
        <v>0.81299181589902014</v>
      </c>
      <c r="O114" s="22">
        <f>'Activity data'!O73*UDSOEF*NtoN2O*kgtoGg</f>
        <v>0.79531116778668909</v>
      </c>
      <c r="P114" s="22">
        <f>'Activity data'!P73*UDSOEF*NtoN2O*kgtoGg</f>
        <v>0.79750534893732261</v>
      </c>
      <c r="Q114" s="22">
        <f>'Activity data'!Q73*UDSOEF*NtoN2O*kgtoGg</f>
        <v>0.77791671721574718</v>
      </c>
      <c r="R114" s="22">
        <f>'Activity data'!R73*UDSOEF*NtoN2O*kgtoGg</f>
        <v>0.75002835679395885</v>
      </c>
      <c r="S114" s="22">
        <f>'Activity data'!S73*UDSOEF*NtoN2O*kgtoGg</f>
        <v>0.73133011742336396</v>
      </c>
      <c r="T114" s="22">
        <f>'Activity data'!T73*UDSOEF*NtoN2O*kgtoGg</f>
        <v>0.71911902232420011</v>
      </c>
      <c r="U114" s="22">
        <f>'Activity data'!U73*UDSOEF*NtoN2O*kgtoGg</f>
        <v>0.72163120074303855</v>
      </c>
      <c r="V114" s="22">
        <f>'Activity data'!V73*UDSOEF*NtoN2O*kgtoGg</f>
        <v>0.70878411110745976</v>
      </c>
      <c r="W114" s="22">
        <f>'Activity data'!W73*UDSOEF*NtoN2O*kgtoGg</f>
        <v>0.70709872558596065</v>
      </c>
      <c r="X114" s="22">
        <f>'Activity data'!X73*UDSOEF*NtoN2O*kgtoGg</f>
        <v>0.69784500508112535</v>
      </c>
      <c r="Y114" s="22">
        <f>'Activity data'!Y73*UDSOEF*NtoN2O*kgtoGg</f>
        <v>0.69717721081788997</v>
      </c>
      <c r="Z114" s="22">
        <f>'Activity data'!Z73*UDSOEF*NtoN2O*kgtoGg</f>
        <v>0.69943499142216237</v>
      </c>
      <c r="AA114" s="22">
        <f>'Activity data'!AA73*UDSOEF*NtoN2O*kgtoGg</f>
        <v>0.6969546127301447</v>
      </c>
      <c r="AB114" s="22">
        <f>'Activity data'!AB73*UDSOEF*NtoN2O*kgtoGg</f>
        <v>0.68347152855815141</v>
      </c>
      <c r="AC114" s="22">
        <f>'Activity data'!AC73*UDSOEF*NtoN2O*kgtoGg</f>
        <v>0.67812917445226706</v>
      </c>
      <c r="AD114" s="22">
        <f>'Activity data'!AD73*UDSOEF*NtoN2O*kgtoGg</f>
        <v>0.64741875313277497</v>
      </c>
      <c r="AE114" s="22">
        <f>'Activity data'!AE73*UDSOEF*NtoN2O*kgtoGg</f>
        <v>0.6477695787225326</v>
      </c>
      <c r="AF114" s="22">
        <f>'Activity data'!AF73*UDSOEF*NtoN2O*kgtoGg</f>
        <v>0.6485675534063442</v>
      </c>
      <c r="AG114" s="22">
        <f>'Activity data'!AG73*UDSOEF*NtoN2O*kgtoGg</f>
        <v>0.64978957940071835</v>
      </c>
      <c r="AH114" s="22">
        <f>'Activity data'!AH73*UDSOEF*NtoN2O*kgtoGg</f>
        <v>0.65141301918306593</v>
      </c>
      <c r="AI114" s="22">
        <f>'Activity data'!AI73*UDSOEF*NtoN2O*kgtoGg</f>
        <v>0.65345521861327094</v>
      </c>
      <c r="AJ114" s="22">
        <f>'Activity data'!AJ73*UDSOEF*NtoN2O*kgtoGg</f>
        <v>0.65571872026951272</v>
      </c>
      <c r="AK114" s="22">
        <f>'Activity data'!AK73*UDSOEF*NtoN2O*kgtoGg</f>
        <v>0.65820955262819159</v>
      </c>
      <c r="AL114" s="22">
        <f>'Activity data'!AL73*UDSOEF*NtoN2O*kgtoGg</f>
        <v>0.66061088704385551</v>
      </c>
      <c r="AM114" s="22">
        <f>'Activity data'!AM73*UDSOEF*NtoN2O*kgtoGg</f>
        <v>0.66156282475222827</v>
      </c>
      <c r="AN114" s="22">
        <f>'Activity data'!AN73*UDSOEF*NtoN2O*kgtoGg</f>
        <v>0.6626746464660358</v>
      </c>
      <c r="AO114" s="22">
        <f>'Activity data'!AO73*UDSOEF*NtoN2O*kgtoGg</f>
        <v>0.66394185692737784</v>
      </c>
      <c r="AP114" s="22">
        <f>'Activity data'!AP73*UDSOEF*NtoN2O*kgtoGg</f>
        <v>0.66535969576516241</v>
      </c>
      <c r="AQ114" s="22">
        <f>'Activity data'!AQ73*UDSOEF*NtoN2O*kgtoGg</f>
        <v>0.66692331013017692</v>
      </c>
      <c r="AR114" s="22">
        <f>'Activity data'!AR73*UDSOEF*NtoN2O*kgtoGg</f>
        <v>0.66788353274080225</v>
      </c>
      <c r="AS114" s="22">
        <f>'Activity data'!AS73*UDSOEF*NtoN2O*kgtoGg</f>
        <v>0.66896588469437279</v>
      </c>
      <c r="AT114" s="22">
        <f>'Activity data'!AT73*UDSOEF*NtoN2O*kgtoGg</f>
        <v>0.67016526219313255</v>
      </c>
      <c r="AU114" s="22">
        <f>'Activity data'!AU73*UDSOEF*NtoN2O*kgtoGg</f>
        <v>0.67148245169052911</v>
      </c>
      <c r="AV114" s="22">
        <f>'Activity data'!AV73*UDSOEF*NtoN2O*kgtoGg</f>
        <v>0.67289969776641589</v>
      </c>
      <c r="AW114" s="22">
        <f>'Activity data'!AW73*UDSOEF*NtoN2O*kgtoGg</f>
        <v>0.67383738198018761</v>
      </c>
      <c r="AX114" s="22">
        <f>'Activity data'!AX73*UDSOEF*NtoN2O*kgtoGg</f>
        <v>0.67486682192670855</v>
      </c>
      <c r="AY114" s="22">
        <f>'Activity data'!AY73*UDSOEF*NtoN2O*kgtoGg</f>
        <v>0.67598376709249464</v>
      </c>
      <c r="AZ114" s="22">
        <f>'Activity data'!AZ73*UDSOEF*NtoN2O*kgtoGg</f>
        <v>0.67718425018290074</v>
      </c>
      <c r="BA114" s="22">
        <f>'Activity data'!BA73*UDSOEF*NtoN2O*kgtoGg</f>
        <v>0.67845172226490791</v>
      </c>
      <c r="BB114" s="22">
        <f>'Activity data'!BB73*UDSOEF*NtoN2O*kgtoGg</f>
        <v>0.67923756411685998</v>
      </c>
      <c r="BC114" s="22">
        <f>'Activity data'!BC73*UDSOEF*NtoN2O*kgtoGg</f>
        <v>0.680100217571875</v>
      </c>
      <c r="BD114" s="22">
        <f>'Activity data'!BD73*UDSOEF*NtoN2O*kgtoGg</f>
        <v>0.68103447123746752</v>
      </c>
      <c r="BE114" s="22">
        <f>'Activity data'!BE73*UDSOEF*NtoN2O*kgtoGg</f>
        <v>0.68202802108371641</v>
      </c>
      <c r="BF114" s="22">
        <f>'Activity data'!BF73*UDSOEF*NtoN2O*kgtoGg</f>
        <v>0.68308418160528306</v>
      </c>
      <c r="BG114" s="22">
        <f>'Activity data'!BG73*UDSOEF*NtoN2O*kgtoGg</f>
        <v>0.68368134854667739</v>
      </c>
      <c r="BH114" s="22">
        <f>'Activity data'!BH73*UDSOEF*NtoN2O*kgtoGg</f>
        <v>0.68433931913079671</v>
      </c>
      <c r="BI114" s="22">
        <f>'Activity data'!BI73*UDSOEF*NtoN2O*kgtoGg</f>
        <v>0.68505814958163513</v>
      </c>
      <c r="BJ114" s="22">
        <f>'Activity data'!BJ73*UDSOEF*NtoN2O*kgtoGg</f>
        <v>0.68583543952490889</v>
      </c>
      <c r="BK114" s="22">
        <f>'Activity data'!BK73*UDSOEF*NtoN2O*kgtoGg</f>
        <v>0.68667357215335201</v>
      </c>
      <c r="BL114" s="22">
        <f>'Activity data'!BL73*UDSOEF*NtoN2O*kgtoGg</f>
        <v>0.68704081811775564</v>
      </c>
      <c r="BM114" s="22">
        <f>'Activity data'!BM73*UDSOEF*NtoN2O*kgtoGg</f>
        <v>0.68745973919820591</v>
      </c>
      <c r="BN114" s="22">
        <f>'Activity data'!BN73*UDSOEF*NtoN2O*kgtoGg</f>
        <v>0.68791900086430613</v>
      </c>
      <c r="BO114" s="22">
        <f>'Activity data'!BO73*UDSOEF*NtoN2O*kgtoGg</f>
        <v>0.68842812322347657</v>
      </c>
      <c r="BP114" s="22">
        <f>'Activity data'!BP73*UDSOEF*NtoN2O*kgtoGg</f>
        <v>0.68898841817444811</v>
      </c>
    </row>
    <row r="115" spans="1:68" x14ac:dyDescent="0.25">
      <c r="A115" t="str">
        <f t="shared" si="29"/>
        <v>3C Aggregated and non-CO2 emissions on land</v>
      </c>
      <c r="B115" t="str">
        <f t="shared" si="31"/>
        <v>3C4 Direct N2O from managed soils (N2O)</v>
      </c>
      <c r="C115" t="s">
        <v>422</v>
      </c>
      <c r="D115" t="str">
        <f t="shared" si="38"/>
        <v xml:space="preserve"> - Commercial goats</v>
      </c>
      <c r="E115" t="str">
        <f t="shared" si="32"/>
        <v>U&amp;D emissions - Commercial goats</v>
      </c>
      <c r="F115" t="str">
        <f t="shared" si="36"/>
        <v>N2O</v>
      </c>
      <c r="G115" t="str">
        <f t="shared" si="37"/>
        <v>Gg N2O</v>
      </c>
      <c r="H115" s="22">
        <f>'Activity data'!H74*UDSOEF*NtoN2O*kgtoGg</f>
        <v>0.9618222082748461</v>
      </c>
      <c r="I115" s="22">
        <f>'Activity data'!I74*UDSOEF*NtoN2O*kgtoGg</f>
        <v>0.85052266650980479</v>
      </c>
      <c r="J115" s="22">
        <f>'Activity data'!J74*UDSOEF*NtoN2O*kgtoGg</f>
        <v>0.79227243904398814</v>
      </c>
      <c r="K115" s="22">
        <f>'Activity data'!K74*UDSOEF*NtoN2O*kgtoGg</f>
        <v>0.74858476844462585</v>
      </c>
      <c r="L115" s="22">
        <f>'Activity data'!L74*UDSOEF*NtoN2O*kgtoGg</f>
        <v>0.81030227135483579</v>
      </c>
      <c r="M115" s="22">
        <f>'Activity data'!M74*UDSOEF*NtoN2O*kgtoGg</f>
        <v>0.82139755277689641</v>
      </c>
      <c r="N115" s="22">
        <f>'Activity data'!N74*UDSOEF*NtoN2O*kgtoGg</f>
        <v>0.83422647192115318</v>
      </c>
      <c r="O115" s="22">
        <f>'Activity data'!O74*UDSOEF*NtoN2O*kgtoGg</f>
        <v>0.83006574138788081</v>
      </c>
      <c r="P115" s="22">
        <f>'Activity data'!P74*UDSOEF*NtoN2O*kgtoGg</f>
        <v>0.81827700487694188</v>
      </c>
      <c r="Q115" s="22">
        <f>'Activity data'!Q74*UDSOEF*NtoN2O*kgtoGg</f>
        <v>0.80614154082156364</v>
      </c>
      <c r="R115" s="22">
        <f>'Activity data'!R74*UDSOEF*NtoN2O*kgtoGg</f>
        <v>0.81654336715474485</v>
      </c>
      <c r="S115" s="22">
        <f>'Activity data'!S74*UDSOEF*NtoN2O*kgtoGg</f>
        <v>0.84150775035438052</v>
      </c>
      <c r="T115" s="22">
        <f>'Activity data'!T74*UDSOEF*NtoN2O*kgtoGg</f>
        <v>0.76834823847767098</v>
      </c>
      <c r="U115" s="22">
        <f>'Activity data'!U74*UDSOEF*NtoN2O*kgtoGg</f>
        <v>0.7489314959890655</v>
      </c>
      <c r="V115" s="22">
        <f>'Activity data'!V74*UDSOEF*NtoN2O*kgtoGg</f>
        <v>0.75031840616682322</v>
      </c>
      <c r="W115" s="22">
        <f>'Activity data'!W74*UDSOEF*NtoN2O*kgtoGg</f>
        <v>0.74061003492252009</v>
      </c>
      <c r="X115" s="22">
        <f>'Activity data'!X74*UDSOEF*NtoN2O*kgtoGg</f>
        <v>0.75621277442229229</v>
      </c>
      <c r="Y115" s="22">
        <f>'Activity data'!Y74*UDSOEF*NtoN2O*kgtoGg</f>
        <v>0.73367548403373262</v>
      </c>
      <c r="Z115" s="22">
        <f>'Activity data'!Z74*UDSOEF*NtoN2O*kgtoGg</f>
        <v>0.73298202894485398</v>
      </c>
      <c r="AA115" s="22">
        <f>'Activity data'!AA74*UDSOEF*NtoN2O*kgtoGg</f>
        <v>0.72015310980059655</v>
      </c>
      <c r="AB115" s="22">
        <f>'Activity data'!AB74*UDSOEF*NtoN2O*kgtoGg</f>
        <v>0.71148492118961226</v>
      </c>
      <c r="AC115" s="22">
        <f>'Activity data'!AC74*UDSOEF*NtoN2O*kgtoGg</f>
        <v>0.704897097845264</v>
      </c>
      <c r="AD115" s="22">
        <f>'Activity data'!AD74*UDSOEF*NtoN2O*kgtoGg</f>
        <v>0.71684495990696728</v>
      </c>
      <c r="AE115" s="22">
        <f>'Activity data'!AE74*UDSOEF*NtoN2O*kgtoGg</f>
        <v>0.71871095405944208</v>
      </c>
      <c r="AF115" s="22">
        <f>'Activity data'!AF74*UDSOEF*NtoN2O*kgtoGg</f>
        <v>0.72121460853039365</v>
      </c>
      <c r="AG115" s="22">
        <f>'Activity data'!AG74*UDSOEF*NtoN2O*kgtoGg</f>
        <v>0.72432660582735331</v>
      </c>
      <c r="AH115" s="22">
        <f>'Activity data'!AH74*UDSOEF*NtoN2O*kgtoGg</f>
        <v>0.72801634874573673</v>
      </c>
      <c r="AI115" s="22">
        <f>'Activity data'!AI74*UDSOEF*NtoN2O*kgtoGg</f>
        <v>0.73232089586314331</v>
      </c>
      <c r="AJ115" s="22">
        <f>'Activity data'!AJ74*UDSOEF*NtoN2O*kgtoGg</f>
        <v>0.73690461948518671</v>
      </c>
      <c r="AK115" s="22">
        <f>'Activity data'!AK74*UDSOEF*NtoN2O*kgtoGg</f>
        <v>0.74178463689718721</v>
      </c>
      <c r="AL115" s="22">
        <f>'Activity data'!AL74*UDSOEF*NtoN2O*kgtoGg</f>
        <v>0.74642254951960474</v>
      </c>
      <c r="AM115" s="22">
        <f>'Activity data'!AM74*UDSOEF*NtoN2O*kgtoGg</f>
        <v>0.74849873304423586</v>
      </c>
      <c r="AN115" s="22">
        <f>'Activity data'!AN74*UDSOEF*NtoN2O*kgtoGg</f>
        <v>0.75078697375784831</v>
      </c>
      <c r="AO115" s="22">
        <f>'Activity data'!AO74*UDSOEF*NtoN2O*kgtoGg</f>
        <v>0.75328283230049065</v>
      </c>
      <c r="AP115" s="22">
        <f>'Activity data'!AP74*UDSOEF*NtoN2O*kgtoGg</f>
        <v>0.75598096846681595</v>
      </c>
      <c r="AQ115" s="22">
        <f>'Activity data'!AQ74*UDSOEF*NtoN2O*kgtoGg</f>
        <v>0.75887551878346049</v>
      </c>
      <c r="AR115" s="22">
        <f>'Activity data'!AR74*UDSOEF*NtoN2O*kgtoGg</f>
        <v>0.76070118629257089</v>
      </c>
      <c r="AS115" s="22">
        <f>'Activity data'!AS74*UDSOEF*NtoN2O*kgtoGg</f>
        <v>0.76269281387494703</v>
      </c>
      <c r="AT115" s="22">
        <f>'Activity data'!AT74*UDSOEF*NtoN2O*kgtoGg</f>
        <v>0.76484332067547722</v>
      </c>
      <c r="AU115" s="22">
        <f>'Activity data'!AU74*UDSOEF*NtoN2O*kgtoGg</f>
        <v>0.76715536598930067</v>
      </c>
      <c r="AV115" s="22">
        <f>'Activity data'!AV74*UDSOEF*NtoN2O*kgtoGg</f>
        <v>0.76960030076132802</v>
      </c>
      <c r="AW115" s="22">
        <f>'Activity data'!AW74*UDSOEF*NtoN2O*kgtoGg</f>
        <v>0.77120926492164565</v>
      </c>
      <c r="AX115" s="22">
        <f>'Activity data'!AX74*UDSOEF*NtoN2O*kgtoGg</f>
        <v>0.77294331647186221</v>
      </c>
      <c r="AY115" s="22">
        <f>'Activity data'!AY74*UDSOEF*NtoN2O*kgtoGg</f>
        <v>0.77479617606397766</v>
      </c>
      <c r="AZ115" s="22">
        <f>'Activity data'!AZ74*UDSOEF*NtoN2O*kgtoGg</f>
        <v>0.77676197355826448</v>
      </c>
      <c r="BA115" s="22">
        <f>'Activity data'!BA74*UDSOEF*NtoN2O*kgtoGg</f>
        <v>0.77881389606187834</v>
      </c>
      <c r="BB115" s="22">
        <f>'Activity data'!BB74*UDSOEF*NtoN2O*kgtoGg</f>
        <v>0.78004354275199106</v>
      </c>
      <c r="BC115" s="22">
        <f>'Activity data'!BC74*UDSOEF*NtoN2O*kgtoGg</f>
        <v>0.78138032853736605</v>
      </c>
      <c r="BD115" s="22">
        <f>'Activity data'!BD74*UDSOEF*NtoN2O*kgtoGg</f>
        <v>0.78281603224443064</v>
      </c>
      <c r="BE115" s="22">
        <f>'Activity data'!BE74*UDSOEF*NtoN2O*kgtoGg</f>
        <v>0.78433074477029663</v>
      </c>
      <c r="BF115" s="22">
        <f>'Activity data'!BF74*UDSOEF*NtoN2O*kgtoGg</f>
        <v>0.78593033832357106</v>
      </c>
      <c r="BG115" s="22">
        <f>'Activity data'!BG74*UDSOEF*NtoN2O*kgtoGg</f>
        <v>0.78675861695280891</v>
      </c>
      <c r="BH115" s="22">
        <f>'Activity data'!BH74*UDSOEF*NtoN2O*kgtoGg</f>
        <v>0.78767242417275651</v>
      </c>
      <c r="BI115" s="22">
        <f>'Activity data'!BI74*UDSOEF*NtoN2O*kgtoGg</f>
        <v>0.78867204715938932</v>
      </c>
      <c r="BJ115" s="22">
        <f>'Activity data'!BJ74*UDSOEF*NtoN2O*kgtoGg</f>
        <v>0.78975372386122944</v>
      </c>
      <c r="BK115" s="22">
        <f>'Activity data'!BK74*UDSOEF*NtoN2O*kgtoGg</f>
        <v>0.79092148838249698</v>
      </c>
      <c r="BL115" s="22">
        <f>'Activity data'!BL74*UDSOEF*NtoN2O*kgtoGg</f>
        <v>0.79130966368955802</v>
      </c>
      <c r="BM115" s="22">
        <f>'Activity data'!BM74*UDSOEF*NtoN2O*kgtoGg</f>
        <v>0.79177202608492925</v>
      </c>
      <c r="BN115" s="22">
        <f>'Activity data'!BN74*UDSOEF*NtoN2O*kgtoGg</f>
        <v>0.79229024566161588</v>
      </c>
      <c r="BO115" s="22">
        <f>'Activity data'!BO74*UDSOEF*NtoN2O*kgtoGg</f>
        <v>0.79287988151083744</v>
      </c>
      <c r="BP115" s="22">
        <f>'Activity data'!BP74*UDSOEF*NtoN2O*kgtoGg</f>
        <v>0.79354309556164571</v>
      </c>
    </row>
    <row r="116" spans="1:68" x14ac:dyDescent="0.25">
      <c r="A116" t="str">
        <f t="shared" si="29"/>
        <v>3C Aggregated and non-CO2 emissions on land</v>
      </c>
      <c r="B116" t="str">
        <f t="shared" si="31"/>
        <v>3C4 Direct N2O from managed soils (N2O)</v>
      </c>
      <c r="C116" t="s">
        <v>422</v>
      </c>
      <c r="D116" t="str">
        <f t="shared" si="38"/>
        <v xml:space="preserve"> - Subsistence goats</v>
      </c>
      <c r="E116" t="str">
        <f t="shared" si="32"/>
        <v>U&amp;D emissions - Subsistence goats</v>
      </c>
      <c r="F116" t="str">
        <f t="shared" si="36"/>
        <v>N2O</v>
      </c>
      <c r="G116" t="str">
        <f t="shared" si="37"/>
        <v>Gg N2O</v>
      </c>
      <c r="H116" s="22">
        <f>'Activity data'!H75*UDSOEF*NtoN2O*kgtoGg</f>
        <v>1.619719745746157</v>
      </c>
      <c r="I116" s="22">
        <f>'Activity data'!I75*UDSOEF*NtoN2O*kgtoGg</f>
        <v>1.4322900275109314</v>
      </c>
      <c r="J116" s="22">
        <f>'Activity data'!J75*UDSOEF*NtoN2O*kgtoGg</f>
        <v>1.334195969369131</v>
      </c>
      <c r="K116" s="22">
        <f>'Activity data'!K75*UDSOEF*NtoN2O*kgtoGg</f>
        <v>1.2606254257627807</v>
      </c>
      <c r="L116" s="22">
        <f>'Activity data'!L75*UDSOEF*NtoN2O*kgtoGg</f>
        <v>1.3645584159368309</v>
      </c>
      <c r="M116" s="22">
        <f>'Activity data'!M75*UDSOEF*NtoN2O*kgtoGg</f>
        <v>1.3832429984400314</v>
      </c>
      <c r="N116" s="22">
        <f>'Activity data'!N75*UDSOEF*NtoN2O*kgtoGg</f>
        <v>1.4048470469593564</v>
      </c>
      <c r="O116" s="22">
        <f>'Activity data'!O75*UDSOEF*NtoN2O*kgtoGg</f>
        <v>1.3978403285206562</v>
      </c>
      <c r="P116" s="22">
        <f>'Activity data'!P75*UDSOEF*NtoN2O*kgtoGg</f>
        <v>1.3779879596110063</v>
      </c>
      <c r="Q116" s="22">
        <f>'Activity data'!Q75*UDSOEF*NtoN2O*kgtoGg</f>
        <v>1.3575516974981312</v>
      </c>
      <c r="R116" s="22">
        <f>'Activity data'!R75*UDSOEF*NtoN2O*kgtoGg</f>
        <v>1.3750684935948814</v>
      </c>
      <c r="S116" s="22">
        <f>'Activity data'!S75*UDSOEF*NtoN2O*kgtoGg</f>
        <v>1.4171088042270812</v>
      </c>
      <c r="T116" s="22">
        <f>'Activity data'!T75*UDSOEF*NtoN2O*kgtoGg</f>
        <v>1.2939073383466055</v>
      </c>
      <c r="U116" s="22">
        <f>'Activity data'!U75*UDSOEF*NtoN2O*kgtoGg</f>
        <v>1.2612093189660056</v>
      </c>
      <c r="V116" s="22">
        <f>'Activity data'!V75*UDSOEF*NtoN2O*kgtoGg</f>
        <v>1.2635448917789056</v>
      </c>
      <c r="W116" s="22">
        <f>'Activity data'!W75*UDSOEF*NtoN2O*kgtoGg</f>
        <v>1.2471958820886055</v>
      </c>
      <c r="X116" s="22">
        <f>'Activity data'!X75*UDSOEF*NtoN2O*kgtoGg</f>
        <v>1.2734710762337309</v>
      </c>
      <c r="Y116" s="22">
        <f>'Activity data'!Y75*UDSOEF*NtoN2O*kgtoGg</f>
        <v>1.2355180180241057</v>
      </c>
      <c r="Z116" s="22">
        <f>'Activity data'!Z75*UDSOEF*NtoN2O*kgtoGg</f>
        <v>1.2343502316176553</v>
      </c>
      <c r="AA116" s="22">
        <f>'Activity data'!AA75*UDSOEF*NtoN2O*kgtoGg</f>
        <v>1.2127461830983304</v>
      </c>
      <c r="AB116" s="22">
        <f>'Activity data'!AB75*UDSOEF*NtoN2O*kgtoGg</f>
        <v>1.1981488530177054</v>
      </c>
      <c r="AC116" s="22">
        <f>'Activity data'!AC75*UDSOEF*NtoN2O*kgtoGg</f>
        <v>1.1870548821564302</v>
      </c>
      <c r="AD116" s="22">
        <f>'Activity data'!AD75*UDSOEF*NtoN2O*kgtoGg</f>
        <v>1.1863638476441631</v>
      </c>
      <c r="AE116" s="22">
        <f>'Activity data'!AE75*UDSOEF*NtoN2O*kgtoGg</f>
        <v>1.1894520300632718</v>
      </c>
      <c r="AF116" s="22">
        <f>'Activity data'!AF75*UDSOEF*NtoN2O*kgtoGg</f>
        <v>1.1935955273569057</v>
      </c>
      <c r="AG116" s="22">
        <f>'Activity data'!AG75*UDSOEF*NtoN2O*kgtoGg</f>
        <v>1.1987458196705443</v>
      </c>
      <c r="AH116" s="22">
        <f>'Activity data'!AH75*UDSOEF*NtoN2O*kgtoGg</f>
        <v>1.2048522692521095</v>
      </c>
      <c r="AI116" s="22">
        <f>'Activity data'!AI75*UDSOEF*NtoN2O*kgtoGg</f>
        <v>1.2119762072947724</v>
      </c>
      <c r="AJ116" s="22">
        <f>'Activity data'!AJ75*UDSOEF*NtoN2O*kgtoGg</f>
        <v>1.2195621767818012</v>
      </c>
      <c r="AK116" s="22">
        <f>'Activity data'!AK75*UDSOEF*NtoN2O*kgtoGg</f>
        <v>1.2276385064727047</v>
      </c>
      <c r="AL116" s="22">
        <f>'Activity data'!AL75*UDSOEF*NtoN2O*kgtoGg</f>
        <v>1.2353141576546323</v>
      </c>
      <c r="AM116" s="22">
        <f>'Activity data'!AM75*UDSOEF*NtoN2O*kgtoGg</f>
        <v>1.2387501992151624</v>
      </c>
      <c r="AN116" s="22">
        <f>'Activity data'!AN75*UDSOEF*NtoN2O*kgtoGg</f>
        <v>1.242537191116019</v>
      </c>
      <c r="AO116" s="22">
        <f>'Activity data'!AO75*UDSOEF*NtoN2O*kgtoGg</f>
        <v>1.2466677863066564</v>
      </c>
      <c r="AP116" s="22">
        <f>'Activity data'!AP75*UDSOEF*NtoN2O*kgtoGg</f>
        <v>1.2511331468557008</v>
      </c>
      <c r="AQ116" s="22">
        <f>'Activity data'!AQ75*UDSOEF*NtoN2O*kgtoGg</f>
        <v>1.2559235688338364</v>
      </c>
      <c r="AR116" s="22">
        <f>'Activity data'!AR75*UDSOEF*NtoN2O*kgtoGg</f>
        <v>1.2589450114773169</v>
      </c>
      <c r="AS116" s="22">
        <f>'Activity data'!AS75*UDSOEF*NtoN2O*kgtoGg</f>
        <v>1.2622411146709676</v>
      </c>
      <c r="AT116" s="22">
        <f>'Activity data'!AT75*UDSOEF*NtoN2O*kgtoGg</f>
        <v>1.2658001597434101</v>
      </c>
      <c r="AU116" s="22">
        <f>'Activity data'!AU75*UDSOEF*NtoN2O*kgtoGg</f>
        <v>1.2696265477740816</v>
      </c>
      <c r="AV116" s="22">
        <f>'Activity data'!AV75*UDSOEF*NtoN2O*kgtoGg</f>
        <v>1.273672865158747</v>
      </c>
      <c r="AW116" s="22">
        <f>'Activity data'!AW75*UDSOEF*NtoN2O*kgtoGg</f>
        <v>1.2763356681617892</v>
      </c>
      <c r="AX116" s="22">
        <f>'Activity data'!AX75*UDSOEF*NtoN2O*kgtoGg</f>
        <v>1.2792054882542614</v>
      </c>
      <c r="AY116" s="22">
        <f>'Activity data'!AY75*UDSOEF*NtoN2O*kgtoGg</f>
        <v>1.2822719332427728</v>
      </c>
      <c r="AZ116" s="22">
        <f>'Activity data'!AZ75*UDSOEF*NtoN2O*kgtoGg</f>
        <v>1.2855252881653128</v>
      </c>
      <c r="BA116" s="22">
        <f>'Activity data'!BA75*UDSOEF*NtoN2O*kgtoGg</f>
        <v>1.2889211782288641</v>
      </c>
      <c r="BB116" s="22">
        <f>'Activity data'!BB75*UDSOEF*NtoN2O*kgtoGg</f>
        <v>1.2909562185236505</v>
      </c>
      <c r="BC116" s="22">
        <f>'Activity data'!BC75*UDSOEF*NtoN2O*kgtoGg</f>
        <v>1.2931685718448194</v>
      </c>
      <c r="BD116" s="22">
        <f>'Activity data'!BD75*UDSOEF*NtoN2O*kgtoGg</f>
        <v>1.2955446323171023</v>
      </c>
      <c r="BE116" s="22">
        <f>'Activity data'!BE75*UDSOEF*NtoN2O*kgtoGg</f>
        <v>1.2980514507796252</v>
      </c>
      <c r="BF116" s="22">
        <f>'Activity data'!BF75*UDSOEF*NtoN2O*kgtoGg</f>
        <v>1.3006987456183525</v>
      </c>
      <c r="BG116" s="22">
        <f>'Activity data'!BG75*UDSOEF*NtoN2O*kgtoGg</f>
        <v>1.302069529925229</v>
      </c>
      <c r="BH116" s="22">
        <f>'Activity data'!BH75*UDSOEF*NtoN2O*kgtoGg</f>
        <v>1.3035818623124202</v>
      </c>
      <c r="BI116" s="22">
        <f>'Activity data'!BI75*UDSOEF*NtoN2O*kgtoGg</f>
        <v>1.3052362180503321</v>
      </c>
      <c r="BJ116" s="22">
        <f>'Activity data'!BJ75*UDSOEF*NtoN2O*kgtoGg</f>
        <v>1.3070263710201857</v>
      </c>
      <c r="BK116" s="22">
        <f>'Activity data'!BK75*UDSOEF*NtoN2O*kgtoGg</f>
        <v>1.3089589975825222</v>
      </c>
      <c r="BL116" s="22">
        <f>'Activity data'!BL75*UDSOEF*NtoN2O*kgtoGg</f>
        <v>1.3096014198308494</v>
      </c>
      <c r="BM116" s="22">
        <f>'Activity data'!BM75*UDSOEF*NtoN2O*kgtoGg</f>
        <v>1.310366620203395</v>
      </c>
      <c r="BN116" s="22">
        <f>'Activity data'!BN75*UDSOEF*NtoN2O*kgtoGg</f>
        <v>1.3112242630764126</v>
      </c>
      <c r="BO116" s="22">
        <f>'Activity data'!BO75*UDSOEF*NtoN2O*kgtoGg</f>
        <v>1.3122000984298234</v>
      </c>
      <c r="BP116" s="22">
        <f>'Activity data'!BP75*UDSOEF*NtoN2O*kgtoGg</f>
        <v>1.3132977042122937</v>
      </c>
    </row>
    <row r="117" spans="1:68" x14ac:dyDescent="0.25">
      <c r="A117" t="str">
        <f t="shared" si="29"/>
        <v>3C Aggregated and non-CO2 emissions on land</v>
      </c>
      <c r="B117" t="str">
        <f t="shared" si="31"/>
        <v>3C4 Direct N2O from managed soils (N2O)</v>
      </c>
      <c r="C117" t="s">
        <v>422</v>
      </c>
      <c r="D117" t="str">
        <f t="shared" si="38"/>
        <v xml:space="preserve"> - Horses</v>
      </c>
      <c r="E117" t="str">
        <f t="shared" si="32"/>
        <v>U&amp;D emissions - Horses</v>
      </c>
      <c r="F117" t="str">
        <f t="shared" si="36"/>
        <v>N2O</v>
      </c>
      <c r="G117" t="str">
        <f t="shared" si="37"/>
        <v>Gg N2O</v>
      </c>
      <c r="H117" s="22">
        <f>'Activity data'!H76*UDSOEF*NtoN2O*kgtoGg</f>
        <v>0.1427642857142857</v>
      </c>
      <c r="I117" s="22">
        <f>'Activity data'!I76*UDSOEF*NtoN2O*kgtoGg</f>
        <v>0.1427642857142857</v>
      </c>
      <c r="J117" s="22">
        <f>'Activity data'!J76*UDSOEF*NtoN2O*kgtoGg</f>
        <v>0.1427642857142857</v>
      </c>
      <c r="K117" s="22">
        <f>'Activity data'!K76*UDSOEF*NtoN2O*kgtoGg</f>
        <v>0.14586785714285713</v>
      </c>
      <c r="L117" s="22">
        <f>'Activity data'!L76*UDSOEF*NtoN2O*kgtoGg</f>
        <v>0.14897142857142856</v>
      </c>
      <c r="M117" s="22">
        <f>'Activity data'!M76*UDSOEF*NtoN2O*kgtoGg</f>
        <v>0.15207499999999999</v>
      </c>
      <c r="N117" s="22">
        <f>'Activity data'!N76*UDSOEF*NtoN2O*kgtoGg</f>
        <v>0.15517857142857142</v>
      </c>
      <c r="O117" s="22">
        <f>'Activity data'!O76*UDSOEF*NtoN2O*kgtoGg</f>
        <v>0.15828214285714284</v>
      </c>
      <c r="P117" s="22">
        <f>'Activity data'!P76*UDSOEF*NtoN2O*kgtoGg</f>
        <v>0.16138571428571427</v>
      </c>
      <c r="Q117" s="22">
        <f>'Activity data'!Q76*UDSOEF*NtoN2O*kgtoGg</f>
        <v>0.16014428571428571</v>
      </c>
      <c r="R117" s="22">
        <f>'Activity data'!R76*UDSOEF*NtoN2O*kgtoGg</f>
        <v>0.16759285714285713</v>
      </c>
      <c r="S117" s="22">
        <f>'Activity data'!S76*UDSOEF*NtoN2O*kgtoGg</f>
        <v>0.16759285714285713</v>
      </c>
      <c r="T117" s="22">
        <f>'Activity data'!T76*UDSOEF*NtoN2O*kgtoGg</f>
        <v>0.16759285714285713</v>
      </c>
      <c r="U117" s="22">
        <f>'Activity data'!U76*UDSOEF*NtoN2O*kgtoGg</f>
        <v>0.16759285714285713</v>
      </c>
      <c r="V117" s="22">
        <f>'Activity data'!V76*UDSOEF*NtoN2O*kgtoGg</f>
        <v>0.16759285714285713</v>
      </c>
      <c r="W117" s="22">
        <f>'Activity data'!W76*UDSOEF*NtoN2O*kgtoGg</f>
        <v>0.16759285714285713</v>
      </c>
      <c r="X117" s="22">
        <f>'Activity data'!X76*UDSOEF*NtoN2O*kgtoGg</f>
        <v>0.17379999999999998</v>
      </c>
      <c r="Y117" s="22">
        <f>'Activity data'!Y76*UDSOEF*NtoN2O*kgtoGg</f>
        <v>0.18000714285714284</v>
      </c>
      <c r="Z117" s="22">
        <f>'Activity data'!Z76*UDSOEF*NtoN2O*kgtoGg</f>
        <v>0.18497285714285713</v>
      </c>
      <c r="AA117" s="22">
        <f>'Activity data'!AA76*UDSOEF*NtoN2O*kgtoGg</f>
        <v>0.18621428571428569</v>
      </c>
      <c r="AB117" s="22">
        <f>'Activity data'!AB76*UDSOEF*NtoN2O*kgtoGg</f>
        <v>0.18621428571428569</v>
      </c>
      <c r="AC117" s="22">
        <f>'Activity data'!AC76*UDSOEF*NtoN2O*kgtoGg</f>
        <v>0.18931785714285712</v>
      </c>
      <c r="AD117" s="22">
        <f>'Activity data'!AD76*UDSOEF*NtoN2O*kgtoGg</f>
        <v>0.19150559591164479</v>
      </c>
      <c r="AE117" s="22">
        <f>'Activity data'!AE76*UDSOEF*NtoN2O*kgtoGg</f>
        <v>0.19298028052758814</v>
      </c>
      <c r="AF117" s="22">
        <f>'Activity data'!AF76*UDSOEF*NtoN2O*kgtoGg</f>
        <v>0.19363520830669376</v>
      </c>
      <c r="AG117" s="22">
        <f>'Activity data'!AG76*UDSOEF*NtoN2O*kgtoGg</f>
        <v>0.19366424716390812</v>
      </c>
      <c r="AH117" s="22">
        <f>'Activity data'!AH76*UDSOEF*NtoN2O*kgtoGg</f>
        <v>0.1930491008731989</v>
      </c>
      <c r="AI117" s="22">
        <f>'Activity data'!AI76*UDSOEF*NtoN2O*kgtoGg</f>
        <v>0.19311688860852705</v>
      </c>
      <c r="AJ117" s="22">
        <f>'Activity data'!AJ76*UDSOEF*NtoN2O*kgtoGg</f>
        <v>0.19301061262232511</v>
      </c>
      <c r="AK117" s="22">
        <f>'Activity data'!AK76*UDSOEF*NtoN2O*kgtoGg</f>
        <v>0.19282773525743516</v>
      </c>
      <c r="AL117" s="22">
        <f>'Activity data'!AL76*UDSOEF*NtoN2O*kgtoGg</f>
        <v>0.18131246429835474</v>
      </c>
      <c r="AM117" s="22">
        <f>'Activity data'!AM76*UDSOEF*NtoN2O*kgtoGg</f>
        <v>0.18317145549621808</v>
      </c>
      <c r="AN117" s="22">
        <f>'Activity data'!AN76*UDSOEF*NtoN2O*kgtoGg</f>
        <v>0.18485711107545275</v>
      </c>
      <c r="AO117" s="22">
        <f>'Activity data'!AO76*UDSOEF*NtoN2O*kgtoGg</f>
        <v>0.18656803166727648</v>
      </c>
      <c r="AP117" s="22">
        <f>'Activity data'!AP76*UDSOEF*NtoN2O*kgtoGg</f>
        <v>0.18844557426495734</v>
      </c>
      <c r="AQ117" s="22">
        <f>'Activity data'!AQ76*UDSOEF*NtoN2O*kgtoGg</f>
        <v>0.19058766119735068</v>
      </c>
      <c r="AR117" s="22">
        <f>'Activity data'!AR76*UDSOEF*NtoN2O*kgtoGg</f>
        <v>0.19299771361449153</v>
      </c>
      <c r="AS117" s="22">
        <f>'Activity data'!AS76*UDSOEF*NtoN2O*kgtoGg</f>
        <v>0.19557775887487575</v>
      </c>
      <c r="AT117" s="22">
        <f>'Activity data'!AT76*UDSOEF*NtoN2O*kgtoGg</f>
        <v>0.19834840708348936</v>
      </c>
      <c r="AU117" s="22">
        <f>'Activity data'!AU76*UDSOEF*NtoN2O*kgtoGg</f>
        <v>0.20151708005732918</v>
      </c>
      <c r="AV117" s="22">
        <f>'Activity data'!AV76*UDSOEF*NtoN2O*kgtoGg</f>
        <v>0.2046166513268283</v>
      </c>
      <c r="AW117" s="22">
        <f>'Activity data'!AW76*UDSOEF*NtoN2O*kgtoGg</f>
        <v>0.20849284964875267</v>
      </c>
      <c r="AX117" s="22">
        <f>'Activity data'!AX76*UDSOEF*NtoN2O*kgtoGg</f>
        <v>0.21248803468837446</v>
      </c>
      <c r="AY117" s="22">
        <f>'Activity data'!AY76*UDSOEF*NtoN2O*kgtoGg</f>
        <v>0.21658021002022762</v>
      </c>
      <c r="AZ117" s="22">
        <f>'Activity data'!AZ76*UDSOEF*NtoN2O*kgtoGg</f>
        <v>0.22074623055653292</v>
      </c>
      <c r="BA117" s="22">
        <f>'Activity data'!BA76*UDSOEF*NtoN2O*kgtoGg</f>
        <v>0.2245199294506785</v>
      </c>
      <c r="BB117" s="22">
        <f>'Activity data'!BB76*UDSOEF*NtoN2O*kgtoGg</f>
        <v>0.22862853106981601</v>
      </c>
      <c r="BC117" s="22">
        <f>'Activity data'!BC76*UDSOEF*NtoN2O*kgtoGg</f>
        <v>0.23302868258413359</v>
      </c>
      <c r="BD117" s="22">
        <f>'Activity data'!BD76*UDSOEF*NtoN2O*kgtoGg</f>
        <v>0.23762538200463609</v>
      </c>
      <c r="BE117" s="22">
        <f>'Activity data'!BE76*UDSOEF*NtoN2O*kgtoGg</f>
        <v>0.24207709156851115</v>
      </c>
      <c r="BF117" s="22">
        <f>'Activity data'!BF76*UDSOEF*NtoN2O*kgtoGg</f>
        <v>0.24656995281609614</v>
      </c>
      <c r="BG117" s="22">
        <f>'Activity data'!BG76*UDSOEF*NtoN2O*kgtoGg</f>
        <v>0.25140769235317334</v>
      </c>
      <c r="BH117" s="22">
        <f>'Activity data'!BH76*UDSOEF*NtoN2O*kgtoGg</f>
        <v>0.25647374277707341</v>
      </c>
      <c r="BI117" s="22">
        <f>'Activity data'!BI76*UDSOEF*NtoN2O*kgtoGg</f>
        <v>0.26182935112955491</v>
      </c>
      <c r="BJ117" s="22">
        <f>'Activity data'!BJ76*UDSOEF*NtoN2O*kgtoGg</f>
        <v>0.26744846734101618</v>
      </c>
      <c r="BK117" s="22">
        <f>'Activity data'!BK76*UDSOEF*NtoN2O*kgtoGg</f>
        <v>0.27346123494877028</v>
      </c>
      <c r="BL117" s="22">
        <f>'Activity data'!BL76*UDSOEF*NtoN2O*kgtoGg</f>
        <v>0.28001640122894406</v>
      </c>
      <c r="BM117" s="22">
        <f>'Activity data'!BM76*UDSOEF*NtoN2O*kgtoGg</f>
        <v>0.28684596354740477</v>
      </c>
      <c r="BN117" s="22">
        <f>'Activity data'!BN76*UDSOEF*NtoN2O*kgtoGg</f>
        <v>0.29361749861991027</v>
      </c>
      <c r="BO117" s="22">
        <f>'Activity data'!BO76*UDSOEF*NtoN2O*kgtoGg</f>
        <v>0.30069007391279845</v>
      </c>
      <c r="BP117" s="22">
        <f>'Activity data'!BP76*UDSOEF*NtoN2O*kgtoGg</f>
        <v>0.30814558850736418</v>
      </c>
    </row>
    <row r="118" spans="1:68" x14ac:dyDescent="0.25">
      <c r="A118" t="str">
        <f t="shared" si="29"/>
        <v>3C Aggregated and non-CO2 emissions on land</v>
      </c>
      <c r="B118" t="str">
        <f t="shared" si="31"/>
        <v>3C4 Direct N2O from managed soils (N2O)</v>
      </c>
      <c r="C118" t="s">
        <v>422</v>
      </c>
      <c r="D118" t="str">
        <f t="shared" si="38"/>
        <v xml:space="preserve"> - Mules &amp; Asses</v>
      </c>
      <c r="E118" t="str">
        <f t="shared" si="32"/>
        <v>U&amp;D emissions - Mules &amp; Asses</v>
      </c>
      <c r="F118" t="str">
        <f t="shared" si="36"/>
        <v>N2O</v>
      </c>
      <c r="G118" t="str">
        <f t="shared" si="37"/>
        <v>Gg N2O</v>
      </c>
      <c r="H118" s="22">
        <f>'Activity data'!H77*UDSOEF*NtoN2O*kgtoGg</f>
        <v>4.6463999999999998E-2</v>
      </c>
      <c r="I118" s="22">
        <f>'Activity data'!I77*UDSOEF*NtoN2O*kgtoGg</f>
        <v>4.6463999999999998E-2</v>
      </c>
      <c r="J118" s="22">
        <f>'Activity data'!J77*UDSOEF*NtoN2O*kgtoGg</f>
        <v>4.6463999999999998E-2</v>
      </c>
      <c r="K118" s="22">
        <f>'Activity data'!K77*UDSOEF*NtoN2O*kgtoGg</f>
        <v>4.6463999999999998E-2</v>
      </c>
      <c r="L118" s="22">
        <f>'Activity data'!L77*UDSOEF*NtoN2O*kgtoGg</f>
        <v>4.6463999999999998E-2</v>
      </c>
      <c r="M118" s="22">
        <f>'Activity data'!M77*UDSOEF*NtoN2O*kgtoGg</f>
        <v>4.6463999999999998E-2</v>
      </c>
      <c r="N118" s="22">
        <f>'Activity data'!N77*UDSOEF*NtoN2O*kgtoGg</f>
        <v>4.6463999999999998E-2</v>
      </c>
      <c r="O118" s="22">
        <f>'Activity data'!O77*UDSOEF*NtoN2O*kgtoGg</f>
        <v>4.6463999999999998E-2</v>
      </c>
      <c r="P118" s="22">
        <f>'Activity data'!P77*UDSOEF*NtoN2O*kgtoGg</f>
        <v>4.6463999999999998E-2</v>
      </c>
      <c r="Q118" s="22">
        <f>'Activity data'!Q77*UDSOEF*NtoN2O*kgtoGg</f>
        <v>4.6463999999999998E-2</v>
      </c>
      <c r="R118" s="22">
        <f>'Activity data'!R77*UDSOEF*NtoN2O*kgtoGg</f>
        <v>3.4018285714285709E-2</v>
      </c>
      <c r="S118" s="22">
        <f>'Activity data'!S77*UDSOEF*NtoN2O*kgtoGg</f>
        <v>3.4018285714285709E-2</v>
      </c>
      <c r="T118" s="22">
        <f>'Activity data'!T77*UDSOEF*NtoN2O*kgtoGg</f>
        <v>3.4018285714285709E-2</v>
      </c>
      <c r="U118" s="22">
        <f>'Activity data'!U77*UDSOEF*NtoN2O*kgtoGg</f>
        <v>3.4018285714285709E-2</v>
      </c>
      <c r="V118" s="22">
        <f>'Activity data'!V77*UDSOEF*NtoN2O*kgtoGg</f>
        <v>3.4018285714285709E-2</v>
      </c>
      <c r="W118" s="22">
        <f>'Activity data'!W77*UDSOEF*NtoN2O*kgtoGg</f>
        <v>3.4018285714285709E-2</v>
      </c>
      <c r="X118" s="22">
        <f>'Activity data'!X77*UDSOEF*NtoN2O*kgtoGg</f>
        <v>3.4028657142857147E-2</v>
      </c>
      <c r="Y118" s="22">
        <f>'Activity data'!Y77*UDSOEF*NtoN2O*kgtoGg</f>
        <v>3.414274285714286E-2</v>
      </c>
      <c r="Z118" s="22">
        <f>'Activity data'!Z77*UDSOEF*NtoN2O*kgtoGg</f>
        <v>3.4163485714285714E-2</v>
      </c>
      <c r="AA118" s="22">
        <f>'Activity data'!AA77*UDSOEF*NtoN2O*kgtoGg</f>
        <v>3.4184228571428575E-2</v>
      </c>
      <c r="AB118" s="22">
        <f>'Activity data'!AB77*UDSOEF*NtoN2O*kgtoGg</f>
        <v>3.4495371428571432E-2</v>
      </c>
      <c r="AC118" s="22">
        <f>'Activity data'!AC77*UDSOEF*NtoN2O*kgtoGg</f>
        <v>3.4640571428571423E-2</v>
      </c>
      <c r="AD118" s="22">
        <f>'Activity data'!AD77*UDSOEF*NtoN2O*kgtoGg</f>
        <v>3.4640571428571423E-2</v>
      </c>
      <c r="AE118" s="22">
        <f>'Activity data'!AE77*UDSOEF*NtoN2O*kgtoGg</f>
        <v>3.4640571428571423E-2</v>
      </c>
      <c r="AF118" s="22">
        <f>'Activity data'!AF77*UDSOEF*NtoN2O*kgtoGg</f>
        <v>3.4640571428571423E-2</v>
      </c>
      <c r="AG118" s="22">
        <f>'Activity data'!AG77*UDSOEF*NtoN2O*kgtoGg</f>
        <v>3.4640571428571423E-2</v>
      </c>
      <c r="AH118" s="22">
        <f>'Activity data'!AH77*UDSOEF*NtoN2O*kgtoGg</f>
        <v>3.4640571428571423E-2</v>
      </c>
      <c r="AI118" s="22">
        <f>'Activity data'!AI77*UDSOEF*NtoN2O*kgtoGg</f>
        <v>3.4640571428571423E-2</v>
      </c>
      <c r="AJ118" s="22">
        <f>'Activity data'!AJ77*UDSOEF*NtoN2O*kgtoGg</f>
        <v>3.4640571428571423E-2</v>
      </c>
      <c r="AK118" s="22">
        <f>'Activity data'!AK77*UDSOEF*NtoN2O*kgtoGg</f>
        <v>3.4640571428571423E-2</v>
      </c>
      <c r="AL118" s="22">
        <f>'Activity data'!AL77*UDSOEF*NtoN2O*kgtoGg</f>
        <v>3.4640571428571423E-2</v>
      </c>
      <c r="AM118" s="22">
        <f>'Activity data'!AM77*UDSOEF*NtoN2O*kgtoGg</f>
        <v>3.4640571428571423E-2</v>
      </c>
      <c r="AN118" s="22">
        <f>'Activity data'!AN77*UDSOEF*NtoN2O*kgtoGg</f>
        <v>3.4640571428571423E-2</v>
      </c>
      <c r="AO118" s="22">
        <f>'Activity data'!AO77*UDSOEF*NtoN2O*kgtoGg</f>
        <v>3.4640571428571423E-2</v>
      </c>
      <c r="AP118" s="22">
        <f>'Activity data'!AP77*UDSOEF*NtoN2O*kgtoGg</f>
        <v>3.4640571428571423E-2</v>
      </c>
      <c r="AQ118" s="22">
        <f>'Activity data'!AQ77*UDSOEF*NtoN2O*kgtoGg</f>
        <v>3.4640571428571423E-2</v>
      </c>
      <c r="AR118" s="22">
        <f>'Activity data'!AR77*UDSOEF*NtoN2O*kgtoGg</f>
        <v>3.4640571428571423E-2</v>
      </c>
      <c r="AS118" s="22">
        <f>'Activity data'!AS77*UDSOEF*NtoN2O*kgtoGg</f>
        <v>3.4640571428571423E-2</v>
      </c>
      <c r="AT118" s="22">
        <f>'Activity data'!AT77*UDSOEF*NtoN2O*kgtoGg</f>
        <v>3.4640571428571423E-2</v>
      </c>
      <c r="AU118" s="22">
        <f>'Activity data'!AU77*UDSOEF*NtoN2O*kgtoGg</f>
        <v>3.4640571428571423E-2</v>
      </c>
      <c r="AV118" s="22">
        <f>'Activity data'!AV77*UDSOEF*NtoN2O*kgtoGg</f>
        <v>3.4640571428571423E-2</v>
      </c>
      <c r="AW118" s="22">
        <f>'Activity data'!AW77*UDSOEF*NtoN2O*kgtoGg</f>
        <v>3.4640571428571423E-2</v>
      </c>
      <c r="AX118" s="22">
        <f>'Activity data'!AX77*UDSOEF*NtoN2O*kgtoGg</f>
        <v>3.4640571428571423E-2</v>
      </c>
      <c r="AY118" s="22">
        <f>'Activity data'!AY77*UDSOEF*NtoN2O*kgtoGg</f>
        <v>3.4640571428571423E-2</v>
      </c>
      <c r="AZ118" s="22">
        <f>'Activity data'!AZ77*UDSOEF*NtoN2O*kgtoGg</f>
        <v>3.4640571428571423E-2</v>
      </c>
      <c r="BA118" s="22">
        <f>'Activity data'!BA77*UDSOEF*NtoN2O*kgtoGg</f>
        <v>3.4640571428571423E-2</v>
      </c>
      <c r="BB118" s="22">
        <f>'Activity data'!BB77*UDSOEF*NtoN2O*kgtoGg</f>
        <v>3.4640571428571423E-2</v>
      </c>
      <c r="BC118" s="22">
        <f>'Activity data'!BC77*UDSOEF*NtoN2O*kgtoGg</f>
        <v>3.4640571428571423E-2</v>
      </c>
      <c r="BD118" s="22">
        <f>'Activity data'!BD77*UDSOEF*NtoN2O*kgtoGg</f>
        <v>3.4640571428571423E-2</v>
      </c>
      <c r="BE118" s="22">
        <f>'Activity data'!BE77*UDSOEF*NtoN2O*kgtoGg</f>
        <v>3.4640571428571423E-2</v>
      </c>
      <c r="BF118" s="22">
        <f>'Activity data'!BF77*UDSOEF*NtoN2O*kgtoGg</f>
        <v>3.4640571428571423E-2</v>
      </c>
      <c r="BG118" s="22">
        <f>'Activity data'!BG77*UDSOEF*NtoN2O*kgtoGg</f>
        <v>3.4640571428571423E-2</v>
      </c>
      <c r="BH118" s="22">
        <f>'Activity data'!BH77*UDSOEF*NtoN2O*kgtoGg</f>
        <v>3.4640571428571423E-2</v>
      </c>
      <c r="BI118" s="22">
        <f>'Activity data'!BI77*UDSOEF*NtoN2O*kgtoGg</f>
        <v>3.4640571428571423E-2</v>
      </c>
      <c r="BJ118" s="22">
        <f>'Activity data'!BJ77*UDSOEF*NtoN2O*kgtoGg</f>
        <v>3.4640571428571423E-2</v>
      </c>
      <c r="BK118" s="22">
        <f>'Activity data'!BK77*UDSOEF*NtoN2O*kgtoGg</f>
        <v>3.4640571428571423E-2</v>
      </c>
      <c r="BL118" s="22">
        <f>'Activity data'!BL77*UDSOEF*NtoN2O*kgtoGg</f>
        <v>3.4640571428571423E-2</v>
      </c>
      <c r="BM118" s="22">
        <f>'Activity data'!BM77*UDSOEF*NtoN2O*kgtoGg</f>
        <v>3.4640571428571423E-2</v>
      </c>
      <c r="BN118" s="22">
        <f>'Activity data'!BN77*UDSOEF*NtoN2O*kgtoGg</f>
        <v>3.4640571428571423E-2</v>
      </c>
      <c r="BO118" s="22">
        <f>'Activity data'!BO77*UDSOEF*NtoN2O*kgtoGg</f>
        <v>3.4640571428571423E-2</v>
      </c>
      <c r="BP118" s="22">
        <f>'Activity data'!BP77*UDSOEF*NtoN2O*kgtoGg</f>
        <v>3.4640571428571423E-2</v>
      </c>
    </row>
    <row r="119" spans="1:68" x14ac:dyDescent="0.25">
      <c r="A119" t="str">
        <f t="shared" si="29"/>
        <v>3C Aggregated and non-CO2 emissions on land</v>
      </c>
      <c r="B119" t="str">
        <f t="shared" si="31"/>
        <v>3C4 Direct N2O from managed soils (N2O)</v>
      </c>
      <c r="C119" t="s">
        <v>422</v>
      </c>
      <c r="D119" t="str">
        <f t="shared" si="38"/>
        <v xml:space="preserve"> - Commercial swine</v>
      </c>
      <c r="E119" t="str">
        <f t="shared" si="32"/>
        <v>U&amp;D emissions - Commercial swine</v>
      </c>
      <c r="F119" t="str">
        <f t="shared" si="36"/>
        <v>N2O</v>
      </c>
      <c r="G119" t="str">
        <f t="shared" si="37"/>
        <v>Gg N2O</v>
      </c>
      <c r="H119" s="22">
        <f>'Activity data'!H78*UDCPPEF*NtoN2O*kgtoGg</f>
        <v>0</v>
      </c>
      <c r="I119" s="22">
        <f>'Activity data'!I78*UDCPPEF*NtoN2O*kgtoGg</f>
        <v>0</v>
      </c>
      <c r="J119" s="22">
        <f>'Activity data'!J78*UDCPPEF*NtoN2O*kgtoGg</f>
        <v>0</v>
      </c>
      <c r="K119" s="22">
        <f>'Activity data'!K78*UDCPPEF*NtoN2O*kgtoGg</f>
        <v>0</v>
      </c>
      <c r="L119" s="22">
        <f>'Activity data'!L78*UDCPPEF*NtoN2O*kgtoGg</f>
        <v>0</v>
      </c>
      <c r="M119" s="22">
        <f>'Activity data'!M78*UDCPPEF*NtoN2O*kgtoGg</f>
        <v>0</v>
      </c>
      <c r="N119" s="22">
        <f>'Activity data'!N78*UDCPPEF*NtoN2O*kgtoGg</f>
        <v>0</v>
      </c>
      <c r="O119" s="22">
        <f>'Activity data'!O78*UDCPPEF*NtoN2O*kgtoGg</f>
        <v>0</v>
      </c>
      <c r="P119" s="22">
        <f>'Activity data'!P78*UDCPPEF*NtoN2O*kgtoGg</f>
        <v>0</v>
      </c>
      <c r="Q119" s="22">
        <f>'Activity data'!Q78*UDCPPEF*NtoN2O*kgtoGg</f>
        <v>0</v>
      </c>
      <c r="R119" s="22">
        <f>'Activity data'!R78*UDCPPEF*NtoN2O*kgtoGg</f>
        <v>0</v>
      </c>
      <c r="S119" s="22">
        <f>'Activity data'!S78*UDCPPEF*NtoN2O*kgtoGg</f>
        <v>0</v>
      </c>
      <c r="T119" s="22">
        <f>'Activity data'!T78*UDCPPEF*NtoN2O*kgtoGg</f>
        <v>0</v>
      </c>
      <c r="U119" s="22">
        <f>'Activity data'!U78*UDCPPEF*NtoN2O*kgtoGg</f>
        <v>0</v>
      </c>
      <c r="V119" s="22">
        <f>'Activity data'!V78*UDCPPEF*NtoN2O*kgtoGg</f>
        <v>0</v>
      </c>
      <c r="W119" s="22">
        <f>'Activity data'!W78*UDCPPEF*NtoN2O*kgtoGg</f>
        <v>0</v>
      </c>
      <c r="X119" s="22">
        <f>'Activity data'!X78*UDCPPEF*NtoN2O*kgtoGg</f>
        <v>0</v>
      </c>
      <c r="Y119" s="22">
        <f>'Activity data'!Y78*UDCPPEF*NtoN2O*kgtoGg</f>
        <v>0</v>
      </c>
      <c r="Z119" s="22">
        <f>'Activity data'!Z78*UDCPPEF*NtoN2O*kgtoGg</f>
        <v>0</v>
      </c>
      <c r="AA119" s="22">
        <f>'Activity data'!AA78*UDCPPEF*NtoN2O*kgtoGg</f>
        <v>0</v>
      </c>
      <c r="AB119" s="22">
        <f>'Activity data'!AB78*UDCPPEF*NtoN2O*kgtoGg</f>
        <v>0</v>
      </c>
      <c r="AC119" s="22">
        <f>'Activity data'!AC78*UDCPPEF*NtoN2O*kgtoGg</f>
        <v>0</v>
      </c>
      <c r="AD119" s="22">
        <f>'Activity data'!AD78*UDCPPEF*NtoN2O*kgtoGg</f>
        <v>0</v>
      </c>
      <c r="AE119" s="22">
        <f>'Activity data'!AE78*UDCPPEF*NtoN2O*kgtoGg</f>
        <v>0</v>
      </c>
      <c r="AF119" s="22">
        <f>'Activity data'!AF78*UDCPPEF*NtoN2O*kgtoGg</f>
        <v>0</v>
      </c>
      <c r="AG119" s="22">
        <f>'Activity data'!AG78*UDCPPEF*NtoN2O*kgtoGg</f>
        <v>0</v>
      </c>
      <c r="AH119" s="22">
        <f>'Activity data'!AH78*UDCPPEF*NtoN2O*kgtoGg</f>
        <v>0</v>
      </c>
      <c r="AI119" s="22">
        <f>'Activity data'!AI78*UDCPPEF*NtoN2O*kgtoGg</f>
        <v>0</v>
      </c>
      <c r="AJ119" s="22">
        <f>'Activity data'!AJ78*UDCPPEF*NtoN2O*kgtoGg</f>
        <v>0</v>
      </c>
      <c r="AK119" s="22">
        <f>'Activity data'!AK78*UDCPPEF*NtoN2O*kgtoGg</f>
        <v>0</v>
      </c>
      <c r="AL119" s="22">
        <f>'Activity data'!AL78*UDCPPEF*NtoN2O*kgtoGg</f>
        <v>0</v>
      </c>
      <c r="AM119" s="22">
        <f>'Activity data'!AM78*UDCPPEF*NtoN2O*kgtoGg</f>
        <v>0</v>
      </c>
      <c r="AN119" s="22">
        <f>'Activity data'!AN78*UDCPPEF*NtoN2O*kgtoGg</f>
        <v>0</v>
      </c>
      <c r="AO119" s="22">
        <f>'Activity data'!AO78*UDCPPEF*NtoN2O*kgtoGg</f>
        <v>0</v>
      </c>
      <c r="AP119" s="22">
        <f>'Activity data'!AP78*UDCPPEF*NtoN2O*kgtoGg</f>
        <v>0</v>
      </c>
      <c r="AQ119" s="22">
        <f>'Activity data'!AQ78*UDCPPEF*NtoN2O*kgtoGg</f>
        <v>0</v>
      </c>
      <c r="AR119" s="22">
        <f>'Activity data'!AR78*UDCPPEF*NtoN2O*kgtoGg</f>
        <v>0</v>
      </c>
      <c r="AS119" s="22">
        <f>'Activity data'!AS78*UDCPPEF*NtoN2O*kgtoGg</f>
        <v>0</v>
      </c>
      <c r="AT119" s="22">
        <f>'Activity data'!AT78*UDCPPEF*NtoN2O*kgtoGg</f>
        <v>0</v>
      </c>
      <c r="AU119" s="22">
        <f>'Activity data'!AU78*UDCPPEF*NtoN2O*kgtoGg</f>
        <v>0</v>
      </c>
      <c r="AV119" s="22">
        <f>'Activity data'!AV78*UDCPPEF*NtoN2O*kgtoGg</f>
        <v>0</v>
      </c>
      <c r="AW119" s="22">
        <f>'Activity data'!AW78*UDCPPEF*NtoN2O*kgtoGg</f>
        <v>0</v>
      </c>
      <c r="AX119" s="22">
        <f>'Activity data'!AX78*UDCPPEF*NtoN2O*kgtoGg</f>
        <v>0</v>
      </c>
      <c r="AY119" s="22">
        <f>'Activity data'!AY78*UDCPPEF*NtoN2O*kgtoGg</f>
        <v>0</v>
      </c>
      <c r="AZ119" s="22">
        <f>'Activity data'!AZ78*UDCPPEF*NtoN2O*kgtoGg</f>
        <v>0</v>
      </c>
      <c r="BA119" s="22">
        <f>'Activity data'!BA78*UDCPPEF*NtoN2O*kgtoGg</f>
        <v>0</v>
      </c>
      <c r="BB119" s="22">
        <f>'Activity data'!BB78*UDCPPEF*NtoN2O*kgtoGg</f>
        <v>0</v>
      </c>
      <c r="BC119" s="22">
        <f>'Activity data'!BC78*UDCPPEF*NtoN2O*kgtoGg</f>
        <v>0</v>
      </c>
      <c r="BD119" s="22">
        <f>'Activity data'!BD78*UDCPPEF*NtoN2O*kgtoGg</f>
        <v>0</v>
      </c>
      <c r="BE119" s="22">
        <f>'Activity data'!BE78*UDCPPEF*NtoN2O*kgtoGg</f>
        <v>0</v>
      </c>
      <c r="BF119" s="22">
        <f>'Activity data'!BF78*UDCPPEF*NtoN2O*kgtoGg</f>
        <v>0</v>
      </c>
      <c r="BG119" s="22">
        <f>'Activity data'!BG78*UDCPPEF*NtoN2O*kgtoGg</f>
        <v>0</v>
      </c>
      <c r="BH119" s="22">
        <f>'Activity data'!BH78*UDCPPEF*NtoN2O*kgtoGg</f>
        <v>0</v>
      </c>
      <c r="BI119" s="22">
        <f>'Activity data'!BI78*UDCPPEF*NtoN2O*kgtoGg</f>
        <v>0</v>
      </c>
      <c r="BJ119" s="22">
        <f>'Activity data'!BJ78*UDCPPEF*NtoN2O*kgtoGg</f>
        <v>0</v>
      </c>
      <c r="BK119" s="22">
        <f>'Activity data'!BK78*UDCPPEF*NtoN2O*kgtoGg</f>
        <v>0</v>
      </c>
      <c r="BL119" s="22">
        <f>'Activity data'!BL78*UDCPPEF*NtoN2O*kgtoGg</f>
        <v>0</v>
      </c>
      <c r="BM119" s="22">
        <f>'Activity data'!BM78*UDCPPEF*NtoN2O*kgtoGg</f>
        <v>0</v>
      </c>
      <c r="BN119" s="22">
        <f>'Activity data'!BN78*UDCPPEF*NtoN2O*kgtoGg</f>
        <v>0</v>
      </c>
      <c r="BO119" s="22">
        <f>'Activity data'!BO78*UDCPPEF*NtoN2O*kgtoGg</f>
        <v>0</v>
      </c>
      <c r="BP119" s="22">
        <f>'Activity data'!BP78*UDCPPEF*NtoN2O*kgtoGg</f>
        <v>0</v>
      </c>
    </row>
    <row r="120" spans="1:68" x14ac:dyDescent="0.25">
      <c r="A120" t="str">
        <f t="shared" si="29"/>
        <v>3C Aggregated and non-CO2 emissions on land</v>
      </c>
      <c r="B120" t="str">
        <f t="shared" si="31"/>
        <v>3C4 Direct N2O from managed soils (N2O)</v>
      </c>
      <c r="C120" t="s">
        <v>422</v>
      </c>
      <c r="D120" t="str">
        <f t="shared" si="38"/>
        <v xml:space="preserve"> - Subsistence swine</v>
      </c>
      <c r="E120" t="str">
        <f t="shared" si="32"/>
        <v>U&amp;D emissions - Subsistence swine</v>
      </c>
      <c r="F120" t="str">
        <f t="shared" si="36"/>
        <v>N2O</v>
      </c>
      <c r="G120" t="str">
        <f t="shared" si="37"/>
        <v>Gg N2O</v>
      </c>
      <c r="H120" s="22">
        <f>'Activity data'!H79*UDCPPEF*NtoN2O*kgtoGg</f>
        <v>0</v>
      </c>
      <c r="I120" s="22">
        <f>'Activity data'!I79*UDCPPEF*NtoN2O*kgtoGg</f>
        <v>0</v>
      </c>
      <c r="J120" s="22">
        <f>'Activity data'!J79*UDCPPEF*NtoN2O*kgtoGg</f>
        <v>0</v>
      </c>
      <c r="K120" s="22">
        <f>'Activity data'!K79*UDCPPEF*NtoN2O*kgtoGg</f>
        <v>0</v>
      </c>
      <c r="L120" s="22">
        <f>'Activity data'!L79*UDCPPEF*NtoN2O*kgtoGg</f>
        <v>0</v>
      </c>
      <c r="M120" s="22">
        <f>'Activity data'!M79*UDCPPEF*NtoN2O*kgtoGg</f>
        <v>0</v>
      </c>
      <c r="N120" s="22">
        <f>'Activity data'!N79*UDCPPEF*NtoN2O*kgtoGg</f>
        <v>0</v>
      </c>
      <c r="O120" s="22">
        <f>'Activity data'!O79*UDCPPEF*NtoN2O*kgtoGg</f>
        <v>0</v>
      </c>
      <c r="P120" s="22">
        <f>'Activity data'!P79*UDCPPEF*NtoN2O*kgtoGg</f>
        <v>0</v>
      </c>
      <c r="Q120" s="22">
        <f>'Activity data'!Q79*UDCPPEF*NtoN2O*kgtoGg</f>
        <v>0</v>
      </c>
      <c r="R120" s="22">
        <f>'Activity data'!R79*UDCPPEF*NtoN2O*kgtoGg</f>
        <v>0</v>
      </c>
      <c r="S120" s="22">
        <f>'Activity data'!S79*UDCPPEF*NtoN2O*kgtoGg</f>
        <v>0</v>
      </c>
      <c r="T120" s="22">
        <f>'Activity data'!T79*UDCPPEF*NtoN2O*kgtoGg</f>
        <v>0</v>
      </c>
      <c r="U120" s="22">
        <f>'Activity data'!U79*UDCPPEF*NtoN2O*kgtoGg</f>
        <v>0</v>
      </c>
      <c r="V120" s="22">
        <f>'Activity data'!V79*UDCPPEF*NtoN2O*kgtoGg</f>
        <v>0</v>
      </c>
      <c r="W120" s="22">
        <f>'Activity data'!W79*UDCPPEF*NtoN2O*kgtoGg</f>
        <v>0</v>
      </c>
      <c r="X120" s="22">
        <f>'Activity data'!X79*UDCPPEF*NtoN2O*kgtoGg</f>
        <v>0</v>
      </c>
      <c r="Y120" s="22">
        <f>'Activity data'!Y79*UDCPPEF*NtoN2O*kgtoGg</f>
        <v>0</v>
      </c>
      <c r="Z120" s="22">
        <f>'Activity data'!Z79*UDCPPEF*NtoN2O*kgtoGg</f>
        <v>0</v>
      </c>
      <c r="AA120" s="22">
        <f>'Activity data'!AA79*UDCPPEF*NtoN2O*kgtoGg</f>
        <v>0</v>
      </c>
      <c r="AB120" s="22">
        <f>'Activity data'!AB79*UDCPPEF*NtoN2O*kgtoGg</f>
        <v>0</v>
      </c>
      <c r="AC120" s="22">
        <f>'Activity data'!AC79*UDCPPEF*NtoN2O*kgtoGg</f>
        <v>0</v>
      </c>
      <c r="AD120" s="22">
        <f>'Activity data'!AD79*UDCPPEF*NtoN2O*kgtoGg</f>
        <v>0</v>
      </c>
      <c r="AE120" s="22">
        <f>'Activity data'!AE79*UDCPPEF*NtoN2O*kgtoGg</f>
        <v>0</v>
      </c>
      <c r="AF120" s="22">
        <f>'Activity data'!AF79*UDCPPEF*NtoN2O*kgtoGg</f>
        <v>0</v>
      </c>
      <c r="AG120" s="22">
        <f>'Activity data'!AG79*UDCPPEF*NtoN2O*kgtoGg</f>
        <v>0</v>
      </c>
      <c r="AH120" s="22">
        <f>'Activity data'!AH79*UDCPPEF*NtoN2O*kgtoGg</f>
        <v>0</v>
      </c>
      <c r="AI120" s="22">
        <f>'Activity data'!AI79*UDCPPEF*NtoN2O*kgtoGg</f>
        <v>0</v>
      </c>
      <c r="AJ120" s="22">
        <f>'Activity data'!AJ79*UDCPPEF*NtoN2O*kgtoGg</f>
        <v>0</v>
      </c>
      <c r="AK120" s="22">
        <f>'Activity data'!AK79*UDCPPEF*NtoN2O*kgtoGg</f>
        <v>0</v>
      </c>
      <c r="AL120" s="22">
        <f>'Activity data'!AL79*UDCPPEF*NtoN2O*kgtoGg</f>
        <v>0</v>
      </c>
      <c r="AM120" s="22">
        <f>'Activity data'!AM79*UDCPPEF*NtoN2O*kgtoGg</f>
        <v>0</v>
      </c>
      <c r="AN120" s="22">
        <f>'Activity data'!AN79*UDCPPEF*NtoN2O*kgtoGg</f>
        <v>0</v>
      </c>
      <c r="AO120" s="22">
        <f>'Activity data'!AO79*UDCPPEF*NtoN2O*kgtoGg</f>
        <v>0</v>
      </c>
      <c r="AP120" s="22">
        <f>'Activity data'!AP79*UDCPPEF*NtoN2O*kgtoGg</f>
        <v>0</v>
      </c>
      <c r="AQ120" s="22">
        <f>'Activity data'!AQ79*UDCPPEF*NtoN2O*kgtoGg</f>
        <v>0</v>
      </c>
      <c r="AR120" s="22">
        <f>'Activity data'!AR79*UDCPPEF*NtoN2O*kgtoGg</f>
        <v>0</v>
      </c>
      <c r="AS120" s="22">
        <f>'Activity data'!AS79*UDCPPEF*NtoN2O*kgtoGg</f>
        <v>0</v>
      </c>
      <c r="AT120" s="22">
        <f>'Activity data'!AT79*UDCPPEF*NtoN2O*kgtoGg</f>
        <v>0</v>
      </c>
      <c r="AU120" s="22">
        <f>'Activity data'!AU79*UDCPPEF*NtoN2O*kgtoGg</f>
        <v>0</v>
      </c>
      <c r="AV120" s="22">
        <f>'Activity data'!AV79*UDCPPEF*NtoN2O*kgtoGg</f>
        <v>0</v>
      </c>
      <c r="AW120" s="22">
        <f>'Activity data'!AW79*UDCPPEF*NtoN2O*kgtoGg</f>
        <v>0</v>
      </c>
      <c r="AX120" s="22">
        <f>'Activity data'!AX79*UDCPPEF*NtoN2O*kgtoGg</f>
        <v>0</v>
      </c>
      <c r="AY120" s="22">
        <f>'Activity data'!AY79*UDCPPEF*NtoN2O*kgtoGg</f>
        <v>0</v>
      </c>
      <c r="AZ120" s="22">
        <f>'Activity data'!AZ79*UDCPPEF*NtoN2O*kgtoGg</f>
        <v>0</v>
      </c>
      <c r="BA120" s="22">
        <f>'Activity data'!BA79*UDCPPEF*NtoN2O*kgtoGg</f>
        <v>0</v>
      </c>
      <c r="BB120" s="22">
        <f>'Activity data'!BB79*UDCPPEF*NtoN2O*kgtoGg</f>
        <v>0</v>
      </c>
      <c r="BC120" s="22">
        <f>'Activity data'!BC79*UDCPPEF*NtoN2O*kgtoGg</f>
        <v>0</v>
      </c>
      <c r="BD120" s="22">
        <f>'Activity data'!BD79*UDCPPEF*NtoN2O*kgtoGg</f>
        <v>0</v>
      </c>
      <c r="BE120" s="22">
        <f>'Activity data'!BE79*UDCPPEF*NtoN2O*kgtoGg</f>
        <v>0</v>
      </c>
      <c r="BF120" s="22">
        <f>'Activity data'!BF79*UDCPPEF*NtoN2O*kgtoGg</f>
        <v>0</v>
      </c>
      <c r="BG120" s="22">
        <f>'Activity data'!BG79*UDCPPEF*NtoN2O*kgtoGg</f>
        <v>0</v>
      </c>
      <c r="BH120" s="22">
        <f>'Activity data'!BH79*UDCPPEF*NtoN2O*kgtoGg</f>
        <v>0</v>
      </c>
      <c r="BI120" s="22">
        <f>'Activity data'!BI79*UDCPPEF*NtoN2O*kgtoGg</f>
        <v>0</v>
      </c>
      <c r="BJ120" s="22">
        <f>'Activity data'!BJ79*UDCPPEF*NtoN2O*kgtoGg</f>
        <v>0</v>
      </c>
      <c r="BK120" s="22">
        <f>'Activity data'!BK79*UDCPPEF*NtoN2O*kgtoGg</f>
        <v>0</v>
      </c>
      <c r="BL120" s="22">
        <f>'Activity data'!BL79*UDCPPEF*NtoN2O*kgtoGg</f>
        <v>0</v>
      </c>
      <c r="BM120" s="22">
        <f>'Activity data'!BM79*UDCPPEF*NtoN2O*kgtoGg</f>
        <v>0</v>
      </c>
      <c r="BN120" s="22">
        <f>'Activity data'!BN79*UDCPPEF*NtoN2O*kgtoGg</f>
        <v>0</v>
      </c>
      <c r="BO120" s="22">
        <f>'Activity data'!BO79*UDCPPEF*NtoN2O*kgtoGg</f>
        <v>0</v>
      </c>
      <c r="BP120" s="22">
        <f>'Activity data'!BP79*UDCPPEF*NtoN2O*kgtoGg</f>
        <v>0</v>
      </c>
    </row>
    <row r="121" spans="1:68" x14ac:dyDescent="0.25">
      <c r="A121" t="str">
        <f t="shared" si="29"/>
        <v>3C Aggregated and non-CO2 emissions on land</v>
      </c>
      <c r="B121" t="str">
        <f t="shared" si="31"/>
        <v>3C4 Direct N2O from managed soils (N2O)</v>
      </c>
      <c r="C121" t="s">
        <v>422</v>
      </c>
      <c r="D121" t="str">
        <f t="shared" si="38"/>
        <v xml:space="preserve"> - Commercial layers</v>
      </c>
      <c r="E121" t="str">
        <f t="shared" si="32"/>
        <v>U&amp;D emissions - Commercial layers</v>
      </c>
      <c r="F121" t="str">
        <f t="shared" si="36"/>
        <v>N2O</v>
      </c>
      <c r="G121" t="str">
        <f t="shared" si="37"/>
        <v>Gg N2O</v>
      </c>
      <c r="H121" s="22">
        <f>'Activity data'!H80*UDCPPEF*NtoN2O*kgtoGg</f>
        <v>0</v>
      </c>
      <c r="I121" s="22">
        <f>'Activity data'!I80*UDCPPEF*NtoN2O*kgtoGg</f>
        <v>0</v>
      </c>
      <c r="J121" s="22">
        <f>'Activity data'!J80*UDCPPEF*NtoN2O*kgtoGg</f>
        <v>0</v>
      </c>
      <c r="K121" s="22">
        <f>'Activity data'!K80*UDCPPEF*NtoN2O*kgtoGg</f>
        <v>0</v>
      </c>
      <c r="L121" s="22">
        <f>'Activity data'!L80*UDCPPEF*NtoN2O*kgtoGg</f>
        <v>0</v>
      </c>
      <c r="M121" s="22">
        <f>'Activity data'!M80*UDCPPEF*NtoN2O*kgtoGg</f>
        <v>0</v>
      </c>
      <c r="N121" s="22">
        <f>'Activity data'!N80*UDCPPEF*NtoN2O*kgtoGg</f>
        <v>0</v>
      </c>
      <c r="O121" s="22">
        <f>'Activity data'!O80*UDCPPEF*NtoN2O*kgtoGg</f>
        <v>0</v>
      </c>
      <c r="P121" s="22">
        <f>'Activity data'!P80*UDCPPEF*NtoN2O*kgtoGg</f>
        <v>0</v>
      </c>
      <c r="Q121" s="22">
        <f>'Activity data'!Q80*UDCPPEF*NtoN2O*kgtoGg</f>
        <v>0</v>
      </c>
      <c r="R121" s="22">
        <f>'Activity data'!R80*UDCPPEF*NtoN2O*kgtoGg</f>
        <v>0</v>
      </c>
      <c r="S121" s="22">
        <f>'Activity data'!S80*UDCPPEF*NtoN2O*kgtoGg</f>
        <v>0</v>
      </c>
      <c r="T121" s="22">
        <f>'Activity data'!T80*UDCPPEF*NtoN2O*kgtoGg</f>
        <v>0</v>
      </c>
      <c r="U121" s="22">
        <f>'Activity data'!U80*UDCPPEF*NtoN2O*kgtoGg</f>
        <v>0</v>
      </c>
      <c r="V121" s="22">
        <f>'Activity data'!V80*UDCPPEF*NtoN2O*kgtoGg</f>
        <v>0</v>
      </c>
      <c r="W121" s="22">
        <f>'Activity data'!W80*UDCPPEF*NtoN2O*kgtoGg</f>
        <v>0</v>
      </c>
      <c r="X121" s="22">
        <f>'Activity data'!X80*UDCPPEF*NtoN2O*kgtoGg</f>
        <v>0</v>
      </c>
      <c r="Y121" s="22">
        <f>'Activity data'!Y80*UDCPPEF*NtoN2O*kgtoGg</f>
        <v>0</v>
      </c>
      <c r="Z121" s="22">
        <f>'Activity data'!Z80*UDCPPEF*NtoN2O*kgtoGg</f>
        <v>0</v>
      </c>
      <c r="AA121" s="22">
        <f>'Activity data'!AA80*UDCPPEF*NtoN2O*kgtoGg</f>
        <v>0</v>
      </c>
      <c r="AB121" s="22">
        <f>'Activity data'!AB80*UDCPPEF*NtoN2O*kgtoGg</f>
        <v>0</v>
      </c>
      <c r="AC121" s="22">
        <f>'Activity data'!AC80*UDCPPEF*NtoN2O*kgtoGg</f>
        <v>0</v>
      </c>
      <c r="AD121" s="22">
        <f>'Activity data'!AD80*UDCPPEF*NtoN2O*kgtoGg</f>
        <v>0</v>
      </c>
      <c r="AE121" s="22">
        <f>'Activity data'!AE80*UDCPPEF*NtoN2O*kgtoGg</f>
        <v>0</v>
      </c>
      <c r="AF121" s="22">
        <f>'Activity data'!AF80*UDCPPEF*NtoN2O*kgtoGg</f>
        <v>0</v>
      </c>
      <c r="AG121" s="22">
        <f>'Activity data'!AG80*UDCPPEF*NtoN2O*kgtoGg</f>
        <v>0</v>
      </c>
      <c r="AH121" s="22">
        <f>'Activity data'!AH80*UDCPPEF*NtoN2O*kgtoGg</f>
        <v>0</v>
      </c>
      <c r="AI121" s="22">
        <f>'Activity data'!AI80*UDCPPEF*NtoN2O*kgtoGg</f>
        <v>0</v>
      </c>
      <c r="AJ121" s="22">
        <f>'Activity data'!AJ80*UDCPPEF*NtoN2O*kgtoGg</f>
        <v>0</v>
      </c>
      <c r="AK121" s="22">
        <f>'Activity data'!AK80*UDCPPEF*NtoN2O*kgtoGg</f>
        <v>0</v>
      </c>
      <c r="AL121" s="22">
        <f>'Activity data'!AL80*UDCPPEF*NtoN2O*kgtoGg</f>
        <v>0</v>
      </c>
      <c r="AM121" s="22">
        <f>'Activity data'!AM80*UDCPPEF*NtoN2O*kgtoGg</f>
        <v>0</v>
      </c>
      <c r="AN121" s="22">
        <f>'Activity data'!AN80*UDCPPEF*NtoN2O*kgtoGg</f>
        <v>0</v>
      </c>
      <c r="AO121" s="22">
        <f>'Activity data'!AO80*UDCPPEF*NtoN2O*kgtoGg</f>
        <v>0</v>
      </c>
      <c r="AP121" s="22">
        <f>'Activity data'!AP80*UDCPPEF*NtoN2O*kgtoGg</f>
        <v>0</v>
      </c>
      <c r="AQ121" s="22">
        <f>'Activity data'!AQ80*UDCPPEF*NtoN2O*kgtoGg</f>
        <v>0</v>
      </c>
      <c r="AR121" s="22">
        <f>'Activity data'!AR80*UDCPPEF*NtoN2O*kgtoGg</f>
        <v>0</v>
      </c>
      <c r="AS121" s="22">
        <f>'Activity data'!AS80*UDCPPEF*NtoN2O*kgtoGg</f>
        <v>0</v>
      </c>
      <c r="AT121" s="22">
        <f>'Activity data'!AT80*UDCPPEF*NtoN2O*kgtoGg</f>
        <v>0</v>
      </c>
      <c r="AU121" s="22">
        <f>'Activity data'!AU80*UDCPPEF*NtoN2O*kgtoGg</f>
        <v>0</v>
      </c>
      <c r="AV121" s="22">
        <f>'Activity data'!AV80*UDCPPEF*NtoN2O*kgtoGg</f>
        <v>0</v>
      </c>
      <c r="AW121" s="22">
        <f>'Activity data'!AW80*UDCPPEF*NtoN2O*kgtoGg</f>
        <v>0</v>
      </c>
      <c r="AX121" s="22">
        <f>'Activity data'!AX80*UDCPPEF*NtoN2O*kgtoGg</f>
        <v>0</v>
      </c>
      <c r="AY121" s="22">
        <f>'Activity data'!AY80*UDCPPEF*NtoN2O*kgtoGg</f>
        <v>0</v>
      </c>
      <c r="AZ121" s="22">
        <f>'Activity data'!AZ80*UDCPPEF*NtoN2O*kgtoGg</f>
        <v>0</v>
      </c>
      <c r="BA121" s="22">
        <f>'Activity data'!BA80*UDCPPEF*NtoN2O*kgtoGg</f>
        <v>0</v>
      </c>
      <c r="BB121" s="22">
        <f>'Activity data'!BB80*UDCPPEF*NtoN2O*kgtoGg</f>
        <v>0</v>
      </c>
      <c r="BC121" s="22">
        <f>'Activity data'!BC80*UDCPPEF*NtoN2O*kgtoGg</f>
        <v>0</v>
      </c>
      <c r="BD121" s="22">
        <f>'Activity data'!BD80*UDCPPEF*NtoN2O*kgtoGg</f>
        <v>0</v>
      </c>
      <c r="BE121" s="22">
        <f>'Activity data'!BE80*UDCPPEF*NtoN2O*kgtoGg</f>
        <v>0</v>
      </c>
      <c r="BF121" s="22">
        <f>'Activity data'!BF80*UDCPPEF*NtoN2O*kgtoGg</f>
        <v>0</v>
      </c>
      <c r="BG121" s="22">
        <f>'Activity data'!BG80*UDCPPEF*NtoN2O*kgtoGg</f>
        <v>0</v>
      </c>
      <c r="BH121" s="22">
        <f>'Activity data'!BH80*UDCPPEF*NtoN2O*kgtoGg</f>
        <v>0</v>
      </c>
      <c r="BI121" s="22">
        <f>'Activity data'!BI80*UDCPPEF*NtoN2O*kgtoGg</f>
        <v>0</v>
      </c>
      <c r="BJ121" s="22">
        <f>'Activity data'!BJ80*UDCPPEF*NtoN2O*kgtoGg</f>
        <v>0</v>
      </c>
      <c r="BK121" s="22">
        <f>'Activity data'!BK80*UDCPPEF*NtoN2O*kgtoGg</f>
        <v>0</v>
      </c>
      <c r="BL121" s="22">
        <f>'Activity data'!BL80*UDCPPEF*NtoN2O*kgtoGg</f>
        <v>0</v>
      </c>
      <c r="BM121" s="22">
        <f>'Activity data'!BM80*UDCPPEF*NtoN2O*kgtoGg</f>
        <v>0</v>
      </c>
      <c r="BN121" s="22">
        <f>'Activity data'!BN80*UDCPPEF*NtoN2O*kgtoGg</f>
        <v>0</v>
      </c>
      <c r="BO121" s="22">
        <f>'Activity data'!BO80*UDCPPEF*NtoN2O*kgtoGg</f>
        <v>0</v>
      </c>
      <c r="BP121" s="22">
        <f>'Activity data'!BP80*UDCPPEF*NtoN2O*kgtoGg</f>
        <v>0</v>
      </c>
    </row>
    <row r="122" spans="1:68" x14ac:dyDescent="0.25">
      <c r="A122" t="str">
        <f t="shared" si="29"/>
        <v>3C Aggregated and non-CO2 emissions on land</v>
      </c>
      <c r="B122" t="str">
        <f t="shared" si="31"/>
        <v>3C4 Direct N2O from managed soils (N2O)</v>
      </c>
      <c r="C122" t="s">
        <v>422</v>
      </c>
      <c r="D122" t="str">
        <f t="shared" si="38"/>
        <v xml:space="preserve"> - Commercial broilers</v>
      </c>
      <c r="E122" t="str">
        <f t="shared" si="32"/>
        <v>U&amp;D emissions - Commercial broilers</v>
      </c>
      <c r="F122" t="str">
        <f t="shared" si="36"/>
        <v>N2O</v>
      </c>
      <c r="G122" t="str">
        <f t="shared" si="37"/>
        <v>Gg N2O</v>
      </c>
      <c r="H122" s="22">
        <f>'Activity data'!H81*UDCPPEF*NtoN2O*kgtoGg</f>
        <v>0</v>
      </c>
      <c r="I122" s="22">
        <f>'Activity data'!I81*UDCPPEF*NtoN2O*kgtoGg</f>
        <v>0</v>
      </c>
      <c r="J122" s="22">
        <f>'Activity data'!J81*UDCPPEF*NtoN2O*kgtoGg</f>
        <v>0</v>
      </c>
      <c r="K122" s="22">
        <f>'Activity data'!K81*UDCPPEF*NtoN2O*kgtoGg</f>
        <v>0</v>
      </c>
      <c r="L122" s="22">
        <f>'Activity data'!L81*UDCPPEF*NtoN2O*kgtoGg</f>
        <v>0</v>
      </c>
      <c r="M122" s="22">
        <f>'Activity data'!M81*UDCPPEF*NtoN2O*kgtoGg</f>
        <v>0</v>
      </c>
      <c r="N122" s="22">
        <f>'Activity data'!N81*UDCPPEF*NtoN2O*kgtoGg</f>
        <v>0</v>
      </c>
      <c r="O122" s="22">
        <f>'Activity data'!O81*UDCPPEF*NtoN2O*kgtoGg</f>
        <v>0</v>
      </c>
      <c r="P122" s="22">
        <f>'Activity data'!P81*UDCPPEF*NtoN2O*kgtoGg</f>
        <v>0</v>
      </c>
      <c r="Q122" s="22">
        <f>'Activity data'!Q81*UDCPPEF*NtoN2O*kgtoGg</f>
        <v>0</v>
      </c>
      <c r="R122" s="22">
        <f>'Activity data'!R81*UDCPPEF*NtoN2O*kgtoGg</f>
        <v>0</v>
      </c>
      <c r="S122" s="22">
        <f>'Activity data'!S81*UDCPPEF*NtoN2O*kgtoGg</f>
        <v>0</v>
      </c>
      <c r="T122" s="22">
        <f>'Activity data'!T81*UDCPPEF*NtoN2O*kgtoGg</f>
        <v>0</v>
      </c>
      <c r="U122" s="22">
        <f>'Activity data'!U81*UDCPPEF*NtoN2O*kgtoGg</f>
        <v>0</v>
      </c>
      <c r="V122" s="22">
        <f>'Activity data'!V81*UDCPPEF*NtoN2O*kgtoGg</f>
        <v>0</v>
      </c>
      <c r="W122" s="22">
        <f>'Activity data'!W81*UDCPPEF*NtoN2O*kgtoGg</f>
        <v>0</v>
      </c>
      <c r="X122" s="22">
        <f>'Activity data'!X81*UDCPPEF*NtoN2O*kgtoGg</f>
        <v>0</v>
      </c>
      <c r="Y122" s="22">
        <f>'Activity data'!Y81*UDCPPEF*NtoN2O*kgtoGg</f>
        <v>0</v>
      </c>
      <c r="Z122" s="22">
        <f>'Activity data'!Z81*UDCPPEF*NtoN2O*kgtoGg</f>
        <v>0</v>
      </c>
      <c r="AA122" s="22">
        <f>'Activity data'!AA81*UDCPPEF*NtoN2O*kgtoGg</f>
        <v>0</v>
      </c>
      <c r="AB122" s="22">
        <f>'Activity data'!AB81*UDCPPEF*NtoN2O*kgtoGg</f>
        <v>0</v>
      </c>
      <c r="AC122" s="22">
        <f>'Activity data'!AC81*UDCPPEF*NtoN2O*kgtoGg</f>
        <v>0</v>
      </c>
      <c r="AD122" s="22">
        <f>'Activity data'!AD81*UDCPPEF*NtoN2O*kgtoGg</f>
        <v>0</v>
      </c>
      <c r="AE122" s="22">
        <f>'Activity data'!AE81*UDCPPEF*NtoN2O*kgtoGg</f>
        <v>0</v>
      </c>
      <c r="AF122" s="22">
        <f>'Activity data'!AF81*UDCPPEF*NtoN2O*kgtoGg</f>
        <v>0</v>
      </c>
      <c r="AG122" s="22">
        <f>'Activity data'!AG81*UDCPPEF*NtoN2O*kgtoGg</f>
        <v>0</v>
      </c>
      <c r="AH122" s="22">
        <f>'Activity data'!AH81*UDCPPEF*NtoN2O*kgtoGg</f>
        <v>0</v>
      </c>
      <c r="AI122" s="22">
        <f>'Activity data'!AI81*UDCPPEF*NtoN2O*kgtoGg</f>
        <v>0</v>
      </c>
      <c r="AJ122" s="22">
        <f>'Activity data'!AJ81*UDCPPEF*NtoN2O*kgtoGg</f>
        <v>0</v>
      </c>
      <c r="AK122" s="22">
        <f>'Activity data'!AK81*UDCPPEF*NtoN2O*kgtoGg</f>
        <v>0</v>
      </c>
      <c r="AL122" s="22">
        <f>'Activity data'!AL81*UDCPPEF*NtoN2O*kgtoGg</f>
        <v>0</v>
      </c>
      <c r="AM122" s="22">
        <f>'Activity data'!AM81*UDCPPEF*NtoN2O*kgtoGg</f>
        <v>0</v>
      </c>
      <c r="AN122" s="22">
        <f>'Activity data'!AN81*UDCPPEF*NtoN2O*kgtoGg</f>
        <v>0</v>
      </c>
      <c r="AO122" s="22">
        <f>'Activity data'!AO81*UDCPPEF*NtoN2O*kgtoGg</f>
        <v>0</v>
      </c>
      <c r="AP122" s="22">
        <f>'Activity data'!AP81*UDCPPEF*NtoN2O*kgtoGg</f>
        <v>0</v>
      </c>
      <c r="AQ122" s="22">
        <f>'Activity data'!AQ81*UDCPPEF*NtoN2O*kgtoGg</f>
        <v>0</v>
      </c>
      <c r="AR122" s="22">
        <f>'Activity data'!AR81*UDCPPEF*NtoN2O*kgtoGg</f>
        <v>0</v>
      </c>
      <c r="AS122" s="22">
        <f>'Activity data'!AS81*UDCPPEF*NtoN2O*kgtoGg</f>
        <v>0</v>
      </c>
      <c r="AT122" s="22">
        <f>'Activity data'!AT81*UDCPPEF*NtoN2O*kgtoGg</f>
        <v>0</v>
      </c>
      <c r="AU122" s="22">
        <f>'Activity data'!AU81*UDCPPEF*NtoN2O*kgtoGg</f>
        <v>0</v>
      </c>
      <c r="AV122" s="22">
        <f>'Activity data'!AV81*UDCPPEF*NtoN2O*kgtoGg</f>
        <v>0</v>
      </c>
      <c r="AW122" s="22">
        <f>'Activity data'!AW81*UDCPPEF*NtoN2O*kgtoGg</f>
        <v>0</v>
      </c>
      <c r="AX122" s="22">
        <f>'Activity data'!AX81*UDCPPEF*NtoN2O*kgtoGg</f>
        <v>0</v>
      </c>
      <c r="AY122" s="22">
        <f>'Activity data'!AY81*UDCPPEF*NtoN2O*kgtoGg</f>
        <v>0</v>
      </c>
      <c r="AZ122" s="22">
        <f>'Activity data'!AZ81*UDCPPEF*NtoN2O*kgtoGg</f>
        <v>0</v>
      </c>
      <c r="BA122" s="22">
        <f>'Activity data'!BA81*UDCPPEF*NtoN2O*kgtoGg</f>
        <v>0</v>
      </c>
      <c r="BB122" s="22">
        <f>'Activity data'!BB81*UDCPPEF*NtoN2O*kgtoGg</f>
        <v>0</v>
      </c>
      <c r="BC122" s="22">
        <f>'Activity data'!BC81*UDCPPEF*NtoN2O*kgtoGg</f>
        <v>0</v>
      </c>
      <c r="BD122" s="22">
        <f>'Activity data'!BD81*UDCPPEF*NtoN2O*kgtoGg</f>
        <v>0</v>
      </c>
      <c r="BE122" s="22">
        <f>'Activity data'!BE81*UDCPPEF*NtoN2O*kgtoGg</f>
        <v>0</v>
      </c>
      <c r="BF122" s="22">
        <f>'Activity data'!BF81*UDCPPEF*NtoN2O*kgtoGg</f>
        <v>0</v>
      </c>
      <c r="BG122" s="22">
        <f>'Activity data'!BG81*UDCPPEF*NtoN2O*kgtoGg</f>
        <v>0</v>
      </c>
      <c r="BH122" s="22">
        <f>'Activity data'!BH81*UDCPPEF*NtoN2O*kgtoGg</f>
        <v>0</v>
      </c>
      <c r="BI122" s="22">
        <f>'Activity data'!BI81*UDCPPEF*NtoN2O*kgtoGg</f>
        <v>0</v>
      </c>
      <c r="BJ122" s="22">
        <f>'Activity data'!BJ81*UDCPPEF*NtoN2O*kgtoGg</f>
        <v>0</v>
      </c>
      <c r="BK122" s="22">
        <f>'Activity data'!BK81*UDCPPEF*NtoN2O*kgtoGg</f>
        <v>0</v>
      </c>
      <c r="BL122" s="22">
        <f>'Activity data'!BL81*UDCPPEF*NtoN2O*kgtoGg</f>
        <v>0</v>
      </c>
      <c r="BM122" s="22">
        <f>'Activity data'!BM81*UDCPPEF*NtoN2O*kgtoGg</f>
        <v>0</v>
      </c>
      <c r="BN122" s="22">
        <f>'Activity data'!BN81*UDCPPEF*NtoN2O*kgtoGg</f>
        <v>0</v>
      </c>
      <c r="BO122" s="22">
        <f>'Activity data'!BO81*UDCPPEF*NtoN2O*kgtoGg</f>
        <v>0</v>
      </c>
      <c r="BP122" s="22">
        <f>'Activity data'!BP81*UDCPPEF*NtoN2O*kgtoGg</f>
        <v>0</v>
      </c>
    </row>
    <row r="123" spans="1:68" x14ac:dyDescent="0.25">
      <c r="A123" t="str">
        <f>A122</f>
        <v>3C Aggregated and non-CO2 emissions on land</v>
      </c>
      <c r="B123" t="str">
        <f t="shared" si="31"/>
        <v>3C4 Direct N2O from managed soils (N2O)</v>
      </c>
      <c r="C123" t="s">
        <v>60</v>
      </c>
      <c r="D123" t="str">
        <f>" - "&amp;'Activity data'!D87</f>
        <v xml:space="preserve"> - Forest remaining forest land</v>
      </c>
      <c r="E123" t="str">
        <f t="shared" si="32"/>
        <v>FSOM - Forest remaining forest land</v>
      </c>
      <c r="G123" t="str">
        <f t="shared" si="37"/>
        <v>Gg N2O</v>
      </c>
      <c r="H123" s="22" t="str">
        <f>IFERROR((('Activity data'!H87*(1/Constants!$H$135))*ttokg)*FSOMEF*NtoN2O*kgtoGg,"NO")</f>
        <v>NO</v>
      </c>
      <c r="I123" s="22" t="str">
        <f>IFERROR((('Activity data'!I87*(1/Constants!$H$135))*ttokg)*FSOMEF*NtoN2O*kgtoGg,"NO")</f>
        <v>NO</v>
      </c>
      <c r="J123" s="22" t="str">
        <f>IFERROR((('Activity data'!J87*(1/Constants!$H$135))*ttokg)*FSOMEF*NtoN2O*kgtoGg,"NO")</f>
        <v>NO</v>
      </c>
      <c r="K123" s="22" t="str">
        <f>IFERROR((('Activity data'!K87*(1/Constants!$H$135))*ttokg)*FSOMEF*NtoN2O*kgtoGg,"NO")</f>
        <v>NO</v>
      </c>
      <c r="L123" s="22" t="str">
        <f>IFERROR((('Activity data'!L87*(1/Constants!$H$135))*ttokg)*FSOMEF*NtoN2O*kgtoGg,"NO")</f>
        <v>NO</v>
      </c>
      <c r="M123" s="22" t="str">
        <f>IFERROR((('Activity data'!M87*(1/Constants!$H$135))*ttokg)*FSOMEF*NtoN2O*kgtoGg,"NO")</f>
        <v>NO</v>
      </c>
      <c r="N123" s="22" t="str">
        <f>IFERROR((('Activity data'!N87*(1/Constants!$H$135))*ttokg)*FSOMEF*NtoN2O*kgtoGg,"NO")</f>
        <v>NO</v>
      </c>
      <c r="O123" s="22" t="str">
        <f>IFERROR((('Activity data'!O87*(1/Constants!$H$135))*ttokg)*FSOMEF*NtoN2O*kgtoGg,"NO")</f>
        <v>NO</v>
      </c>
      <c r="P123" s="22" t="str">
        <f>IFERROR((('Activity data'!P87*(1/Constants!$H$135))*ttokg)*FSOMEF*NtoN2O*kgtoGg,"NO")</f>
        <v>NO</v>
      </c>
      <c r="Q123" s="22" t="str">
        <f>IFERROR((('Activity data'!Q87*(1/Constants!$H$135))*ttokg)*FSOMEF*NtoN2O*kgtoGg,"NO")</f>
        <v>NO</v>
      </c>
      <c r="R123" s="22" t="str">
        <f>IFERROR((('Activity data'!R87*(1/Constants!$H$135))*ttokg)*FSOMEF*NtoN2O*kgtoGg,"NO")</f>
        <v>NO</v>
      </c>
      <c r="S123" s="22" t="str">
        <f>IFERROR((('Activity data'!S87*(1/Constants!$H$135))*ttokg)*FSOMEF*NtoN2O*kgtoGg,"NO")</f>
        <v>NO</v>
      </c>
      <c r="T123" s="22" t="str">
        <f>IFERROR((('Activity data'!T87*(1/Constants!$H$135))*ttokg)*FSOMEF*NtoN2O*kgtoGg,"NO")</f>
        <v>NO</v>
      </c>
      <c r="U123" s="22" t="str">
        <f>IFERROR((('Activity data'!U87*(1/Constants!$H$135))*ttokg)*FSOMEF*NtoN2O*kgtoGg,"NO")</f>
        <v>NO</v>
      </c>
      <c r="V123" s="22" t="str">
        <f>IFERROR((('Activity data'!V87*(1/Constants!$H$135))*ttokg)*FSOMEF*NtoN2O*kgtoGg,"NO")</f>
        <v>NO</v>
      </c>
      <c r="W123" s="22" t="str">
        <f>IFERROR((('Activity data'!W87*(1/Constants!$H$135))*ttokg)*FSOMEF*NtoN2O*kgtoGg,"NO")</f>
        <v>NO</v>
      </c>
      <c r="X123" s="22" t="str">
        <f>IFERROR((('Activity data'!X87*(1/Constants!$H$135))*ttokg)*FSOMEF*NtoN2O*kgtoGg,"NO")</f>
        <v>NO</v>
      </c>
      <c r="Y123" s="22" t="str">
        <f>IFERROR((('Activity data'!Y87*(1/Constants!$H$135))*ttokg)*FSOMEF*NtoN2O*kgtoGg,"NO")</f>
        <v>NO</v>
      </c>
      <c r="Z123" s="22" t="str">
        <f>IFERROR((('Activity data'!Z87*(1/Constants!$H$135))*ttokg)*FSOMEF*NtoN2O*kgtoGg,"NO")</f>
        <v>NO</v>
      </c>
      <c r="AA123" s="22" t="str">
        <f>IFERROR((('Activity data'!AA87*(1/Constants!$H$135))*ttokg)*FSOMEF*NtoN2O*kgtoGg,"NO")</f>
        <v>NO</v>
      </c>
      <c r="AB123" s="22" t="str">
        <f>IFERROR((('Activity data'!AB87*(1/Constants!$H$135))*ttokg)*FSOMEF*NtoN2O*kgtoGg,"NO")</f>
        <v>NO</v>
      </c>
      <c r="AC123" s="22" t="str">
        <f>IFERROR((('Activity data'!AC87*(1/Constants!$H$135))*ttokg)*FSOMEF*NtoN2O*kgtoGg,"NO")</f>
        <v>NO</v>
      </c>
      <c r="AD123" s="22" t="str">
        <f>IFERROR((('Activity data'!AD87*(1/Constants!$H$135))*ttokg)*FSOMEF*NtoN2O*kgtoGg,"NO")</f>
        <v>NO</v>
      </c>
      <c r="AE123" s="22" t="str">
        <f>IFERROR((('Activity data'!AE87*(1/Constants!$H$135))*ttokg)*FSOMEF*NtoN2O*kgtoGg,"NO")</f>
        <v>NO</v>
      </c>
      <c r="AF123" s="22" t="str">
        <f>IFERROR((('Activity data'!AF87*(1/Constants!$H$135))*ttokg)*FSOMEF*NtoN2O*kgtoGg,"NO")</f>
        <v>NO</v>
      </c>
      <c r="AG123" s="22" t="str">
        <f>IFERROR((('Activity data'!AG87*(1/Constants!$H$135))*ttokg)*FSOMEF*NtoN2O*kgtoGg,"NO")</f>
        <v>NO</v>
      </c>
      <c r="AH123" s="22" t="str">
        <f>IFERROR((('Activity data'!AH87*(1/Constants!$H$135))*ttokg)*FSOMEF*NtoN2O*kgtoGg,"NO")</f>
        <v>NO</v>
      </c>
      <c r="AI123" s="22" t="str">
        <f>IFERROR((('Activity data'!AI87*(1/Constants!$H$135))*ttokg)*FSOMEF*NtoN2O*kgtoGg,"NO")</f>
        <v>NO</v>
      </c>
      <c r="AJ123" s="22" t="str">
        <f>IFERROR((('Activity data'!AJ87*(1/Constants!$H$135))*ttokg)*FSOMEF*NtoN2O*kgtoGg,"NO")</f>
        <v>NO</v>
      </c>
      <c r="AK123" s="22" t="str">
        <f>IFERROR((('Activity data'!AK87*(1/Constants!$H$135))*ttokg)*FSOMEF*NtoN2O*kgtoGg,"NO")</f>
        <v>NO</v>
      </c>
      <c r="AL123" s="22" t="str">
        <f>IFERROR((('Activity data'!AL87*(1/Constants!$H$135))*ttokg)*FSOMEF*NtoN2O*kgtoGg,"NO")</f>
        <v>NO</v>
      </c>
      <c r="AM123" s="22" t="str">
        <f>IFERROR((('Activity data'!AM87*(1/Constants!$H$135))*ttokg)*FSOMEF*NtoN2O*kgtoGg,"NO")</f>
        <v>NO</v>
      </c>
      <c r="AN123" s="22" t="str">
        <f>IFERROR((('Activity data'!AN87*(1/Constants!$H$135))*ttokg)*FSOMEF*NtoN2O*kgtoGg,"NO")</f>
        <v>NO</v>
      </c>
      <c r="AO123" s="22" t="str">
        <f>IFERROR((('Activity data'!AO87*(1/Constants!$H$135))*ttokg)*FSOMEF*NtoN2O*kgtoGg,"NO")</f>
        <v>NO</v>
      </c>
      <c r="AP123" s="22" t="str">
        <f>IFERROR((('Activity data'!AP87*(1/Constants!$H$135))*ttokg)*FSOMEF*NtoN2O*kgtoGg,"NO")</f>
        <v>NO</v>
      </c>
      <c r="AQ123" s="22" t="str">
        <f>IFERROR((('Activity data'!AQ87*(1/Constants!$H$135))*ttokg)*FSOMEF*NtoN2O*kgtoGg,"NO")</f>
        <v>NO</v>
      </c>
      <c r="AR123" s="22" t="str">
        <f>IFERROR((('Activity data'!AR87*(1/Constants!$H$135))*ttokg)*FSOMEF*NtoN2O*kgtoGg,"NO")</f>
        <v>NO</v>
      </c>
      <c r="AS123" s="22" t="str">
        <f>IFERROR((('Activity data'!AS87*(1/Constants!$H$135))*ttokg)*FSOMEF*NtoN2O*kgtoGg,"NO")</f>
        <v>NO</v>
      </c>
      <c r="AT123" s="22" t="str">
        <f>IFERROR((('Activity data'!AT87*(1/Constants!$H$135))*ttokg)*FSOMEF*NtoN2O*kgtoGg,"NO")</f>
        <v>NO</v>
      </c>
      <c r="AU123" s="22" t="str">
        <f>IFERROR((('Activity data'!AU87*(1/Constants!$H$135))*ttokg)*FSOMEF*NtoN2O*kgtoGg,"NO")</f>
        <v>NO</v>
      </c>
      <c r="AV123" s="22" t="str">
        <f>IFERROR((('Activity data'!AV87*(1/Constants!$H$135))*ttokg)*FSOMEF*NtoN2O*kgtoGg,"NO")</f>
        <v>NO</v>
      </c>
      <c r="AW123" s="22" t="str">
        <f>IFERROR((('Activity data'!AW87*(1/Constants!$H$135))*ttokg)*FSOMEF*NtoN2O*kgtoGg,"NO")</f>
        <v>NO</v>
      </c>
      <c r="AX123" s="22" t="str">
        <f>IFERROR((('Activity data'!AX87*(1/Constants!$H$135))*ttokg)*FSOMEF*NtoN2O*kgtoGg,"NO")</f>
        <v>NO</v>
      </c>
      <c r="AY123" s="22" t="str">
        <f>IFERROR((('Activity data'!AY87*(1/Constants!$H$135))*ttokg)*FSOMEF*NtoN2O*kgtoGg,"NO")</f>
        <v>NO</v>
      </c>
      <c r="AZ123" s="22" t="str">
        <f>IFERROR((('Activity data'!AZ87*(1/Constants!$H$135))*ttokg)*FSOMEF*NtoN2O*kgtoGg,"NO")</f>
        <v>NO</v>
      </c>
      <c r="BA123" s="22" t="str">
        <f>IFERROR((('Activity data'!BA87*(1/Constants!$H$135))*ttokg)*FSOMEF*NtoN2O*kgtoGg,"NO")</f>
        <v>NO</v>
      </c>
      <c r="BB123" s="22" t="str">
        <f>IFERROR((('Activity data'!BB87*(1/Constants!$H$135))*ttokg)*FSOMEF*NtoN2O*kgtoGg,"NO")</f>
        <v>NO</v>
      </c>
      <c r="BC123" s="22" t="str">
        <f>IFERROR((('Activity data'!BC87*(1/Constants!$H$135))*ttokg)*FSOMEF*NtoN2O*kgtoGg,"NO")</f>
        <v>NO</v>
      </c>
      <c r="BD123" s="22" t="str">
        <f>IFERROR((('Activity data'!BD87*(1/Constants!$H$135))*ttokg)*FSOMEF*NtoN2O*kgtoGg,"NO")</f>
        <v>NO</v>
      </c>
      <c r="BE123" s="22" t="str">
        <f>IFERROR((('Activity data'!BE87*(1/Constants!$H$135))*ttokg)*FSOMEF*NtoN2O*kgtoGg,"NO")</f>
        <v>NO</v>
      </c>
      <c r="BF123" s="22" t="str">
        <f>IFERROR((('Activity data'!BF87*(1/Constants!$H$135))*ttokg)*FSOMEF*NtoN2O*kgtoGg,"NO")</f>
        <v>NO</v>
      </c>
      <c r="BG123" s="22" t="str">
        <f>IFERROR((('Activity data'!BG87*(1/Constants!$H$135))*ttokg)*FSOMEF*NtoN2O*kgtoGg,"NO")</f>
        <v>NO</v>
      </c>
      <c r="BH123" s="22" t="str">
        <f>IFERROR((('Activity data'!BH87*(1/Constants!$H$135))*ttokg)*FSOMEF*NtoN2O*kgtoGg,"NO")</f>
        <v>NO</v>
      </c>
      <c r="BI123" s="22" t="str">
        <f>IFERROR((('Activity data'!BI87*(1/Constants!$H$135))*ttokg)*FSOMEF*NtoN2O*kgtoGg,"NO")</f>
        <v>NO</v>
      </c>
      <c r="BJ123" s="22" t="str">
        <f>IFERROR((('Activity data'!BJ87*(1/Constants!$H$135))*ttokg)*FSOMEF*NtoN2O*kgtoGg,"NO")</f>
        <v>NO</v>
      </c>
      <c r="BK123" s="22" t="str">
        <f>IFERROR((('Activity data'!BK87*(1/Constants!$H$135))*ttokg)*FSOMEF*NtoN2O*kgtoGg,"NO")</f>
        <v>NO</v>
      </c>
      <c r="BL123" s="22" t="str">
        <f>IFERROR((('Activity data'!BL87*(1/Constants!$H$135))*ttokg)*FSOMEF*NtoN2O*kgtoGg,"NO")</f>
        <v>NO</v>
      </c>
      <c r="BM123" s="22" t="str">
        <f>IFERROR((('Activity data'!BM87*(1/Constants!$H$135))*ttokg)*FSOMEF*NtoN2O*kgtoGg,"NO")</f>
        <v>NO</v>
      </c>
      <c r="BN123" s="22" t="str">
        <f>IFERROR((('Activity data'!BN87*(1/Constants!$H$135))*ttokg)*FSOMEF*NtoN2O*kgtoGg,"NO")</f>
        <v>NO</v>
      </c>
      <c r="BO123" s="22" t="str">
        <f>IFERROR((('Activity data'!BO87*(1/Constants!$H$135))*ttokg)*FSOMEF*NtoN2O*kgtoGg,"NO")</f>
        <v>NO</v>
      </c>
      <c r="BP123" s="22" t="str">
        <f>IFERROR((('Activity data'!BP87*(1/Constants!$H$135))*ttokg)*FSOMEF*NtoN2O*kgtoGg,"NO")</f>
        <v>NO</v>
      </c>
    </row>
    <row r="124" spans="1:68" x14ac:dyDescent="0.25">
      <c r="A124" t="str">
        <f t="shared" ref="A124:A134" si="39">A123</f>
        <v>3C Aggregated and non-CO2 emissions on land</v>
      </c>
      <c r="B124" t="str">
        <f t="shared" si="31"/>
        <v>3C4 Direct N2O from managed soils (N2O)</v>
      </c>
      <c r="C124" t="s">
        <v>60</v>
      </c>
      <c r="D124" t="str">
        <f>" - "&amp;'Activity data'!D88</f>
        <v xml:space="preserve"> - Land converted to forest land</v>
      </c>
      <c r="E124" t="str">
        <f t="shared" ref="E124:E128" si="40">C124&amp;D124</f>
        <v>FSOM - Land converted to forest land</v>
      </c>
      <c r="G124" t="str">
        <f t="shared" si="37"/>
        <v>Gg N2O</v>
      </c>
      <c r="H124" s="22" t="str">
        <f>IFERROR(('Activity data'!H88*(1/Constants!$H$135))*ttokg*FSOMEF*NtoN2O*kgtoGg,"NO")</f>
        <v>NO</v>
      </c>
      <c r="I124" s="22" t="str">
        <f>IFERROR(('Activity data'!I88*(1/Constants!$H$135))*ttokg*FSOMEF*NtoN2O*kgtoGg,"NO")</f>
        <v>NO</v>
      </c>
      <c r="J124" s="22" t="str">
        <f>IFERROR(('Activity data'!J88*(1/Constants!$H$135))*ttokg*FSOMEF*NtoN2O*kgtoGg,"NO")</f>
        <v>NO</v>
      </c>
      <c r="K124" s="22" t="str">
        <f>IFERROR(('Activity data'!K88*(1/Constants!$H$135))*ttokg*FSOMEF*NtoN2O*kgtoGg,"NO")</f>
        <v>NO</v>
      </c>
      <c r="L124" s="22" t="str">
        <f>IFERROR(('Activity data'!L88*(1/Constants!$H$135))*ttokg*FSOMEF*NtoN2O*kgtoGg,"NO")</f>
        <v>NO</v>
      </c>
      <c r="M124" s="22" t="str">
        <f>IFERROR(('Activity data'!M88*(1/Constants!$H$135))*ttokg*FSOMEF*NtoN2O*kgtoGg,"NO")</f>
        <v>NO</v>
      </c>
      <c r="N124" s="22" t="str">
        <f>IFERROR(('Activity data'!N88*(1/Constants!$H$135))*ttokg*FSOMEF*NtoN2O*kgtoGg,"NO")</f>
        <v>NO</v>
      </c>
      <c r="O124" s="22" t="str">
        <f>IFERROR(('Activity data'!O88*(1/Constants!$H$135))*ttokg*FSOMEF*NtoN2O*kgtoGg,"NO")</f>
        <v>NO</v>
      </c>
      <c r="P124" s="22" t="str">
        <f>IFERROR(('Activity data'!P88*(1/Constants!$H$135))*ttokg*FSOMEF*NtoN2O*kgtoGg,"NO")</f>
        <v>NO</v>
      </c>
      <c r="Q124" s="22" t="str">
        <f>IFERROR(('Activity data'!Q88*(1/Constants!$H$135))*ttokg*FSOMEF*NtoN2O*kgtoGg,"NO")</f>
        <v>NO</v>
      </c>
      <c r="R124" s="22" t="str">
        <f>IFERROR(('Activity data'!R88*(1/Constants!$H$135))*ttokg*FSOMEF*NtoN2O*kgtoGg,"NO")</f>
        <v>NO</v>
      </c>
      <c r="S124" s="22" t="str">
        <f>IFERROR(('Activity data'!S88*(1/Constants!$H$135))*ttokg*FSOMEF*NtoN2O*kgtoGg,"NO")</f>
        <v>NO</v>
      </c>
      <c r="T124" s="22" t="str">
        <f>IFERROR(('Activity data'!T88*(1/Constants!$H$135))*ttokg*FSOMEF*NtoN2O*kgtoGg,"NO")</f>
        <v>NO</v>
      </c>
      <c r="U124" s="22" t="str">
        <f>IFERROR(('Activity data'!U88*(1/Constants!$H$135))*ttokg*FSOMEF*NtoN2O*kgtoGg,"NO")</f>
        <v>NO</v>
      </c>
      <c r="V124" s="22" t="str">
        <f>IFERROR(('Activity data'!V88*(1/Constants!$H$135))*ttokg*FSOMEF*NtoN2O*kgtoGg,"NO")</f>
        <v>NO</v>
      </c>
      <c r="W124" s="22" t="str">
        <f>IFERROR(('Activity data'!W88*(1/Constants!$H$135))*ttokg*FSOMEF*NtoN2O*kgtoGg,"NO")</f>
        <v>NO</v>
      </c>
      <c r="X124" s="22" t="str">
        <f>IFERROR(('Activity data'!X88*(1/Constants!$H$135))*ttokg*FSOMEF*NtoN2O*kgtoGg,"NO")</f>
        <v>NO</v>
      </c>
      <c r="Y124" s="22" t="str">
        <f>IFERROR(('Activity data'!Y88*(1/Constants!$H$135))*ttokg*FSOMEF*NtoN2O*kgtoGg,"NO")</f>
        <v>NO</v>
      </c>
      <c r="Z124" s="22" t="str">
        <f>IFERROR(('Activity data'!Z88*(1/Constants!$H$135))*ttokg*FSOMEF*NtoN2O*kgtoGg,"NO")</f>
        <v>NO</v>
      </c>
      <c r="AA124" s="22" t="str">
        <f>IFERROR(('Activity data'!AA88*(1/Constants!$H$135))*ttokg*FSOMEF*NtoN2O*kgtoGg,"NO")</f>
        <v>NO</v>
      </c>
      <c r="AB124" s="22" t="str">
        <f>IFERROR(('Activity data'!AB88*(1/Constants!$H$135))*ttokg*FSOMEF*NtoN2O*kgtoGg,"NO")</f>
        <v>NO</v>
      </c>
      <c r="AC124" s="22" t="str">
        <f>IFERROR(('Activity data'!AC88*(1/Constants!$H$135))*ttokg*FSOMEF*NtoN2O*kgtoGg,"NO")</f>
        <v>NO</v>
      </c>
      <c r="AD124" s="22" t="str">
        <f>IFERROR(('Activity data'!AD88*(1/Constants!$H$135))*ttokg*FSOMEF*NtoN2O*kgtoGg,"NO")</f>
        <v>NO</v>
      </c>
      <c r="AE124" s="22" t="str">
        <f>IFERROR(('Activity data'!AE88*(1/Constants!$H$135))*ttokg*FSOMEF*NtoN2O*kgtoGg,"NO")</f>
        <v>NO</v>
      </c>
      <c r="AF124" s="22" t="str">
        <f>IFERROR(('Activity data'!AF88*(1/Constants!$H$135))*ttokg*FSOMEF*NtoN2O*kgtoGg,"NO")</f>
        <v>NO</v>
      </c>
      <c r="AG124" s="22" t="str">
        <f>IFERROR(('Activity data'!AG88*(1/Constants!$H$135))*ttokg*FSOMEF*NtoN2O*kgtoGg,"NO")</f>
        <v>NO</v>
      </c>
      <c r="AH124" s="22" t="str">
        <f>IFERROR(('Activity data'!AH88*(1/Constants!$H$135))*ttokg*FSOMEF*NtoN2O*kgtoGg,"NO")</f>
        <v>NO</v>
      </c>
      <c r="AI124" s="22" t="str">
        <f>IFERROR(('Activity data'!AI88*(1/Constants!$H$135))*ttokg*FSOMEF*NtoN2O*kgtoGg,"NO")</f>
        <v>NO</v>
      </c>
      <c r="AJ124" s="22" t="str">
        <f>IFERROR(('Activity data'!AJ88*(1/Constants!$H$135))*ttokg*FSOMEF*NtoN2O*kgtoGg,"NO")</f>
        <v>NO</v>
      </c>
      <c r="AK124" s="22" t="str">
        <f>IFERROR(('Activity data'!AK88*(1/Constants!$H$135))*ttokg*FSOMEF*NtoN2O*kgtoGg,"NO")</f>
        <v>NO</v>
      </c>
      <c r="AL124" s="22" t="str">
        <f>IFERROR(('Activity data'!AL88*(1/Constants!$H$135))*ttokg*FSOMEF*NtoN2O*kgtoGg,"NO")</f>
        <v>NO</v>
      </c>
      <c r="AM124" s="22" t="str">
        <f>IFERROR(('Activity data'!AM88*(1/Constants!$H$135))*ttokg*FSOMEF*NtoN2O*kgtoGg,"NO")</f>
        <v>NO</v>
      </c>
      <c r="AN124" s="22" t="str">
        <f>IFERROR(('Activity data'!AN88*(1/Constants!$H$135))*ttokg*FSOMEF*NtoN2O*kgtoGg,"NO")</f>
        <v>NO</v>
      </c>
      <c r="AO124" s="22" t="str">
        <f>IFERROR(('Activity data'!AO88*(1/Constants!$H$135))*ttokg*FSOMEF*NtoN2O*kgtoGg,"NO")</f>
        <v>NO</v>
      </c>
      <c r="AP124" s="22" t="str">
        <f>IFERROR(('Activity data'!AP88*(1/Constants!$H$135))*ttokg*FSOMEF*NtoN2O*kgtoGg,"NO")</f>
        <v>NO</v>
      </c>
      <c r="AQ124" s="22" t="str">
        <f>IFERROR(('Activity data'!AQ88*(1/Constants!$H$135))*ttokg*FSOMEF*NtoN2O*kgtoGg,"NO")</f>
        <v>NO</v>
      </c>
      <c r="AR124" s="22" t="str">
        <f>IFERROR(('Activity data'!AR88*(1/Constants!$H$135))*ttokg*FSOMEF*NtoN2O*kgtoGg,"NO")</f>
        <v>NO</v>
      </c>
      <c r="AS124" s="22" t="str">
        <f>IFERROR(('Activity data'!AS88*(1/Constants!$H$135))*ttokg*FSOMEF*NtoN2O*kgtoGg,"NO")</f>
        <v>NO</v>
      </c>
      <c r="AT124" s="22" t="str">
        <f>IFERROR(('Activity data'!AT88*(1/Constants!$H$135))*ttokg*FSOMEF*NtoN2O*kgtoGg,"NO")</f>
        <v>NO</v>
      </c>
      <c r="AU124" s="22" t="str">
        <f>IFERROR(('Activity data'!AU88*(1/Constants!$H$135))*ttokg*FSOMEF*NtoN2O*kgtoGg,"NO")</f>
        <v>NO</v>
      </c>
      <c r="AV124" s="22" t="str">
        <f>IFERROR(('Activity data'!AV88*(1/Constants!$H$135))*ttokg*FSOMEF*NtoN2O*kgtoGg,"NO")</f>
        <v>NO</v>
      </c>
      <c r="AW124" s="22" t="str">
        <f>IFERROR(('Activity data'!AW88*(1/Constants!$H$135))*ttokg*FSOMEF*NtoN2O*kgtoGg,"NO")</f>
        <v>NO</v>
      </c>
      <c r="AX124" s="22" t="str">
        <f>IFERROR(('Activity data'!AX88*(1/Constants!$H$135))*ttokg*FSOMEF*NtoN2O*kgtoGg,"NO")</f>
        <v>NO</v>
      </c>
      <c r="AY124" s="22" t="str">
        <f>IFERROR(('Activity data'!AY88*(1/Constants!$H$135))*ttokg*FSOMEF*NtoN2O*kgtoGg,"NO")</f>
        <v>NO</v>
      </c>
      <c r="AZ124" s="22" t="str">
        <f>IFERROR(('Activity data'!AZ88*(1/Constants!$H$135))*ttokg*FSOMEF*NtoN2O*kgtoGg,"NO")</f>
        <v>NO</v>
      </c>
      <c r="BA124" s="22" t="str">
        <f>IFERROR(('Activity data'!BA88*(1/Constants!$H$135))*ttokg*FSOMEF*NtoN2O*kgtoGg,"NO")</f>
        <v>NO</v>
      </c>
      <c r="BB124" s="22" t="str">
        <f>IFERROR(('Activity data'!BB88*(1/Constants!$H$135))*ttokg*FSOMEF*NtoN2O*kgtoGg,"NO")</f>
        <v>NO</v>
      </c>
      <c r="BC124" s="22" t="str">
        <f>IFERROR(('Activity data'!BC88*(1/Constants!$H$135))*ttokg*FSOMEF*NtoN2O*kgtoGg,"NO")</f>
        <v>NO</v>
      </c>
      <c r="BD124" s="22" t="str">
        <f>IFERROR(('Activity data'!BD88*(1/Constants!$H$135))*ttokg*FSOMEF*NtoN2O*kgtoGg,"NO")</f>
        <v>NO</v>
      </c>
      <c r="BE124" s="22" t="str">
        <f>IFERROR(('Activity data'!BE88*(1/Constants!$H$135))*ttokg*FSOMEF*NtoN2O*kgtoGg,"NO")</f>
        <v>NO</v>
      </c>
      <c r="BF124" s="22" t="str">
        <f>IFERROR(('Activity data'!BF88*(1/Constants!$H$135))*ttokg*FSOMEF*NtoN2O*kgtoGg,"NO")</f>
        <v>NO</v>
      </c>
      <c r="BG124" s="22" t="str">
        <f>IFERROR(('Activity data'!BG88*(1/Constants!$H$135))*ttokg*FSOMEF*NtoN2O*kgtoGg,"NO")</f>
        <v>NO</v>
      </c>
      <c r="BH124" s="22" t="str">
        <f>IFERROR(('Activity data'!BH88*(1/Constants!$H$135))*ttokg*FSOMEF*NtoN2O*kgtoGg,"NO")</f>
        <v>NO</v>
      </c>
      <c r="BI124" s="22" t="str">
        <f>IFERROR(('Activity data'!BI88*(1/Constants!$H$135))*ttokg*FSOMEF*NtoN2O*kgtoGg,"NO")</f>
        <v>NO</v>
      </c>
      <c r="BJ124" s="22" t="str">
        <f>IFERROR(('Activity data'!BJ88*(1/Constants!$H$135))*ttokg*FSOMEF*NtoN2O*kgtoGg,"NO")</f>
        <v>NO</v>
      </c>
      <c r="BK124" s="22" t="str">
        <f>IFERROR(('Activity data'!BK88*(1/Constants!$H$135))*ttokg*FSOMEF*NtoN2O*kgtoGg,"NO")</f>
        <v>NO</v>
      </c>
      <c r="BL124" s="22" t="str">
        <f>IFERROR(('Activity data'!BL88*(1/Constants!$H$135))*ttokg*FSOMEF*NtoN2O*kgtoGg,"NO")</f>
        <v>NO</v>
      </c>
      <c r="BM124" s="22" t="str">
        <f>IFERROR(('Activity data'!BM88*(1/Constants!$H$135))*ttokg*FSOMEF*NtoN2O*kgtoGg,"NO")</f>
        <v>NO</v>
      </c>
      <c r="BN124" s="22" t="str">
        <f>IFERROR(('Activity data'!BN88*(1/Constants!$H$135))*ttokg*FSOMEF*NtoN2O*kgtoGg,"NO")</f>
        <v>NO</v>
      </c>
      <c r="BO124" s="22" t="str">
        <f>IFERROR(('Activity data'!BO88*(1/Constants!$H$135))*ttokg*FSOMEF*NtoN2O*kgtoGg,"NO")</f>
        <v>NO</v>
      </c>
      <c r="BP124" s="22" t="str">
        <f>IFERROR(('Activity data'!BP88*(1/Constants!$H$135))*ttokg*FSOMEF*NtoN2O*kgtoGg,"NO")</f>
        <v>NO</v>
      </c>
    </row>
    <row r="125" spans="1:68" x14ac:dyDescent="0.25">
      <c r="A125" t="str">
        <f t="shared" si="39"/>
        <v>3C Aggregated and non-CO2 emissions on land</v>
      </c>
      <c r="B125" t="str">
        <f t="shared" si="31"/>
        <v>3C4 Direct N2O from managed soils (N2O)</v>
      </c>
      <c r="C125" t="s">
        <v>60</v>
      </c>
      <c r="D125" t="str">
        <f>" - "&amp;'Activity data'!D89</f>
        <v xml:space="preserve"> - Cropland remaining cropland</v>
      </c>
      <c r="E125" t="str">
        <f t="shared" si="40"/>
        <v>FSOM - Cropland remaining cropland</v>
      </c>
      <c r="G125" t="str">
        <f t="shared" si="37"/>
        <v>Gg N2O</v>
      </c>
      <c r="H125" s="22" t="str">
        <f>IFERROR(('Activity data'!H89*(1/Constants!$H$135))*ttokg*FSOMEF*NtoN2O*kgtoGg,"NO")</f>
        <v>NO</v>
      </c>
      <c r="I125" s="22">
        <f>IFERROR(('Activity data'!I89*(1/Constants!$H$135))*ttokg*FSOMEF*NtoN2O*kgtoGg,"NO")</f>
        <v>4.4409793738676062E-4</v>
      </c>
      <c r="J125" s="22">
        <f>IFERROR(('Activity data'!J89*(1/Constants!$H$135))*ttokg*FSOMEF*NtoN2O*kgtoGg,"NO")</f>
        <v>4.4409793738676062E-4</v>
      </c>
      <c r="K125" s="22">
        <f>IFERROR(('Activity data'!K89*(1/Constants!$H$135))*ttokg*FSOMEF*NtoN2O*kgtoGg,"NO")</f>
        <v>4.4409793738676062E-4</v>
      </c>
      <c r="L125" s="22">
        <f>IFERROR(('Activity data'!L89*(1/Constants!$H$135))*ttokg*FSOMEF*NtoN2O*kgtoGg,"NO")</f>
        <v>4.4409793738676062E-4</v>
      </c>
      <c r="M125" s="22">
        <f>IFERROR(('Activity data'!M89*(1/Constants!$H$135))*ttokg*FSOMEF*NtoN2O*kgtoGg,"NO")</f>
        <v>4.4409793738676062E-4</v>
      </c>
      <c r="N125" s="22">
        <f>IFERROR(('Activity data'!N89*(1/Constants!$H$135))*ttokg*FSOMEF*NtoN2O*kgtoGg,"NO")</f>
        <v>4.4409793738676062E-4</v>
      </c>
      <c r="O125" s="22">
        <f>IFERROR(('Activity data'!O89*(1/Constants!$H$135))*ttokg*FSOMEF*NtoN2O*kgtoGg,"NO")</f>
        <v>4.4409793738676062E-4</v>
      </c>
      <c r="P125" s="22">
        <f>IFERROR(('Activity data'!P89*(1/Constants!$H$135))*ttokg*FSOMEF*NtoN2O*kgtoGg,"NO")</f>
        <v>4.4409793738676062E-4</v>
      </c>
      <c r="Q125" s="22">
        <f>IFERROR(('Activity data'!Q89*(1/Constants!$H$135))*ttokg*FSOMEF*NtoN2O*kgtoGg,"NO")</f>
        <v>4.4409793738676062E-4</v>
      </c>
      <c r="R125" s="22">
        <f>IFERROR(('Activity data'!R89*(1/Constants!$H$135))*ttokg*FSOMEF*NtoN2O*kgtoGg,"NO")</f>
        <v>4.4409793738676062E-4</v>
      </c>
      <c r="S125" s="22">
        <f>IFERROR(('Activity data'!S89*(1/Constants!$H$135))*ttokg*FSOMEF*NtoN2O*kgtoGg,"NO")</f>
        <v>4.4409793738676062E-4</v>
      </c>
      <c r="T125" s="22">
        <f>IFERROR(('Activity data'!T89*(1/Constants!$H$135))*ttokg*FSOMEF*NtoN2O*kgtoGg,"NO")</f>
        <v>4.4409793738676062E-4</v>
      </c>
      <c r="U125" s="22">
        <f>IFERROR(('Activity data'!U89*(1/Constants!$H$135))*ttokg*FSOMEF*NtoN2O*kgtoGg,"NO")</f>
        <v>4.4409793738676062E-4</v>
      </c>
      <c r="V125" s="22">
        <f>IFERROR(('Activity data'!V89*(1/Constants!$H$135))*ttokg*FSOMEF*NtoN2O*kgtoGg,"NO")</f>
        <v>4.4409793738676062E-4</v>
      </c>
      <c r="W125" s="22">
        <f>IFERROR(('Activity data'!W89*(1/Constants!$H$135))*ttokg*FSOMEF*NtoN2O*kgtoGg,"NO")</f>
        <v>4.4409793738676062E-4</v>
      </c>
      <c r="X125" s="22">
        <f>IFERROR(('Activity data'!X89*(1/Constants!$H$135))*ttokg*FSOMEF*NtoN2O*kgtoGg,"NO")</f>
        <v>4.4409793738676062E-4</v>
      </c>
      <c r="Y125" s="22">
        <f>IFERROR(('Activity data'!Y89*(1/Constants!$H$135))*ttokg*FSOMEF*NtoN2O*kgtoGg,"NO")</f>
        <v>4.4409793738676062E-4</v>
      </c>
      <c r="Z125" s="22">
        <f>IFERROR(('Activity data'!Z89*(1/Constants!$H$135))*ttokg*FSOMEF*NtoN2O*kgtoGg,"NO")</f>
        <v>4.4409793738676062E-4</v>
      </c>
      <c r="AA125" s="22">
        <f>IFERROR(('Activity data'!AA89*(1/Constants!$H$135))*ttokg*FSOMEF*NtoN2O*kgtoGg,"NO")</f>
        <v>4.4409793738676062E-4</v>
      </c>
      <c r="AB125" s="22">
        <f>IFERROR(('Activity data'!AB89*(1/Constants!$H$135))*ttokg*FSOMEF*NtoN2O*kgtoGg,"NO")</f>
        <v>4.4409793738676062E-4</v>
      </c>
      <c r="AC125" s="22">
        <f>IFERROR(('Activity data'!AC89*(1/Constants!$H$135))*ttokg*FSOMEF*NtoN2O*kgtoGg,"NO")</f>
        <v>4.4409793738676062E-4</v>
      </c>
      <c r="AD125" s="22">
        <f>IFERROR(('Activity data'!AD89*(1/Constants!$H$135))*ttokg*FSOMEF*NtoN2O*kgtoGg,"NO")</f>
        <v>3.4398813895090996E-3</v>
      </c>
      <c r="AE125" s="22">
        <f>IFERROR(('Activity data'!AE89*(1/Constants!$H$135))*ttokg*FSOMEF*NtoN2O*kgtoGg,"NO")</f>
        <v>3.4358310252377683E-3</v>
      </c>
      <c r="AF125" s="22">
        <f>IFERROR(('Activity data'!AF89*(1/Constants!$H$135))*ttokg*FSOMEF*NtoN2O*kgtoGg,"NO")</f>
        <v>3.4317806609664363E-3</v>
      </c>
      <c r="AG125" s="22">
        <f>IFERROR(('Activity data'!AG89*(1/Constants!$H$135))*ttokg*FSOMEF*NtoN2O*kgtoGg,"NO")</f>
        <v>3.4277302966951037E-3</v>
      </c>
      <c r="AH125" s="22">
        <f>IFERROR(('Activity data'!AH89*(1/Constants!$H$135))*ttokg*FSOMEF*NtoN2O*kgtoGg,"NO")</f>
        <v>3.4236799324237725E-3</v>
      </c>
      <c r="AI125" s="22">
        <f>IFERROR(('Activity data'!AI89*(1/Constants!$H$135))*ttokg*FSOMEF*NtoN2O*kgtoGg,"NO")</f>
        <v>3.4196295681524396E-3</v>
      </c>
      <c r="AJ125" s="22">
        <f>IFERROR(('Activity data'!AJ89*(1/Constants!$H$135))*ttokg*FSOMEF*NtoN2O*kgtoGg,"NO")</f>
        <v>3.4155792038811079E-3</v>
      </c>
      <c r="AK125" s="22">
        <f>IFERROR(('Activity data'!AK89*(1/Constants!$H$135))*ttokg*FSOMEF*NtoN2O*kgtoGg,"NO")</f>
        <v>3.4115288396097763E-3</v>
      </c>
      <c r="AL125" s="22">
        <f>IFERROR(('Activity data'!AL89*(1/Constants!$H$135))*ttokg*FSOMEF*NtoN2O*kgtoGg,"NO")</f>
        <v>3.4074784753384451E-3</v>
      </c>
      <c r="AM125" s="22">
        <f>IFERROR(('Activity data'!AM89*(1/Constants!$H$135))*ttokg*FSOMEF*NtoN2O*kgtoGg,"NO")</f>
        <v>3.4034281110671134E-3</v>
      </c>
      <c r="AN125" s="22">
        <f>IFERROR(('Activity data'!AN89*(1/Constants!$H$135))*ttokg*FSOMEF*NtoN2O*kgtoGg,"NO")</f>
        <v>3.39937774679578E-3</v>
      </c>
      <c r="AO125" s="22">
        <f>IFERROR(('Activity data'!AO89*(1/Constants!$H$135))*ttokg*FSOMEF*NtoN2O*kgtoGg,"NO")</f>
        <v>3.3953273825244488E-3</v>
      </c>
      <c r="AP125" s="22">
        <f>IFERROR(('Activity data'!AP89*(1/Constants!$H$135))*ttokg*FSOMEF*NtoN2O*kgtoGg,"NO")</f>
        <v>3.3912770182531172E-3</v>
      </c>
      <c r="AQ125" s="22">
        <f>IFERROR(('Activity data'!AQ89*(1/Constants!$H$135))*ttokg*FSOMEF*NtoN2O*kgtoGg,"NO")</f>
        <v>3.387226653981786E-3</v>
      </c>
      <c r="AR125" s="22">
        <f>IFERROR(('Activity data'!AR89*(1/Constants!$H$135))*ttokg*FSOMEF*NtoN2O*kgtoGg,"NO")</f>
        <v>3.3831762897104547E-3</v>
      </c>
      <c r="AS125" s="22">
        <f>IFERROR(('Activity data'!AS89*(1/Constants!$H$135))*ttokg*FSOMEF*NtoN2O*kgtoGg,"NO")</f>
        <v>3.3791259254391218E-3</v>
      </c>
      <c r="AT125" s="22">
        <f>IFERROR(('Activity data'!AT89*(1/Constants!$H$135))*ttokg*FSOMEF*NtoN2O*kgtoGg,"NO")</f>
        <v>3.375075561167791E-3</v>
      </c>
      <c r="AU125" s="22">
        <f>IFERROR(('Activity data'!AU89*(1/Constants!$H$135))*ttokg*FSOMEF*NtoN2O*kgtoGg,"NO")</f>
        <v>3.3710251968964585E-3</v>
      </c>
      <c r="AV125" s="22">
        <f>IFERROR(('Activity data'!AV89*(1/Constants!$H$135))*ttokg*FSOMEF*NtoN2O*kgtoGg,"NO")</f>
        <v>3.3669748326251273E-3</v>
      </c>
      <c r="AW125" s="22">
        <f>IFERROR(('Activity data'!AW89*(1/Constants!$H$135))*ttokg*FSOMEF*NtoN2O*kgtoGg,"NO")</f>
        <v>3.3629244683537943E-3</v>
      </c>
      <c r="AX125" s="22">
        <f>IFERROR(('Activity data'!AX89*(1/Constants!$H$135))*ttokg*FSOMEF*NtoN2O*kgtoGg,"NO")</f>
        <v>3.358874104082464E-3</v>
      </c>
      <c r="AY125" s="22">
        <f>IFERROR(('Activity data'!AY89*(1/Constants!$H$135))*ttokg*FSOMEF*NtoN2O*kgtoGg,"NO")</f>
        <v>3.3548237398111319E-3</v>
      </c>
      <c r="AZ125" s="22">
        <f>IFERROR(('Activity data'!AZ89*(1/Constants!$H$135))*ttokg*FSOMEF*NtoN2O*kgtoGg,"NO")</f>
        <v>3.3507733755397998E-3</v>
      </c>
      <c r="BA125" s="22">
        <f>IFERROR(('Activity data'!BA89*(1/Constants!$H$135))*ttokg*FSOMEF*NtoN2O*kgtoGg,"NO")</f>
        <v>3.3467230112684673E-3</v>
      </c>
      <c r="BB125" s="22">
        <f>IFERROR(('Activity data'!BB89*(1/Constants!$H$135))*ttokg*FSOMEF*NtoN2O*kgtoGg,"NO")</f>
        <v>3.3426726469971361E-3</v>
      </c>
      <c r="BC125" s="22">
        <f>IFERROR(('Activity data'!BC89*(1/Constants!$H$135))*ttokg*FSOMEF*NtoN2O*kgtoGg,"NO")</f>
        <v>3.3386222827258044E-3</v>
      </c>
      <c r="BD125" s="22">
        <f>IFERROR(('Activity data'!BD89*(1/Constants!$H$135))*ttokg*FSOMEF*NtoN2O*kgtoGg,"NO")</f>
        <v>3.3345719184544728E-3</v>
      </c>
      <c r="BE125" s="22">
        <f>IFERROR(('Activity data'!BE89*(1/Constants!$H$135))*ttokg*FSOMEF*NtoN2O*kgtoGg,"NO")</f>
        <v>3.3305215541831416E-3</v>
      </c>
      <c r="BF125" s="22">
        <f>IFERROR(('Activity data'!BF89*(1/Constants!$H$135))*ttokg*FSOMEF*NtoN2O*kgtoGg,"NO")</f>
        <v>3.3264711899118095E-3</v>
      </c>
      <c r="BG125" s="22">
        <f>IFERROR(('Activity data'!BG89*(1/Constants!$H$135))*ttokg*FSOMEF*NtoN2O*kgtoGg,"NO")</f>
        <v>3.3224208256404765E-3</v>
      </c>
      <c r="BH125" s="22">
        <f>IFERROR(('Activity data'!BH89*(1/Constants!$H$135))*ttokg*FSOMEF*NtoN2O*kgtoGg,"NO")</f>
        <v>3.3183704613691458E-3</v>
      </c>
      <c r="BI125" s="22">
        <f>IFERROR(('Activity data'!BI89*(1/Constants!$H$135))*ttokg*FSOMEF*NtoN2O*kgtoGg,"NO")</f>
        <v>3.3143200970978137E-3</v>
      </c>
      <c r="BJ125" s="22">
        <f>IFERROR(('Activity data'!BJ89*(1/Constants!$H$135))*ttokg*FSOMEF*NtoN2O*kgtoGg,"NO")</f>
        <v>3.3102697328264833E-3</v>
      </c>
      <c r="BK125" s="22">
        <f>IFERROR(('Activity data'!BK89*(1/Constants!$H$135))*ttokg*FSOMEF*NtoN2O*kgtoGg,"NO")</f>
        <v>3.3062193685551499E-3</v>
      </c>
      <c r="BL125" s="22">
        <f>IFERROR(('Activity data'!BL89*(1/Constants!$H$135))*ttokg*FSOMEF*NtoN2O*kgtoGg,"NO")</f>
        <v>3.3021690042838187E-3</v>
      </c>
      <c r="BM125" s="22">
        <f>IFERROR(('Activity data'!BM89*(1/Constants!$H$135))*ttokg*FSOMEF*NtoN2O*kgtoGg,"NO")</f>
        <v>3.2981186400124866E-3</v>
      </c>
      <c r="BN125" s="22">
        <f>IFERROR(('Activity data'!BN89*(1/Constants!$H$135))*ttokg*FSOMEF*NtoN2O*kgtoGg,"NO")</f>
        <v>3.2940682757411541E-3</v>
      </c>
      <c r="BO125" s="22">
        <f>IFERROR(('Activity data'!BO89*(1/Constants!$H$135))*ttokg*FSOMEF*NtoN2O*kgtoGg,"NO")</f>
        <v>3.2900179114698229E-3</v>
      </c>
      <c r="BP125" s="22">
        <f>IFERROR(('Activity data'!BP89*(1/Constants!$H$135))*ttokg*FSOMEF*NtoN2O*kgtoGg,"NO")</f>
        <v>3.2859675471984908E-3</v>
      </c>
    </row>
    <row r="126" spans="1:68" x14ac:dyDescent="0.25">
      <c r="A126" t="str">
        <f t="shared" si="39"/>
        <v>3C Aggregated and non-CO2 emissions on land</v>
      </c>
      <c r="B126" t="str">
        <f t="shared" si="31"/>
        <v>3C4 Direct N2O from managed soils (N2O)</v>
      </c>
      <c r="C126" t="s">
        <v>60</v>
      </c>
      <c r="D126" t="str">
        <f>" - "&amp;'Activity data'!D90</f>
        <v xml:space="preserve"> - Land converted to cropland</v>
      </c>
      <c r="E126" t="str">
        <f t="shared" si="40"/>
        <v>FSOM - Land converted to cropland</v>
      </c>
      <c r="G126" t="str">
        <f t="shared" si="37"/>
        <v>Gg N2O</v>
      </c>
      <c r="H126" s="22" t="str">
        <f>IFERROR(('Activity data'!H90*(1/Constants!$H$135))*ttokg*FSOMEF*NtoN2O*kgtoGg,"NO")</f>
        <v>NO</v>
      </c>
      <c r="I126" s="22">
        <f>IFERROR(('Activity data'!I90*(1/Constants!$H$135))*ttokg*FSOMEF*NtoN2O*kgtoGg,"NO")</f>
        <v>4.6331887587896581E-2</v>
      </c>
      <c r="J126" s="22">
        <f>IFERROR(('Activity data'!J90*(1/Constants!$H$135))*ttokg*FSOMEF*NtoN2O*kgtoGg,"NO")</f>
        <v>4.6331887587896581E-2</v>
      </c>
      <c r="K126" s="22">
        <f>IFERROR(('Activity data'!K90*(1/Constants!$H$135))*ttokg*FSOMEF*NtoN2O*kgtoGg,"NO")</f>
        <v>4.6331887587896581E-2</v>
      </c>
      <c r="L126" s="22">
        <f>IFERROR(('Activity data'!L90*(1/Constants!$H$135))*ttokg*FSOMEF*NtoN2O*kgtoGg,"NO")</f>
        <v>4.6331887587896581E-2</v>
      </c>
      <c r="M126" s="22">
        <f>IFERROR(('Activity data'!M90*(1/Constants!$H$135))*ttokg*FSOMEF*NtoN2O*kgtoGg,"NO")</f>
        <v>4.6331887587896581E-2</v>
      </c>
      <c r="N126" s="22">
        <f>IFERROR(('Activity data'!N90*(1/Constants!$H$135))*ttokg*FSOMEF*NtoN2O*kgtoGg,"NO")</f>
        <v>4.6331887587896581E-2</v>
      </c>
      <c r="O126" s="22">
        <f>IFERROR(('Activity data'!O90*(1/Constants!$H$135))*ttokg*FSOMEF*NtoN2O*kgtoGg,"NO")</f>
        <v>4.6331887587896581E-2</v>
      </c>
      <c r="P126" s="22">
        <f>IFERROR(('Activity data'!P90*(1/Constants!$H$135))*ttokg*FSOMEF*NtoN2O*kgtoGg,"NO")</f>
        <v>4.6331887587896581E-2</v>
      </c>
      <c r="Q126" s="22">
        <f>IFERROR(('Activity data'!Q90*(1/Constants!$H$135))*ttokg*FSOMEF*NtoN2O*kgtoGg,"NO")</f>
        <v>4.6331887587896581E-2</v>
      </c>
      <c r="R126" s="22">
        <f>IFERROR(('Activity data'!R90*(1/Constants!$H$135))*ttokg*FSOMEF*NtoN2O*kgtoGg,"NO")</f>
        <v>4.6331887587896581E-2</v>
      </c>
      <c r="S126" s="22">
        <f>IFERROR(('Activity data'!S90*(1/Constants!$H$135))*ttokg*FSOMEF*NtoN2O*kgtoGg,"NO")</f>
        <v>4.6331887587896581E-2</v>
      </c>
      <c r="T126" s="22">
        <f>IFERROR(('Activity data'!T90*(1/Constants!$H$135))*ttokg*FSOMEF*NtoN2O*kgtoGg,"NO")</f>
        <v>4.6331887587896581E-2</v>
      </c>
      <c r="U126" s="22">
        <f>IFERROR(('Activity data'!U90*(1/Constants!$H$135))*ttokg*FSOMEF*NtoN2O*kgtoGg,"NO")</f>
        <v>4.6331887587896581E-2</v>
      </c>
      <c r="V126" s="22">
        <f>IFERROR(('Activity data'!V90*(1/Constants!$H$135))*ttokg*FSOMEF*NtoN2O*kgtoGg,"NO")</f>
        <v>4.6331887587896581E-2</v>
      </c>
      <c r="W126" s="22">
        <f>IFERROR(('Activity data'!W90*(1/Constants!$H$135))*ttokg*FSOMEF*NtoN2O*kgtoGg,"NO")</f>
        <v>4.6331887587896581E-2</v>
      </c>
      <c r="X126" s="22">
        <f>IFERROR(('Activity data'!X90*(1/Constants!$H$135))*ttokg*FSOMEF*NtoN2O*kgtoGg,"NO")</f>
        <v>4.6331887587896581E-2</v>
      </c>
      <c r="Y126" s="22">
        <f>IFERROR(('Activity data'!Y90*(1/Constants!$H$135))*ttokg*FSOMEF*NtoN2O*kgtoGg,"NO")</f>
        <v>4.6331887587896581E-2</v>
      </c>
      <c r="Z126" s="22">
        <f>IFERROR(('Activity data'!Z90*(1/Constants!$H$135))*ttokg*FSOMEF*NtoN2O*kgtoGg,"NO")</f>
        <v>4.6331887587896581E-2</v>
      </c>
      <c r="AA126" s="22">
        <f>IFERROR(('Activity data'!AA90*(1/Constants!$H$135))*ttokg*FSOMEF*NtoN2O*kgtoGg,"NO")</f>
        <v>4.6331887587896581E-2</v>
      </c>
      <c r="AB126" s="22">
        <f>IFERROR(('Activity data'!AB90*(1/Constants!$H$135))*ttokg*FSOMEF*NtoN2O*kgtoGg,"NO")</f>
        <v>4.6331887587896581E-2</v>
      </c>
      <c r="AC126" s="22">
        <f>IFERROR(('Activity data'!AC90*(1/Constants!$H$135))*ttokg*FSOMEF*NtoN2O*kgtoGg,"NO")</f>
        <v>4.6331887587896581E-2</v>
      </c>
      <c r="AD126" s="22">
        <f>IFERROR(('Activity data'!AD90*(1/Constants!$H$135))*ttokg*FSOMEF*NtoN2O*kgtoGg,"NO")</f>
        <v>0.49020960547040615</v>
      </c>
      <c r="AE126" s="22">
        <f>IFERROR(('Activity data'!AE90*(1/Constants!$H$135))*ttokg*FSOMEF*NtoN2O*kgtoGg,"NO")</f>
        <v>0.49134551154341793</v>
      </c>
      <c r="AF126" s="22">
        <f>IFERROR(('Activity data'!AF90*(1/Constants!$H$135))*ttokg*FSOMEF*NtoN2O*kgtoGg,"NO")</f>
        <v>0.49248141761642988</v>
      </c>
      <c r="AG126" s="22">
        <f>IFERROR(('Activity data'!AG90*(1/Constants!$H$135))*ttokg*FSOMEF*NtoN2O*kgtoGg,"NO")</f>
        <v>0.49361732368944172</v>
      </c>
      <c r="AH126" s="22">
        <f>IFERROR(('Activity data'!AH90*(1/Constants!$H$135))*ttokg*FSOMEF*NtoN2O*kgtoGg,"NO")</f>
        <v>0.49475322976245356</v>
      </c>
      <c r="AI126" s="22">
        <f>IFERROR(('Activity data'!AI90*(1/Constants!$H$135))*ttokg*FSOMEF*NtoN2O*kgtoGg,"NO")</f>
        <v>0.49588913583546534</v>
      </c>
      <c r="AJ126" s="22">
        <f>IFERROR(('Activity data'!AJ90*(1/Constants!$H$135))*ttokg*FSOMEF*NtoN2O*kgtoGg,"NO")</f>
        <v>0.49702504190847724</v>
      </c>
      <c r="AK126" s="22">
        <f>IFERROR(('Activity data'!AK90*(1/Constants!$H$135))*ttokg*FSOMEF*NtoN2O*kgtoGg,"NO")</f>
        <v>0.49816094798148913</v>
      </c>
      <c r="AL126" s="22">
        <f>IFERROR(('Activity data'!AL90*(1/Constants!$H$135))*ttokg*FSOMEF*NtoN2O*kgtoGg,"NO")</f>
        <v>0.49929685405450086</v>
      </c>
      <c r="AM126" s="22">
        <f>IFERROR(('Activity data'!AM90*(1/Constants!$H$135))*ttokg*FSOMEF*NtoN2O*kgtoGg,"NO")</f>
        <v>0.50043276012751292</v>
      </c>
      <c r="AN126" s="22">
        <f>IFERROR(('Activity data'!AN90*(1/Constants!$H$135))*ttokg*FSOMEF*NtoN2O*kgtoGg,"NO")</f>
        <v>0.50156866620052454</v>
      </c>
      <c r="AO126" s="22">
        <f>IFERROR(('Activity data'!AO90*(1/Constants!$H$135))*ttokg*FSOMEF*NtoN2O*kgtoGg,"NO")</f>
        <v>0.50270457227353649</v>
      </c>
      <c r="AP126" s="22">
        <f>IFERROR(('Activity data'!AP90*(1/Constants!$H$135))*ttokg*FSOMEF*NtoN2O*kgtoGg,"NO")</f>
        <v>0.50384047834654833</v>
      </c>
      <c r="AQ126" s="22">
        <f>IFERROR(('Activity data'!AQ90*(1/Constants!$H$135))*ttokg*FSOMEF*NtoN2O*kgtoGg,"NO")</f>
        <v>0.50497638441956039</v>
      </c>
      <c r="AR126" s="22">
        <f>IFERROR(('Activity data'!AR90*(1/Constants!$H$135))*ttokg*FSOMEF*NtoN2O*kgtoGg,"NO")</f>
        <v>0.506112290492572</v>
      </c>
      <c r="AS126" s="22">
        <f>IFERROR(('Activity data'!AS90*(1/Constants!$H$135))*ttokg*FSOMEF*NtoN2O*kgtoGg,"NO")</f>
        <v>0.50724819656558406</v>
      </c>
      <c r="AT126" s="22">
        <f>IFERROR(('Activity data'!AT90*(1/Constants!$H$135))*ttokg*FSOMEF*NtoN2O*kgtoGg,"NO")</f>
        <v>0.50838410263859568</v>
      </c>
      <c r="AU126" s="22">
        <f>IFERROR(('Activity data'!AU90*(1/Constants!$H$135))*ttokg*FSOMEF*NtoN2O*kgtoGg,"NO")</f>
        <v>0.50952000871160763</v>
      </c>
      <c r="AV126" s="22">
        <f>IFERROR(('Activity data'!AV90*(1/Constants!$H$135))*ttokg*FSOMEF*NtoN2O*kgtoGg,"NO")</f>
        <v>0.51065591478461958</v>
      </c>
      <c r="AW126" s="22">
        <f>IFERROR(('Activity data'!AW90*(1/Constants!$H$135))*ttokg*FSOMEF*NtoN2O*kgtoGg,"NO")</f>
        <v>0.51179182085763142</v>
      </c>
      <c r="AX126" s="22">
        <f>IFERROR(('Activity data'!AX90*(1/Constants!$H$135))*ttokg*FSOMEF*NtoN2O*kgtoGg,"NO")</f>
        <v>0.51292772693064326</v>
      </c>
      <c r="AY126" s="22">
        <f>IFERROR(('Activity data'!AY90*(1/Constants!$H$135))*ttokg*FSOMEF*NtoN2O*kgtoGg,"NO")</f>
        <v>0.5140636330036551</v>
      </c>
      <c r="AZ126" s="22">
        <f>IFERROR(('Activity data'!AZ90*(1/Constants!$H$135))*ttokg*FSOMEF*NtoN2O*kgtoGg,"NO")</f>
        <v>0.51519953907666705</v>
      </c>
      <c r="BA126" s="22">
        <f>IFERROR(('Activity data'!BA90*(1/Constants!$H$135))*ttokg*FSOMEF*NtoN2O*kgtoGg,"NO")</f>
        <v>0.51633544514967877</v>
      </c>
      <c r="BB126" s="22">
        <f>IFERROR(('Activity data'!BB90*(1/Constants!$H$135))*ttokg*FSOMEF*NtoN2O*kgtoGg,"NO")</f>
        <v>0.51747135122269072</v>
      </c>
      <c r="BC126" s="22">
        <f>IFERROR(('Activity data'!BC90*(1/Constants!$H$135))*ttokg*FSOMEF*NtoN2O*kgtoGg,"NO")</f>
        <v>0.51860725729570256</v>
      </c>
      <c r="BD126" s="22">
        <f>IFERROR(('Activity data'!BD90*(1/Constants!$H$135))*ttokg*FSOMEF*NtoN2O*kgtoGg,"NO")</f>
        <v>0.5197431633687144</v>
      </c>
      <c r="BE126" s="22">
        <f>IFERROR(('Activity data'!BE90*(1/Constants!$H$135))*ttokg*FSOMEF*NtoN2O*kgtoGg,"NO")</f>
        <v>0.52087906944172624</v>
      </c>
      <c r="BF126" s="22">
        <f>IFERROR(('Activity data'!BF90*(1/Constants!$H$135))*ttokg*FSOMEF*NtoN2O*kgtoGg,"NO")</f>
        <v>0.52201497551473808</v>
      </c>
      <c r="BG126" s="22">
        <f>IFERROR(('Activity data'!BG90*(1/Constants!$H$135))*ttokg*FSOMEF*NtoN2O*kgtoGg,"NO")</f>
        <v>0.52315088158774992</v>
      </c>
      <c r="BH126" s="22">
        <f>IFERROR(('Activity data'!BH90*(1/Constants!$H$135))*ttokg*FSOMEF*NtoN2O*kgtoGg,"NO")</f>
        <v>0.52428678766076187</v>
      </c>
      <c r="BI126" s="22">
        <f>IFERROR(('Activity data'!BI90*(1/Constants!$H$135))*ttokg*FSOMEF*NtoN2O*kgtoGg,"NO")</f>
        <v>0.52542269373377359</v>
      </c>
      <c r="BJ126" s="22">
        <f>IFERROR(('Activity data'!BJ90*(1/Constants!$H$135))*ttokg*FSOMEF*NtoN2O*kgtoGg,"NO")</f>
        <v>0.52655859980678543</v>
      </c>
      <c r="BK126" s="22">
        <f>IFERROR(('Activity data'!BK90*(1/Constants!$H$135))*ttokg*FSOMEF*NtoN2O*kgtoGg,"NO")</f>
        <v>0.52769450587979749</v>
      </c>
      <c r="BL126" s="22">
        <f>IFERROR(('Activity data'!BL90*(1/Constants!$H$135))*ttokg*FSOMEF*NtoN2O*kgtoGg,"NO")</f>
        <v>0.52883041195280922</v>
      </c>
      <c r="BM126" s="22">
        <f>IFERROR(('Activity data'!BM90*(1/Constants!$H$135))*ttokg*FSOMEF*NtoN2O*kgtoGg,"NO")</f>
        <v>0.52996631802582106</v>
      </c>
      <c r="BN126" s="22">
        <f>IFERROR(('Activity data'!BN90*(1/Constants!$H$135))*ttokg*FSOMEF*NtoN2O*kgtoGg,"NO")</f>
        <v>0.53110222409883301</v>
      </c>
      <c r="BO126" s="22">
        <f>IFERROR(('Activity data'!BO90*(1/Constants!$H$135))*ttokg*FSOMEF*NtoN2O*kgtoGg,"NO")</f>
        <v>0.53223813017184474</v>
      </c>
      <c r="BP126" s="22">
        <f>IFERROR(('Activity data'!BP90*(1/Constants!$H$135))*ttokg*FSOMEF*NtoN2O*kgtoGg,"NO")</f>
        <v>0.5333740362448568</v>
      </c>
    </row>
    <row r="127" spans="1:68" x14ac:dyDescent="0.25">
      <c r="A127" t="str">
        <f t="shared" si="39"/>
        <v>3C Aggregated and non-CO2 emissions on land</v>
      </c>
      <c r="B127" t="str">
        <f t="shared" si="31"/>
        <v>3C4 Direct N2O from managed soils (N2O)</v>
      </c>
      <c r="C127" t="s">
        <v>60</v>
      </c>
      <c r="D127" t="str">
        <f>" - "&amp;'Activity data'!D91</f>
        <v xml:space="preserve"> - Grassland remaining grassland</v>
      </c>
      <c r="E127" t="str">
        <f t="shared" si="40"/>
        <v>FSOM - Grassland remaining grassland</v>
      </c>
      <c r="G127" t="str">
        <f t="shared" si="37"/>
        <v>Gg N2O</v>
      </c>
      <c r="H127" s="22" t="str">
        <f>IFERROR(('Activity data'!H91*(1/Constants!$H$135))*ttokg*FSOMEF*NtoN2O*kgtoGg,"NO")</f>
        <v>NO</v>
      </c>
      <c r="I127" s="22">
        <f>IFERROR(('Activity data'!I91*(1/Constants!$H$135))*ttokg*FSOMEF*NtoN2O*kgtoGg,"NO")</f>
        <v>5.1014681376878313E-2</v>
      </c>
      <c r="J127" s="22">
        <f>IFERROR(('Activity data'!J91*(1/Constants!$H$135))*ttokg*FSOMEF*NtoN2O*kgtoGg,"NO")</f>
        <v>5.1014681376878313E-2</v>
      </c>
      <c r="K127" s="22">
        <f>IFERROR(('Activity data'!K91*(1/Constants!$H$135))*ttokg*FSOMEF*NtoN2O*kgtoGg,"NO")</f>
        <v>5.1014681376878313E-2</v>
      </c>
      <c r="L127" s="22">
        <f>IFERROR(('Activity data'!L91*(1/Constants!$H$135))*ttokg*FSOMEF*NtoN2O*kgtoGg,"NO")</f>
        <v>5.1014681376878313E-2</v>
      </c>
      <c r="M127" s="22">
        <f>IFERROR(('Activity data'!M91*(1/Constants!$H$135))*ttokg*FSOMEF*NtoN2O*kgtoGg,"NO")</f>
        <v>5.1014681376878313E-2</v>
      </c>
      <c r="N127" s="22">
        <f>IFERROR(('Activity data'!N91*(1/Constants!$H$135))*ttokg*FSOMEF*NtoN2O*kgtoGg,"NO")</f>
        <v>5.1014681376878313E-2</v>
      </c>
      <c r="O127" s="22">
        <f>IFERROR(('Activity data'!O91*(1/Constants!$H$135))*ttokg*FSOMEF*NtoN2O*kgtoGg,"NO")</f>
        <v>5.1014681376878313E-2</v>
      </c>
      <c r="P127" s="22">
        <f>IFERROR(('Activity data'!P91*(1/Constants!$H$135))*ttokg*FSOMEF*NtoN2O*kgtoGg,"NO")</f>
        <v>5.1014681376878313E-2</v>
      </c>
      <c r="Q127" s="22">
        <f>IFERROR(('Activity data'!Q91*(1/Constants!$H$135))*ttokg*FSOMEF*NtoN2O*kgtoGg,"NO")</f>
        <v>5.1014681376878313E-2</v>
      </c>
      <c r="R127" s="22">
        <f>IFERROR(('Activity data'!R91*(1/Constants!$H$135))*ttokg*FSOMEF*NtoN2O*kgtoGg,"NO")</f>
        <v>5.1014681376878313E-2</v>
      </c>
      <c r="S127" s="22">
        <f>IFERROR(('Activity data'!S91*(1/Constants!$H$135))*ttokg*FSOMEF*NtoN2O*kgtoGg,"NO")</f>
        <v>5.1014681376878313E-2</v>
      </c>
      <c r="T127" s="22">
        <f>IFERROR(('Activity data'!T91*(1/Constants!$H$135))*ttokg*FSOMEF*NtoN2O*kgtoGg,"NO")</f>
        <v>5.1014681376878313E-2</v>
      </c>
      <c r="U127" s="22">
        <f>IFERROR(('Activity data'!U91*(1/Constants!$H$135))*ttokg*FSOMEF*NtoN2O*kgtoGg,"NO")</f>
        <v>5.1014681376878313E-2</v>
      </c>
      <c r="V127" s="22">
        <f>IFERROR(('Activity data'!V91*(1/Constants!$H$135))*ttokg*FSOMEF*NtoN2O*kgtoGg,"NO")</f>
        <v>5.1014681376878313E-2</v>
      </c>
      <c r="W127" s="22">
        <f>IFERROR(('Activity data'!W91*(1/Constants!$H$135))*ttokg*FSOMEF*NtoN2O*kgtoGg,"NO")</f>
        <v>5.1014681376878313E-2</v>
      </c>
      <c r="X127" s="22">
        <f>IFERROR(('Activity data'!X91*(1/Constants!$H$135))*ttokg*FSOMEF*NtoN2O*kgtoGg,"NO")</f>
        <v>5.1014681376878313E-2</v>
      </c>
      <c r="Y127" s="22">
        <f>IFERROR(('Activity data'!Y91*(1/Constants!$H$135))*ttokg*FSOMEF*NtoN2O*kgtoGg,"NO")</f>
        <v>5.1014681376878313E-2</v>
      </c>
      <c r="Z127" s="22">
        <f>IFERROR(('Activity data'!Z91*(1/Constants!$H$135))*ttokg*FSOMEF*NtoN2O*kgtoGg,"NO")</f>
        <v>5.1014681376878313E-2</v>
      </c>
      <c r="AA127" s="22">
        <f>IFERROR(('Activity data'!AA91*(1/Constants!$H$135))*ttokg*FSOMEF*NtoN2O*kgtoGg,"NO")</f>
        <v>5.1014681376878313E-2</v>
      </c>
      <c r="AB127" s="22">
        <f>IFERROR(('Activity data'!AB91*(1/Constants!$H$135))*ttokg*FSOMEF*NtoN2O*kgtoGg,"NO")</f>
        <v>5.1014681376878313E-2</v>
      </c>
      <c r="AC127" s="22">
        <f>IFERROR(('Activity data'!AC91*(1/Constants!$H$135))*ttokg*FSOMEF*NtoN2O*kgtoGg,"NO")</f>
        <v>5.1014681376878313E-2</v>
      </c>
      <c r="AD127" s="22">
        <f>IFERROR(('Activity data'!AD91*(1/Constants!$H$135))*ttokg*FSOMEF*NtoN2O*kgtoGg,"NO")</f>
        <v>0.57597220909378744</v>
      </c>
      <c r="AE127" s="22">
        <f>IFERROR(('Activity data'!AE91*(1/Constants!$H$135))*ttokg*FSOMEF*NtoN2O*kgtoGg,"NO")</f>
        <v>0.57597220909378744</v>
      </c>
      <c r="AF127" s="22">
        <f>IFERROR(('Activity data'!AF91*(1/Constants!$H$135))*ttokg*FSOMEF*NtoN2O*kgtoGg,"NO")</f>
        <v>0.57597220909378744</v>
      </c>
      <c r="AG127" s="22">
        <f>IFERROR(('Activity data'!AG91*(1/Constants!$H$135))*ttokg*FSOMEF*NtoN2O*kgtoGg,"NO")</f>
        <v>0.57597220909378744</v>
      </c>
      <c r="AH127" s="22">
        <f>IFERROR(('Activity data'!AH91*(1/Constants!$H$135))*ttokg*FSOMEF*NtoN2O*kgtoGg,"NO")</f>
        <v>0.57597220909378744</v>
      </c>
      <c r="AI127" s="22">
        <f>IFERROR(('Activity data'!AI91*(1/Constants!$H$135))*ttokg*FSOMEF*NtoN2O*kgtoGg,"NO")</f>
        <v>0.57597220909378744</v>
      </c>
      <c r="AJ127" s="22">
        <f>IFERROR(('Activity data'!AJ91*(1/Constants!$H$135))*ttokg*FSOMEF*NtoN2O*kgtoGg,"NO")</f>
        <v>0.57597220909378744</v>
      </c>
      <c r="AK127" s="22">
        <f>IFERROR(('Activity data'!AK91*(1/Constants!$H$135))*ttokg*FSOMEF*NtoN2O*kgtoGg,"NO")</f>
        <v>0.57597220909378744</v>
      </c>
      <c r="AL127" s="22">
        <f>IFERROR(('Activity data'!AL91*(1/Constants!$H$135))*ttokg*FSOMEF*NtoN2O*kgtoGg,"NO")</f>
        <v>0.57597220909378744</v>
      </c>
      <c r="AM127" s="22">
        <f>IFERROR(('Activity data'!AM91*(1/Constants!$H$135))*ttokg*FSOMEF*NtoN2O*kgtoGg,"NO")</f>
        <v>0.57597220909378744</v>
      </c>
      <c r="AN127" s="22">
        <f>IFERROR(('Activity data'!AN91*(1/Constants!$H$135))*ttokg*FSOMEF*NtoN2O*kgtoGg,"NO")</f>
        <v>0.57597220909378744</v>
      </c>
      <c r="AO127" s="22">
        <f>IFERROR(('Activity data'!AO91*(1/Constants!$H$135))*ttokg*FSOMEF*NtoN2O*kgtoGg,"NO")</f>
        <v>0.57597220909378744</v>
      </c>
      <c r="AP127" s="22">
        <f>IFERROR(('Activity data'!AP91*(1/Constants!$H$135))*ttokg*FSOMEF*NtoN2O*kgtoGg,"NO")</f>
        <v>0.57597220909378744</v>
      </c>
      <c r="AQ127" s="22">
        <f>IFERROR(('Activity data'!AQ91*(1/Constants!$H$135))*ttokg*FSOMEF*NtoN2O*kgtoGg,"NO")</f>
        <v>0.57597220909378744</v>
      </c>
      <c r="AR127" s="22">
        <f>IFERROR(('Activity data'!AR91*(1/Constants!$H$135))*ttokg*FSOMEF*NtoN2O*kgtoGg,"NO")</f>
        <v>0.57597220909378744</v>
      </c>
      <c r="AS127" s="22">
        <f>IFERROR(('Activity data'!AS91*(1/Constants!$H$135))*ttokg*FSOMEF*NtoN2O*kgtoGg,"NO")</f>
        <v>0.57597220909378744</v>
      </c>
      <c r="AT127" s="22">
        <f>IFERROR(('Activity data'!AT91*(1/Constants!$H$135))*ttokg*FSOMEF*NtoN2O*kgtoGg,"NO")</f>
        <v>0.57597220909378744</v>
      </c>
      <c r="AU127" s="22">
        <f>IFERROR(('Activity data'!AU91*(1/Constants!$H$135))*ttokg*FSOMEF*NtoN2O*kgtoGg,"NO")</f>
        <v>0.57597220909378744</v>
      </c>
      <c r="AV127" s="22">
        <f>IFERROR(('Activity data'!AV91*(1/Constants!$H$135))*ttokg*FSOMEF*NtoN2O*kgtoGg,"NO")</f>
        <v>0.57597220909378744</v>
      </c>
      <c r="AW127" s="22">
        <f>IFERROR(('Activity data'!AW91*(1/Constants!$H$135))*ttokg*FSOMEF*NtoN2O*kgtoGg,"NO")</f>
        <v>0.57597220909378744</v>
      </c>
      <c r="AX127" s="22">
        <f>IFERROR(('Activity data'!AX91*(1/Constants!$H$135))*ttokg*FSOMEF*NtoN2O*kgtoGg,"NO")</f>
        <v>0.57597220909378744</v>
      </c>
      <c r="AY127" s="22">
        <f>IFERROR(('Activity data'!AY91*(1/Constants!$H$135))*ttokg*FSOMEF*NtoN2O*kgtoGg,"NO")</f>
        <v>0.57597220909378744</v>
      </c>
      <c r="AZ127" s="22">
        <f>IFERROR(('Activity data'!AZ91*(1/Constants!$H$135))*ttokg*FSOMEF*NtoN2O*kgtoGg,"NO")</f>
        <v>0.57597220909378744</v>
      </c>
      <c r="BA127" s="22">
        <f>IFERROR(('Activity data'!BA91*(1/Constants!$H$135))*ttokg*FSOMEF*NtoN2O*kgtoGg,"NO")</f>
        <v>0.57597220909378744</v>
      </c>
      <c r="BB127" s="22">
        <f>IFERROR(('Activity data'!BB91*(1/Constants!$H$135))*ttokg*FSOMEF*NtoN2O*kgtoGg,"NO")</f>
        <v>0.57597220909378744</v>
      </c>
      <c r="BC127" s="22">
        <f>IFERROR(('Activity data'!BC91*(1/Constants!$H$135))*ttokg*FSOMEF*NtoN2O*kgtoGg,"NO")</f>
        <v>0.57597220909378744</v>
      </c>
      <c r="BD127" s="22">
        <f>IFERROR(('Activity data'!BD91*(1/Constants!$H$135))*ttokg*FSOMEF*NtoN2O*kgtoGg,"NO")</f>
        <v>0.57597220909378744</v>
      </c>
      <c r="BE127" s="22">
        <f>IFERROR(('Activity data'!BE91*(1/Constants!$H$135))*ttokg*FSOMEF*NtoN2O*kgtoGg,"NO")</f>
        <v>0.57597220909378744</v>
      </c>
      <c r="BF127" s="22">
        <f>IFERROR(('Activity data'!BF91*(1/Constants!$H$135))*ttokg*FSOMEF*NtoN2O*kgtoGg,"NO")</f>
        <v>0.57597220909378744</v>
      </c>
      <c r="BG127" s="22">
        <f>IFERROR(('Activity data'!BG91*(1/Constants!$H$135))*ttokg*FSOMEF*NtoN2O*kgtoGg,"NO")</f>
        <v>0.57597220909378744</v>
      </c>
      <c r="BH127" s="22">
        <f>IFERROR(('Activity data'!BH91*(1/Constants!$H$135))*ttokg*FSOMEF*NtoN2O*kgtoGg,"NO")</f>
        <v>0.57597220909378744</v>
      </c>
      <c r="BI127" s="22">
        <f>IFERROR(('Activity data'!BI91*(1/Constants!$H$135))*ttokg*FSOMEF*NtoN2O*kgtoGg,"NO")</f>
        <v>0.57597220909378744</v>
      </c>
      <c r="BJ127" s="22">
        <f>IFERROR(('Activity data'!BJ91*(1/Constants!$H$135))*ttokg*FSOMEF*NtoN2O*kgtoGg,"NO")</f>
        <v>0.57597220909378744</v>
      </c>
      <c r="BK127" s="22">
        <f>IFERROR(('Activity data'!BK91*(1/Constants!$H$135))*ttokg*FSOMEF*NtoN2O*kgtoGg,"NO")</f>
        <v>0.57597220909378744</v>
      </c>
      <c r="BL127" s="22">
        <f>IFERROR(('Activity data'!BL91*(1/Constants!$H$135))*ttokg*FSOMEF*NtoN2O*kgtoGg,"NO")</f>
        <v>0.57597220909378744</v>
      </c>
      <c r="BM127" s="22">
        <f>IFERROR(('Activity data'!BM91*(1/Constants!$H$135))*ttokg*FSOMEF*NtoN2O*kgtoGg,"NO")</f>
        <v>0.57597220909378744</v>
      </c>
      <c r="BN127" s="22">
        <f>IFERROR(('Activity data'!BN91*(1/Constants!$H$135))*ttokg*FSOMEF*NtoN2O*kgtoGg,"NO")</f>
        <v>0.57597220909378744</v>
      </c>
      <c r="BO127" s="22">
        <f>IFERROR(('Activity data'!BO91*(1/Constants!$H$135))*ttokg*FSOMEF*NtoN2O*kgtoGg,"NO")</f>
        <v>0.57597220909378744</v>
      </c>
      <c r="BP127" s="22">
        <f>IFERROR(('Activity data'!BP91*(1/Constants!$H$135))*ttokg*FSOMEF*NtoN2O*kgtoGg,"NO")</f>
        <v>0.57597220909378744</v>
      </c>
    </row>
    <row r="128" spans="1:68" x14ac:dyDescent="0.25">
      <c r="A128" t="str">
        <f t="shared" si="39"/>
        <v>3C Aggregated and non-CO2 emissions on land</v>
      </c>
      <c r="B128" t="str">
        <f t="shared" si="31"/>
        <v>3C4 Direct N2O from managed soils (N2O)</v>
      </c>
      <c r="C128" t="s">
        <v>60</v>
      </c>
      <c r="D128" t="str">
        <f>" - "&amp;'Activity data'!D92</f>
        <v xml:space="preserve"> - Land converted to grassland</v>
      </c>
      <c r="E128" t="str">
        <f t="shared" si="40"/>
        <v>FSOM - Land converted to grassland</v>
      </c>
      <c r="G128" t="str">
        <f t="shared" si="37"/>
        <v>Gg N2O</v>
      </c>
      <c r="H128" s="22">
        <f>IFERROR(('Activity data'!H92*(1/Constants!$H$135))*ttokg*FSOMEF*NtoN2O*kgtoGg,"NO")</f>
        <v>0</v>
      </c>
      <c r="I128" s="22">
        <f>IFERROR(('Activity data'!I92*(1/Constants!$H$135))*ttokg*FSOMEF*NtoN2O*kgtoGg,"NO")</f>
        <v>5.6957876987639012E-4</v>
      </c>
      <c r="J128" s="22">
        <f>IFERROR(('Activity data'!J92*(1/Constants!$H$135))*ttokg*FSOMEF*NtoN2O*kgtoGg,"NO")</f>
        <v>5.6957876987639012E-4</v>
      </c>
      <c r="K128" s="22">
        <f>IFERROR(('Activity data'!K92*(1/Constants!$H$135))*ttokg*FSOMEF*NtoN2O*kgtoGg,"NO")</f>
        <v>5.6957876987639012E-4</v>
      </c>
      <c r="L128" s="22">
        <f>IFERROR(('Activity data'!L92*(1/Constants!$H$135))*ttokg*FSOMEF*NtoN2O*kgtoGg,"NO")</f>
        <v>5.6957876987639012E-4</v>
      </c>
      <c r="M128" s="22">
        <f>IFERROR(('Activity data'!M92*(1/Constants!$H$135))*ttokg*FSOMEF*NtoN2O*kgtoGg,"NO")</f>
        <v>5.6957876987639012E-4</v>
      </c>
      <c r="N128" s="22">
        <f>IFERROR(('Activity data'!N92*(1/Constants!$H$135))*ttokg*FSOMEF*NtoN2O*kgtoGg,"NO")</f>
        <v>5.6957876987639012E-4</v>
      </c>
      <c r="O128" s="22">
        <f>IFERROR(('Activity data'!O92*(1/Constants!$H$135))*ttokg*FSOMEF*NtoN2O*kgtoGg,"NO")</f>
        <v>5.6957876987639012E-4</v>
      </c>
      <c r="P128" s="22">
        <f>IFERROR(('Activity data'!P92*(1/Constants!$H$135))*ttokg*FSOMEF*NtoN2O*kgtoGg,"NO")</f>
        <v>5.6957876987639012E-4</v>
      </c>
      <c r="Q128" s="22">
        <f>IFERROR(('Activity data'!Q92*(1/Constants!$H$135))*ttokg*FSOMEF*NtoN2O*kgtoGg,"NO")</f>
        <v>5.6957876987639012E-4</v>
      </c>
      <c r="R128" s="22">
        <f>IFERROR(('Activity data'!R92*(1/Constants!$H$135))*ttokg*FSOMEF*NtoN2O*kgtoGg,"NO")</f>
        <v>5.6957876987639012E-4</v>
      </c>
      <c r="S128" s="22">
        <f>IFERROR(('Activity data'!S92*(1/Constants!$H$135))*ttokg*FSOMEF*NtoN2O*kgtoGg,"NO")</f>
        <v>5.6957876987639012E-4</v>
      </c>
      <c r="T128" s="22">
        <f>IFERROR(('Activity data'!T92*(1/Constants!$H$135))*ttokg*FSOMEF*NtoN2O*kgtoGg,"NO")</f>
        <v>5.6957876987639012E-4</v>
      </c>
      <c r="U128" s="22">
        <f>IFERROR(('Activity data'!U92*(1/Constants!$H$135))*ttokg*FSOMEF*NtoN2O*kgtoGg,"NO")</f>
        <v>5.6957876987639012E-4</v>
      </c>
      <c r="V128" s="22">
        <f>IFERROR(('Activity data'!V92*(1/Constants!$H$135))*ttokg*FSOMEF*NtoN2O*kgtoGg,"NO")</f>
        <v>5.6957876987639012E-4</v>
      </c>
      <c r="W128" s="22">
        <f>IFERROR(('Activity data'!W92*(1/Constants!$H$135))*ttokg*FSOMEF*NtoN2O*kgtoGg,"NO")</f>
        <v>5.6957876987639012E-4</v>
      </c>
      <c r="X128" s="22">
        <f>IFERROR(('Activity data'!X92*(1/Constants!$H$135))*ttokg*FSOMEF*NtoN2O*kgtoGg,"NO")</f>
        <v>5.6957876987639012E-4</v>
      </c>
      <c r="Y128" s="22">
        <f>IFERROR(('Activity data'!Y92*(1/Constants!$H$135))*ttokg*FSOMEF*NtoN2O*kgtoGg,"NO")</f>
        <v>5.6957876987639012E-4</v>
      </c>
      <c r="Z128" s="22">
        <f>IFERROR(('Activity data'!Z92*(1/Constants!$H$135))*ttokg*FSOMEF*NtoN2O*kgtoGg,"NO")</f>
        <v>5.6957876987639012E-4</v>
      </c>
      <c r="AA128" s="22">
        <f>IFERROR(('Activity data'!AA92*(1/Constants!$H$135))*ttokg*FSOMEF*NtoN2O*kgtoGg,"NO")</f>
        <v>5.6957876987639012E-4</v>
      </c>
      <c r="AB128" s="22">
        <f>IFERROR(('Activity data'!AB92*(1/Constants!$H$135))*ttokg*FSOMEF*NtoN2O*kgtoGg,"NO")</f>
        <v>5.6957876987639012E-4</v>
      </c>
      <c r="AC128" s="22">
        <f>IFERROR(('Activity data'!AC92*(1/Constants!$H$135))*ttokg*FSOMEF*NtoN2O*kgtoGg,"NO")</f>
        <v>5.6957876987639012E-4</v>
      </c>
      <c r="AD128" s="22" t="str">
        <f>IFERROR(('Activity data'!AD92*(1/Constants!$H$135))*ttokg*FSOMEF*NtoN2O*kgtoGg,"NO")</f>
        <v>NO</v>
      </c>
      <c r="AE128" s="22" t="str">
        <f>IFERROR(('Activity data'!AE92*(1/Constants!$H$135))*ttokg*FSOMEF*NtoN2O*kgtoGg,"NO")</f>
        <v>NO</v>
      </c>
      <c r="AF128" s="22" t="str">
        <f>IFERROR(('Activity data'!AF92*(1/Constants!$H$135))*ttokg*FSOMEF*NtoN2O*kgtoGg,"NO")</f>
        <v>NO</v>
      </c>
      <c r="AG128" s="22" t="str">
        <f>IFERROR(('Activity data'!AG92*(1/Constants!$H$135))*ttokg*FSOMEF*NtoN2O*kgtoGg,"NO")</f>
        <v>NO</v>
      </c>
      <c r="AH128" s="22" t="str">
        <f>IFERROR(('Activity data'!AH92*(1/Constants!$H$135))*ttokg*FSOMEF*NtoN2O*kgtoGg,"NO")</f>
        <v>NO</v>
      </c>
      <c r="AI128" s="22" t="str">
        <f>IFERROR(('Activity data'!AI92*(1/Constants!$H$135))*ttokg*FSOMEF*NtoN2O*kgtoGg,"NO")</f>
        <v>NO</v>
      </c>
      <c r="AJ128" s="22" t="str">
        <f>IFERROR(('Activity data'!AJ92*(1/Constants!$H$135))*ttokg*FSOMEF*NtoN2O*kgtoGg,"NO")</f>
        <v>NO</v>
      </c>
      <c r="AK128" s="22" t="str">
        <f>IFERROR(('Activity data'!AK92*(1/Constants!$H$135))*ttokg*FSOMEF*NtoN2O*kgtoGg,"NO")</f>
        <v>NO</v>
      </c>
      <c r="AL128" s="22" t="str">
        <f>IFERROR(('Activity data'!AL92*(1/Constants!$H$135))*ttokg*FSOMEF*NtoN2O*kgtoGg,"NO")</f>
        <v>NO</v>
      </c>
      <c r="AM128" s="22" t="str">
        <f>IFERROR(('Activity data'!AM92*(1/Constants!$H$135))*ttokg*FSOMEF*NtoN2O*kgtoGg,"NO")</f>
        <v>NO</v>
      </c>
      <c r="AN128" s="22" t="str">
        <f>IFERROR(('Activity data'!AN92*(1/Constants!$H$135))*ttokg*FSOMEF*NtoN2O*kgtoGg,"NO")</f>
        <v>NO</v>
      </c>
      <c r="AO128" s="22" t="str">
        <f>IFERROR(('Activity data'!AO92*(1/Constants!$H$135))*ttokg*FSOMEF*NtoN2O*kgtoGg,"NO")</f>
        <v>NO</v>
      </c>
      <c r="AP128" s="22" t="str">
        <f>IFERROR(('Activity data'!AP92*(1/Constants!$H$135))*ttokg*FSOMEF*NtoN2O*kgtoGg,"NO")</f>
        <v>NO</v>
      </c>
      <c r="AQ128" s="22" t="str">
        <f>IFERROR(('Activity data'!AQ92*(1/Constants!$H$135))*ttokg*FSOMEF*NtoN2O*kgtoGg,"NO")</f>
        <v>NO</v>
      </c>
      <c r="AR128" s="22" t="str">
        <f>IFERROR(('Activity data'!AR92*(1/Constants!$H$135))*ttokg*FSOMEF*NtoN2O*kgtoGg,"NO")</f>
        <v>NO</v>
      </c>
      <c r="AS128" s="22" t="str">
        <f>IFERROR(('Activity data'!AS92*(1/Constants!$H$135))*ttokg*FSOMEF*NtoN2O*kgtoGg,"NO")</f>
        <v>NO</v>
      </c>
      <c r="AT128" s="22" t="str">
        <f>IFERROR(('Activity data'!AT92*(1/Constants!$H$135))*ttokg*FSOMEF*NtoN2O*kgtoGg,"NO")</f>
        <v>NO</v>
      </c>
      <c r="AU128" s="22" t="str">
        <f>IFERROR(('Activity data'!AU92*(1/Constants!$H$135))*ttokg*FSOMEF*NtoN2O*kgtoGg,"NO")</f>
        <v>NO</v>
      </c>
      <c r="AV128" s="22" t="str">
        <f>IFERROR(('Activity data'!AV92*(1/Constants!$H$135))*ttokg*FSOMEF*NtoN2O*kgtoGg,"NO")</f>
        <v>NO</v>
      </c>
      <c r="AW128" s="22" t="str">
        <f>IFERROR(('Activity data'!AW92*(1/Constants!$H$135))*ttokg*FSOMEF*NtoN2O*kgtoGg,"NO")</f>
        <v>NO</v>
      </c>
      <c r="AX128" s="22" t="str">
        <f>IFERROR(('Activity data'!AX92*(1/Constants!$H$135))*ttokg*FSOMEF*NtoN2O*kgtoGg,"NO")</f>
        <v>NO</v>
      </c>
      <c r="AY128" s="22" t="str">
        <f>IFERROR(('Activity data'!AY92*(1/Constants!$H$135))*ttokg*FSOMEF*NtoN2O*kgtoGg,"NO")</f>
        <v>NO</v>
      </c>
      <c r="AZ128" s="22" t="str">
        <f>IFERROR(('Activity data'!AZ92*(1/Constants!$H$135))*ttokg*FSOMEF*NtoN2O*kgtoGg,"NO")</f>
        <v>NO</v>
      </c>
      <c r="BA128" s="22" t="str">
        <f>IFERROR(('Activity data'!BA92*(1/Constants!$H$135))*ttokg*FSOMEF*NtoN2O*kgtoGg,"NO")</f>
        <v>NO</v>
      </c>
      <c r="BB128" s="22" t="str">
        <f>IFERROR(('Activity data'!BB92*(1/Constants!$H$135))*ttokg*FSOMEF*NtoN2O*kgtoGg,"NO")</f>
        <v>NO</v>
      </c>
      <c r="BC128" s="22" t="str">
        <f>IFERROR(('Activity data'!BC92*(1/Constants!$H$135))*ttokg*FSOMEF*NtoN2O*kgtoGg,"NO")</f>
        <v>NO</v>
      </c>
      <c r="BD128" s="22" t="str">
        <f>IFERROR(('Activity data'!BD92*(1/Constants!$H$135))*ttokg*FSOMEF*NtoN2O*kgtoGg,"NO")</f>
        <v>NO</v>
      </c>
      <c r="BE128" s="22" t="str">
        <f>IFERROR(('Activity data'!BE92*(1/Constants!$H$135))*ttokg*FSOMEF*NtoN2O*kgtoGg,"NO")</f>
        <v>NO</v>
      </c>
      <c r="BF128" s="22" t="str">
        <f>IFERROR(('Activity data'!BF92*(1/Constants!$H$135))*ttokg*FSOMEF*NtoN2O*kgtoGg,"NO")</f>
        <v>NO</v>
      </c>
      <c r="BG128" s="22" t="str">
        <f>IFERROR(('Activity data'!BG92*(1/Constants!$H$135))*ttokg*FSOMEF*NtoN2O*kgtoGg,"NO")</f>
        <v>NO</v>
      </c>
      <c r="BH128" s="22" t="str">
        <f>IFERROR(('Activity data'!BH92*(1/Constants!$H$135))*ttokg*FSOMEF*NtoN2O*kgtoGg,"NO")</f>
        <v>NO</v>
      </c>
      <c r="BI128" s="22" t="str">
        <f>IFERROR(('Activity data'!BI92*(1/Constants!$H$135))*ttokg*FSOMEF*NtoN2O*kgtoGg,"NO")</f>
        <v>NO</v>
      </c>
      <c r="BJ128" s="22" t="str">
        <f>IFERROR(('Activity data'!BJ92*(1/Constants!$H$135))*ttokg*FSOMEF*NtoN2O*kgtoGg,"NO")</f>
        <v>NO</v>
      </c>
      <c r="BK128" s="22" t="str">
        <f>IFERROR(('Activity data'!BK92*(1/Constants!$H$135))*ttokg*FSOMEF*NtoN2O*kgtoGg,"NO")</f>
        <v>NO</v>
      </c>
      <c r="BL128" s="22" t="str">
        <f>IFERROR(('Activity data'!BL92*(1/Constants!$H$135))*ttokg*FSOMEF*NtoN2O*kgtoGg,"NO")</f>
        <v>NO</v>
      </c>
      <c r="BM128" s="22" t="str">
        <f>IFERROR(('Activity data'!BM92*(1/Constants!$H$135))*ttokg*FSOMEF*NtoN2O*kgtoGg,"NO")</f>
        <v>NO</v>
      </c>
      <c r="BN128" s="22" t="str">
        <f>IFERROR(('Activity data'!BN92*(1/Constants!$H$135))*ttokg*FSOMEF*NtoN2O*kgtoGg,"NO")</f>
        <v>NO</v>
      </c>
      <c r="BO128" s="22" t="str">
        <f>IFERROR(('Activity data'!BO92*(1/Constants!$H$135))*ttokg*FSOMEF*NtoN2O*kgtoGg,"NO")</f>
        <v>NO</v>
      </c>
      <c r="BP128" s="22" t="str">
        <f>IFERROR(('Activity data'!BP92*(1/Constants!$H$135))*ttokg*FSOMEF*NtoN2O*kgtoGg,"NO")</f>
        <v>NO</v>
      </c>
    </row>
    <row r="129" spans="1:68" x14ac:dyDescent="0.25">
      <c r="A129" t="str">
        <f t="shared" si="39"/>
        <v>3C Aggregated and non-CO2 emissions on land</v>
      </c>
      <c r="B129" t="str">
        <f t="shared" si="31"/>
        <v>3C4 Direct N2O from managed soils (N2O)</v>
      </c>
      <c r="C129" t="s">
        <v>60</v>
      </c>
      <c r="D129" t="str">
        <f>" - "&amp;'Activity data'!D93</f>
        <v xml:space="preserve"> - Wetland remaining wetland</v>
      </c>
      <c r="E129" t="str">
        <f t="shared" si="32"/>
        <v>FSOM - Wetland remaining wetland</v>
      </c>
      <c r="G129" t="str">
        <f t="shared" si="37"/>
        <v>Gg N2O</v>
      </c>
      <c r="H129" s="22" t="str">
        <f>IFERROR(('Activity data'!H93*(1/Constants!$H$134))*ttokg*FSOMEF*NtoN2O*kgtoGg,"NO")</f>
        <v>NO</v>
      </c>
      <c r="I129" s="22" t="str">
        <f>IFERROR(('Activity data'!I93*(1/Constants!$H$134))*ttokg*FSOMEF*NtoN2O*kgtoGg,"NO")</f>
        <v>NO</v>
      </c>
      <c r="J129" s="22" t="str">
        <f>IFERROR(('Activity data'!J93*(1/Constants!$H$134))*ttokg*FSOMEF*NtoN2O*kgtoGg,"NO")</f>
        <v>NO</v>
      </c>
      <c r="K129" s="22" t="str">
        <f>IFERROR(('Activity data'!K93*(1/Constants!$H$134))*ttokg*FSOMEF*NtoN2O*kgtoGg,"NO")</f>
        <v>NO</v>
      </c>
      <c r="L129" s="22" t="str">
        <f>IFERROR(('Activity data'!L93*(1/Constants!$H$134))*ttokg*FSOMEF*NtoN2O*kgtoGg,"NO")</f>
        <v>NO</v>
      </c>
      <c r="M129" s="22" t="str">
        <f>IFERROR(('Activity data'!M93*(1/Constants!$H$134))*ttokg*FSOMEF*NtoN2O*kgtoGg,"NO")</f>
        <v>NO</v>
      </c>
      <c r="N129" s="22" t="str">
        <f>IFERROR(('Activity data'!N93*(1/Constants!$H$134))*ttokg*FSOMEF*NtoN2O*kgtoGg,"NO")</f>
        <v>NO</v>
      </c>
      <c r="O129" s="22" t="str">
        <f>IFERROR(('Activity data'!O93*(1/Constants!$H$134))*ttokg*FSOMEF*NtoN2O*kgtoGg,"NO")</f>
        <v>NO</v>
      </c>
      <c r="P129" s="22" t="str">
        <f>IFERROR(('Activity data'!P93*(1/Constants!$H$134))*ttokg*FSOMEF*NtoN2O*kgtoGg,"NO")</f>
        <v>NO</v>
      </c>
      <c r="Q129" s="22" t="str">
        <f>IFERROR(('Activity data'!Q93*(1/Constants!$H$134))*ttokg*FSOMEF*NtoN2O*kgtoGg,"NO")</f>
        <v>NO</v>
      </c>
      <c r="R129" s="22" t="str">
        <f>IFERROR(('Activity data'!R93*(1/Constants!$H$134))*ttokg*FSOMEF*NtoN2O*kgtoGg,"NO")</f>
        <v>NO</v>
      </c>
      <c r="S129" s="22" t="str">
        <f>IFERROR(('Activity data'!S93*(1/Constants!$H$134))*ttokg*FSOMEF*NtoN2O*kgtoGg,"NO")</f>
        <v>NO</v>
      </c>
      <c r="T129" s="22" t="str">
        <f>IFERROR(('Activity data'!T93*(1/Constants!$H$134))*ttokg*FSOMEF*NtoN2O*kgtoGg,"NO")</f>
        <v>NO</v>
      </c>
      <c r="U129" s="22" t="str">
        <f>IFERROR(('Activity data'!U93*(1/Constants!$H$134))*ttokg*FSOMEF*NtoN2O*kgtoGg,"NO")</f>
        <v>NO</v>
      </c>
      <c r="V129" s="22" t="str">
        <f>IFERROR(('Activity data'!V93*(1/Constants!$H$134))*ttokg*FSOMEF*NtoN2O*kgtoGg,"NO")</f>
        <v>NO</v>
      </c>
      <c r="W129" s="22" t="str">
        <f>IFERROR(('Activity data'!W93*(1/Constants!$H$134))*ttokg*FSOMEF*NtoN2O*kgtoGg,"NO")</f>
        <v>NO</v>
      </c>
      <c r="X129" s="22" t="str">
        <f>IFERROR(('Activity data'!X93*(1/Constants!$H$134))*ttokg*FSOMEF*NtoN2O*kgtoGg,"NO")</f>
        <v>NO</v>
      </c>
      <c r="Y129" s="22" t="str">
        <f>IFERROR(('Activity data'!Y93*(1/Constants!$H$134))*ttokg*FSOMEF*NtoN2O*kgtoGg,"NO")</f>
        <v>NO</v>
      </c>
      <c r="Z129" s="22" t="str">
        <f>IFERROR(('Activity data'!Z93*(1/Constants!$H$134))*ttokg*FSOMEF*NtoN2O*kgtoGg,"NO")</f>
        <v>NO</v>
      </c>
      <c r="AA129" s="22" t="str">
        <f>IFERROR(('Activity data'!AA93*(1/Constants!$H$134))*ttokg*FSOMEF*NtoN2O*kgtoGg,"NO")</f>
        <v>NO</v>
      </c>
      <c r="AB129" s="22" t="str">
        <f>IFERROR(('Activity data'!AB93*(1/Constants!$H$134))*ttokg*FSOMEF*NtoN2O*kgtoGg,"NO")</f>
        <v>NO</v>
      </c>
      <c r="AC129" s="22" t="str">
        <f>IFERROR(('Activity data'!AC93*(1/Constants!$H$134))*ttokg*FSOMEF*NtoN2O*kgtoGg,"NO")</f>
        <v>NO</v>
      </c>
      <c r="AD129" s="22" t="str">
        <f>IFERROR(('Activity data'!AD93*(1/Constants!$H$134))*ttokg*FSOMEF*NtoN2O*kgtoGg,"NO")</f>
        <v>NO</v>
      </c>
      <c r="AE129" s="22" t="str">
        <f>IFERROR(('Activity data'!AE93*(1/Constants!$H$134))*ttokg*FSOMEF*NtoN2O*kgtoGg,"NO")</f>
        <v>NO</v>
      </c>
      <c r="AF129" s="22" t="str">
        <f>IFERROR(('Activity data'!AF93*(1/Constants!$H$134))*ttokg*FSOMEF*NtoN2O*kgtoGg,"NO")</f>
        <v>NO</v>
      </c>
      <c r="AG129" s="22" t="str">
        <f>IFERROR(('Activity data'!AG93*(1/Constants!$H$134))*ttokg*FSOMEF*NtoN2O*kgtoGg,"NO")</f>
        <v>NO</v>
      </c>
      <c r="AH129" s="22" t="str">
        <f>IFERROR(('Activity data'!AH93*(1/Constants!$H$134))*ttokg*FSOMEF*NtoN2O*kgtoGg,"NO")</f>
        <v>NO</v>
      </c>
      <c r="AI129" s="22" t="str">
        <f>IFERROR(('Activity data'!AI93*(1/Constants!$H$134))*ttokg*FSOMEF*NtoN2O*kgtoGg,"NO")</f>
        <v>NO</v>
      </c>
      <c r="AJ129" s="22" t="str">
        <f>IFERROR(('Activity data'!AJ93*(1/Constants!$H$134))*ttokg*FSOMEF*NtoN2O*kgtoGg,"NO")</f>
        <v>NO</v>
      </c>
      <c r="AK129" s="22" t="str">
        <f>IFERROR(('Activity data'!AK93*(1/Constants!$H$134))*ttokg*FSOMEF*NtoN2O*kgtoGg,"NO")</f>
        <v>NO</v>
      </c>
      <c r="AL129" s="22" t="str">
        <f>IFERROR(('Activity data'!AL93*(1/Constants!$H$134))*ttokg*FSOMEF*NtoN2O*kgtoGg,"NO")</f>
        <v>NO</v>
      </c>
      <c r="AM129" s="22" t="str">
        <f>IFERROR(('Activity data'!AM93*(1/Constants!$H$134))*ttokg*FSOMEF*NtoN2O*kgtoGg,"NO")</f>
        <v>NO</v>
      </c>
      <c r="AN129" s="22" t="str">
        <f>IFERROR(('Activity data'!AN93*(1/Constants!$H$134))*ttokg*FSOMEF*NtoN2O*kgtoGg,"NO")</f>
        <v>NO</v>
      </c>
      <c r="AO129" s="22" t="str">
        <f>IFERROR(('Activity data'!AO93*(1/Constants!$H$134))*ttokg*FSOMEF*NtoN2O*kgtoGg,"NO")</f>
        <v>NO</v>
      </c>
      <c r="AP129" s="22" t="str">
        <f>IFERROR(('Activity data'!AP93*(1/Constants!$H$134))*ttokg*FSOMEF*NtoN2O*kgtoGg,"NO")</f>
        <v>NO</v>
      </c>
      <c r="AQ129" s="22" t="str">
        <f>IFERROR(('Activity data'!AQ93*(1/Constants!$H$134))*ttokg*FSOMEF*NtoN2O*kgtoGg,"NO")</f>
        <v>NO</v>
      </c>
      <c r="AR129" s="22" t="str">
        <f>IFERROR(('Activity data'!AR93*(1/Constants!$H$134))*ttokg*FSOMEF*NtoN2O*kgtoGg,"NO")</f>
        <v>NO</v>
      </c>
      <c r="AS129" s="22" t="str">
        <f>IFERROR(('Activity data'!AS93*(1/Constants!$H$134))*ttokg*FSOMEF*NtoN2O*kgtoGg,"NO")</f>
        <v>NO</v>
      </c>
      <c r="AT129" s="22" t="str">
        <f>IFERROR(('Activity data'!AT93*(1/Constants!$H$134))*ttokg*FSOMEF*NtoN2O*kgtoGg,"NO")</f>
        <v>NO</v>
      </c>
      <c r="AU129" s="22" t="str">
        <f>IFERROR(('Activity data'!AU93*(1/Constants!$H$134))*ttokg*FSOMEF*NtoN2O*kgtoGg,"NO")</f>
        <v>NO</v>
      </c>
      <c r="AV129" s="22" t="str">
        <f>IFERROR(('Activity data'!AV93*(1/Constants!$H$134))*ttokg*FSOMEF*NtoN2O*kgtoGg,"NO")</f>
        <v>NO</v>
      </c>
      <c r="AW129" s="22" t="str">
        <f>IFERROR(('Activity data'!AW93*(1/Constants!$H$134))*ttokg*FSOMEF*NtoN2O*kgtoGg,"NO")</f>
        <v>NO</v>
      </c>
      <c r="AX129" s="22" t="str">
        <f>IFERROR(('Activity data'!AX93*(1/Constants!$H$134))*ttokg*FSOMEF*NtoN2O*kgtoGg,"NO")</f>
        <v>NO</v>
      </c>
      <c r="AY129" s="22" t="str">
        <f>IFERROR(('Activity data'!AY93*(1/Constants!$H$134))*ttokg*FSOMEF*NtoN2O*kgtoGg,"NO")</f>
        <v>NO</v>
      </c>
      <c r="AZ129" s="22" t="str">
        <f>IFERROR(('Activity data'!AZ93*(1/Constants!$H$134))*ttokg*FSOMEF*NtoN2O*kgtoGg,"NO")</f>
        <v>NO</v>
      </c>
      <c r="BA129" s="22" t="str">
        <f>IFERROR(('Activity data'!BA93*(1/Constants!$H$134))*ttokg*FSOMEF*NtoN2O*kgtoGg,"NO")</f>
        <v>NO</v>
      </c>
      <c r="BB129" s="22" t="str">
        <f>IFERROR(('Activity data'!BB93*(1/Constants!$H$134))*ttokg*FSOMEF*NtoN2O*kgtoGg,"NO")</f>
        <v>NO</v>
      </c>
      <c r="BC129" s="22" t="str">
        <f>IFERROR(('Activity data'!BC93*(1/Constants!$H$134))*ttokg*FSOMEF*NtoN2O*kgtoGg,"NO")</f>
        <v>NO</v>
      </c>
      <c r="BD129" s="22" t="str">
        <f>IFERROR(('Activity data'!BD93*(1/Constants!$H$134))*ttokg*FSOMEF*NtoN2O*kgtoGg,"NO")</f>
        <v>NO</v>
      </c>
      <c r="BE129" s="22" t="str">
        <f>IFERROR(('Activity data'!BE93*(1/Constants!$H$134))*ttokg*FSOMEF*NtoN2O*kgtoGg,"NO")</f>
        <v>NO</v>
      </c>
      <c r="BF129" s="22" t="str">
        <f>IFERROR(('Activity data'!BF93*(1/Constants!$H$134))*ttokg*FSOMEF*NtoN2O*kgtoGg,"NO")</f>
        <v>NO</v>
      </c>
      <c r="BG129" s="22" t="str">
        <f>IFERROR(('Activity data'!BG93*(1/Constants!$H$134))*ttokg*FSOMEF*NtoN2O*kgtoGg,"NO")</f>
        <v>NO</v>
      </c>
      <c r="BH129" s="22" t="str">
        <f>IFERROR(('Activity data'!BH93*(1/Constants!$H$134))*ttokg*FSOMEF*NtoN2O*kgtoGg,"NO")</f>
        <v>NO</v>
      </c>
      <c r="BI129" s="22" t="str">
        <f>IFERROR(('Activity data'!BI93*(1/Constants!$H$134))*ttokg*FSOMEF*NtoN2O*kgtoGg,"NO")</f>
        <v>NO</v>
      </c>
      <c r="BJ129" s="22" t="str">
        <f>IFERROR(('Activity data'!BJ93*(1/Constants!$H$134))*ttokg*FSOMEF*NtoN2O*kgtoGg,"NO")</f>
        <v>NO</v>
      </c>
      <c r="BK129" s="22" t="str">
        <f>IFERROR(('Activity data'!BK93*(1/Constants!$H$134))*ttokg*FSOMEF*NtoN2O*kgtoGg,"NO")</f>
        <v>NO</v>
      </c>
      <c r="BL129" s="22" t="str">
        <f>IFERROR(('Activity data'!BL93*(1/Constants!$H$134))*ttokg*FSOMEF*NtoN2O*kgtoGg,"NO")</f>
        <v>NO</v>
      </c>
      <c r="BM129" s="22" t="str">
        <f>IFERROR(('Activity data'!BM93*(1/Constants!$H$134))*ttokg*FSOMEF*NtoN2O*kgtoGg,"NO")</f>
        <v>NO</v>
      </c>
      <c r="BN129" s="22" t="str">
        <f>IFERROR(('Activity data'!BN93*(1/Constants!$H$134))*ttokg*FSOMEF*NtoN2O*kgtoGg,"NO")</f>
        <v>NO</v>
      </c>
      <c r="BO129" s="22" t="str">
        <f>IFERROR(('Activity data'!BO93*(1/Constants!$H$134))*ttokg*FSOMEF*NtoN2O*kgtoGg,"NO")</f>
        <v>NO</v>
      </c>
      <c r="BP129" s="22" t="str">
        <f>IFERROR(('Activity data'!BP93*(1/Constants!$H$134))*ttokg*FSOMEF*NtoN2O*kgtoGg,"NO")</f>
        <v>NO</v>
      </c>
    </row>
    <row r="130" spans="1:68" x14ac:dyDescent="0.25">
      <c r="A130" t="str">
        <f t="shared" si="39"/>
        <v>3C Aggregated and non-CO2 emissions on land</v>
      </c>
      <c r="B130" t="str">
        <f t="shared" si="31"/>
        <v>3C4 Direct N2O from managed soils (N2O)</v>
      </c>
      <c r="C130" t="s">
        <v>60</v>
      </c>
      <c r="D130" t="str">
        <f>" - "&amp;'Activity data'!D94</f>
        <v xml:space="preserve"> - Land converted to wetland</v>
      </c>
      <c r="E130" t="str">
        <f t="shared" ref="E130:E134" si="41">C130&amp;D130</f>
        <v>FSOM - Land converted to wetland</v>
      </c>
      <c r="G130" t="str">
        <f t="shared" si="37"/>
        <v>Gg N2O</v>
      </c>
      <c r="H130" s="22" t="str">
        <f>IFERROR(('Activity data'!H94*(1/Constants!$H$132))*ttokg*FSOMEF*NtoN2O*kgtoGg,"NO")</f>
        <v>NO</v>
      </c>
      <c r="I130" s="22" t="str">
        <f>IFERROR(('Activity data'!I94*(1/Constants!$H$132))*ttokg*FSOMEF*NtoN2O*kgtoGg,"NO")</f>
        <v>NO</v>
      </c>
      <c r="J130" s="22" t="str">
        <f>IFERROR(('Activity data'!J94*(1/Constants!$H$132))*ttokg*FSOMEF*NtoN2O*kgtoGg,"NO")</f>
        <v>NO</v>
      </c>
      <c r="K130" s="22" t="str">
        <f>IFERROR(('Activity data'!K94*(1/Constants!$H$132))*ttokg*FSOMEF*NtoN2O*kgtoGg,"NO")</f>
        <v>NO</v>
      </c>
      <c r="L130" s="22" t="str">
        <f>IFERROR(('Activity data'!L94*(1/Constants!$H$132))*ttokg*FSOMEF*NtoN2O*kgtoGg,"NO")</f>
        <v>NO</v>
      </c>
      <c r="M130" s="22" t="str">
        <f>IFERROR(('Activity data'!M94*(1/Constants!$H$132))*ttokg*FSOMEF*NtoN2O*kgtoGg,"NO")</f>
        <v>NO</v>
      </c>
      <c r="N130" s="22" t="str">
        <f>IFERROR(('Activity data'!N94*(1/Constants!$H$132))*ttokg*FSOMEF*NtoN2O*kgtoGg,"NO")</f>
        <v>NO</v>
      </c>
      <c r="O130" s="22" t="str">
        <f>IFERROR(('Activity data'!O94*(1/Constants!$H$132))*ttokg*FSOMEF*NtoN2O*kgtoGg,"NO")</f>
        <v>NO</v>
      </c>
      <c r="P130" s="22" t="str">
        <f>IFERROR(('Activity data'!P94*(1/Constants!$H$132))*ttokg*FSOMEF*NtoN2O*kgtoGg,"NO")</f>
        <v>NO</v>
      </c>
      <c r="Q130" s="22" t="str">
        <f>IFERROR(('Activity data'!Q94*(1/Constants!$H$132))*ttokg*FSOMEF*NtoN2O*kgtoGg,"NO")</f>
        <v>NO</v>
      </c>
      <c r="R130" s="22" t="str">
        <f>IFERROR(('Activity data'!R94*(1/Constants!$H$132))*ttokg*FSOMEF*NtoN2O*kgtoGg,"NO")</f>
        <v>NO</v>
      </c>
      <c r="S130" s="22" t="str">
        <f>IFERROR(('Activity data'!S94*(1/Constants!$H$132))*ttokg*FSOMEF*NtoN2O*kgtoGg,"NO")</f>
        <v>NO</v>
      </c>
      <c r="T130" s="22" t="str">
        <f>IFERROR(('Activity data'!T94*(1/Constants!$H$132))*ttokg*FSOMEF*NtoN2O*kgtoGg,"NO")</f>
        <v>NO</v>
      </c>
      <c r="U130" s="22" t="str">
        <f>IFERROR(('Activity data'!U94*(1/Constants!$H$132))*ttokg*FSOMEF*NtoN2O*kgtoGg,"NO")</f>
        <v>NO</v>
      </c>
      <c r="V130" s="22" t="str">
        <f>IFERROR(('Activity data'!V94*(1/Constants!$H$132))*ttokg*FSOMEF*NtoN2O*kgtoGg,"NO")</f>
        <v>NO</v>
      </c>
      <c r="W130" s="22" t="str">
        <f>IFERROR(('Activity data'!W94*(1/Constants!$H$132))*ttokg*FSOMEF*NtoN2O*kgtoGg,"NO")</f>
        <v>NO</v>
      </c>
      <c r="X130" s="22" t="str">
        <f>IFERROR(('Activity data'!X94*(1/Constants!$H$132))*ttokg*FSOMEF*NtoN2O*kgtoGg,"NO")</f>
        <v>NO</v>
      </c>
      <c r="Y130" s="22" t="str">
        <f>IFERROR(('Activity data'!Y94*(1/Constants!$H$132))*ttokg*FSOMEF*NtoN2O*kgtoGg,"NO")</f>
        <v>NO</v>
      </c>
      <c r="Z130" s="22" t="str">
        <f>IFERROR(('Activity data'!Z94*(1/Constants!$H$132))*ttokg*FSOMEF*NtoN2O*kgtoGg,"NO")</f>
        <v>NO</v>
      </c>
      <c r="AA130" s="22" t="str">
        <f>IFERROR(('Activity data'!AA94*(1/Constants!$H$132))*ttokg*FSOMEF*NtoN2O*kgtoGg,"NO")</f>
        <v>NO</v>
      </c>
      <c r="AB130" s="22" t="str">
        <f>IFERROR(('Activity data'!AB94*(1/Constants!$H$132))*ttokg*FSOMEF*NtoN2O*kgtoGg,"NO")</f>
        <v>NO</v>
      </c>
      <c r="AC130" s="22" t="str">
        <f>IFERROR(('Activity data'!AC94*(1/Constants!$H$132))*ttokg*FSOMEF*NtoN2O*kgtoGg,"NO")</f>
        <v>NO</v>
      </c>
      <c r="AD130" s="22" t="str">
        <f>IFERROR(('Activity data'!AD94*(1/Constants!$H$132))*ttokg*FSOMEF*NtoN2O*kgtoGg,"NO")</f>
        <v>NO</v>
      </c>
      <c r="AE130" s="22" t="str">
        <f>IFERROR(('Activity data'!AE94*(1/Constants!$H$132))*ttokg*FSOMEF*NtoN2O*kgtoGg,"NO")</f>
        <v>NO</v>
      </c>
      <c r="AF130" s="22" t="str">
        <f>IFERROR(('Activity data'!AF94*(1/Constants!$H$132))*ttokg*FSOMEF*NtoN2O*kgtoGg,"NO")</f>
        <v>NO</v>
      </c>
      <c r="AG130" s="22" t="str">
        <f>IFERROR(('Activity data'!AG94*(1/Constants!$H$132))*ttokg*FSOMEF*NtoN2O*kgtoGg,"NO")</f>
        <v>NO</v>
      </c>
      <c r="AH130" s="22" t="str">
        <f>IFERROR(('Activity data'!AH94*(1/Constants!$H$132))*ttokg*FSOMEF*NtoN2O*kgtoGg,"NO")</f>
        <v>NO</v>
      </c>
      <c r="AI130" s="22" t="str">
        <f>IFERROR(('Activity data'!AI94*(1/Constants!$H$132))*ttokg*FSOMEF*NtoN2O*kgtoGg,"NO")</f>
        <v>NO</v>
      </c>
      <c r="AJ130" s="22" t="str">
        <f>IFERROR(('Activity data'!AJ94*(1/Constants!$H$132))*ttokg*FSOMEF*NtoN2O*kgtoGg,"NO")</f>
        <v>NO</v>
      </c>
      <c r="AK130" s="22" t="str">
        <f>IFERROR(('Activity data'!AK94*(1/Constants!$H$132))*ttokg*FSOMEF*NtoN2O*kgtoGg,"NO")</f>
        <v>NO</v>
      </c>
      <c r="AL130" s="22" t="str">
        <f>IFERROR(('Activity data'!AL94*(1/Constants!$H$132))*ttokg*FSOMEF*NtoN2O*kgtoGg,"NO")</f>
        <v>NO</v>
      </c>
      <c r="AM130" s="22" t="str">
        <f>IFERROR(('Activity data'!AM94*(1/Constants!$H$132))*ttokg*FSOMEF*NtoN2O*kgtoGg,"NO")</f>
        <v>NO</v>
      </c>
      <c r="AN130" s="22" t="str">
        <f>IFERROR(('Activity data'!AN94*(1/Constants!$H$132))*ttokg*FSOMEF*NtoN2O*kgtoGg,"NO")</f>
        <v>NO</v>
      </c>
      <c r="AO130" s="22" t="str">
        <f>IFERROR(('Activity data'!AO94*(1/Constants!$H$132))*ttokg*FSOMEF*NtoN2O*kgtoGg,"NO")</f>
        <v>NO</v>
      </c>
      <c r="AP130" s="22" t="str">
        <f>IFERROR(('Activity data'!AP94*(1/Constants!$H$132))*ttokg*FSOMEF*NtoN2O*kgtoGg,"NO")</f>
        <v>NO</v>
      </c>
      <c r="AQ130" s="22" t="str">
        <f>IFERROR(('Activity data'!AQ94*(1/Constants!$H$132))*ttokg*FSOMEF*NtoN2O*kgtoGg,"NO")</f>
        <v>NO</v>
      </c>
      <c r="AR130" s="22" t="str">
        <f>IFERROR(('Activity data'!AR94*(1/Constants!$H$132))*ttokg*FSOMEF*NtoN2O*kgtoGg,"NO")</f>
        <v>NO</v>
      </c>
      <c r="AS130" s="22" t="str">
        <f>IFERROR(('Activity data'!AS94*(1/Constants!$H$132))*ttokg*FSOMEF*NtoN2O*kgtoGg,"NO")</f>
        <v>NO</v>
      </c>
      <c r="AT130" s="22" t="str">
        <f>IFERROR(('Activity data'!AT94*(1/Constants!$H$132))*ttokg*FSOMEF*NtoN2O*kgtoGg,"NO")</f>
        <v>NO</v>
      </c>
      <c r="AU130" s="22" t="str">
        <f>IFERROR(('Activity data'!AU94*(1/Constants!$H$132))*ttokg*FSOMEF*NtoN2O*kgtoGg,"NO")</f>
        <v>NO</v>
      </c>
      <c r="AV130" s="22" t="str">
        <f>IFERROR(('Activity data'!AV94*(1/Constants!$H$132))*ttokg*FSOMEF*NtoN2O*kgtoGg,"NO")</f>
        <v>NO</v>
      </c>
      <c r="AW130" s="22" t="str">
        <f>IFERROR(('Activity data'!AW94*(1/Constants!$H$132))*ttokg*FSOMEF*NtoN2O*kgtoGg,"NO")</f>
        <v>NO</v>
      </c>
      <c r="AX130" s="22" t="str">
        <f>IFERROR(('Activity data'!AX94*(1/Constants!$H$132))*ttokg*FSOMEF*NtoN2O*kgtoGg,"NO")</f>
        <v>NO</v>
      </c>
      <c r="AY130" s="22" t="str">
        <f>IFERROR(('Activity data'!AY94*(1/Constants!$H$132))*ttokg*FSOMEF*NtoN2O*kgtoGg,"NO")</f>
        <v>NO</v>
      </c>
      <c r="AZ130" s="22" t="str">
        <f>IFERROR(('Activity data'!AZ94*(1/Constants!$H$132))*ttokg*FSOMEF*NtoN2O*kgtoGg,"NO")</f>
        <v>NO</v>
      </c>
      <c r="BA130" s="22" t="str">
        <f>IFERROR(('Activity data'!BA94*(1/Constants!$H$132))*ttokg*FSOMEF*NtoN2O*kgtoGg,"NO")</f>
        <v>NO</v>
      </c>
      <c r="BB130" s="22" t="str">
        <f>IFERROR(('Activity data'!BB94*(1/Constants!$H$132))*ttokg*FSOMEF*NtoN2O*kgtoGg,"NO")</f>
        <v>NO</v>
      </c>
      <c r="BC130" s="22" t="str">
        <f>IFERROR(('Activity data'!BC94*(1/Constants!$H$132))*ttokg*FSOMEF*NtoN2O*kgtoGg,"NO")</f>
        <v>NO</v>
      </c>
      <c r="BD130" s="22" t="str">
        <f>IFERROR(('Activity data'!BD94*(1/Constants!$H$132))*ttokg*FSOMEF*NtoN2O*kgtoGg,"NO")</f>
        <v>NO</v>
      </c>
      <c r="BE130" s="22" t="str">
        <f>IFERROR(('Activity data'!BE94*(1/Constants!$H$132))*ttokg*FSOMEF*NtoN2O*kgtoGg,"NO")</f>
        <v>NO</v>
      </c>
      <c r="BF130" s="22" t="str">
        <f>IFERROR(('Activity data'!BF94*(1/Constants!$H$132))*ttokg*FSOMEF*NtoN2O*kgtoGg,"NO")</f>
        <v>NO</v>
      </c>
      <c r="BG130" s="22" t="str">
        <f>IFERROR(('Activity data'!BG94*(1/Constants!$H$132))*ttokg*FSOMEF*NtoN2O*kgtoGg,"NO")</f>
        <v>NO</v>
      </c>
      <c r="BH130" s="22" t="str">
        <f>IFERROR(('Activity data'!BH94*(1/Constants!$H$132))*ttokg*FSOMEF*NtoN2O*kgtoGg,"NO")</f>
        <v>NO</v>
      </c>
      <c r="BI130" s="22" t="str">
        <f>IFERROR(('Activity data'!BI94*(1/Constants!$H$132))*ttokg*FSOMEF*NtoN2O*kgtoGg,"NO")</f>
        <v>NO</v>
      </c>
      <c r="BJ130" s="22" t="str">
        <f>IFERROR(('Activity data'!BJ94*(1/Constants!$H$132))*ttokg*FSOMEF*NtoN2O*kgtoGg,"NO")</f>
        <v>NO</v>
      </c>
      <c r="BK130" s="22" t="str">
        <f>IFERROR(('Activity data'!BK94*(1/Constants!$H$132))*ttokg*FSOMEF*NtoN2O*kgtoGg,"NO")</f>
        <v>NO</v>
      </c>
      <c r="BL130" s="22" t="str">
        <f>IFERROR(('Activity data'!BL94*(1/Constants!$H$132))*ttokg*FSOMEF*NtoN2O*kgtoGg,"NO")</f>
        <v>NO</v>
      </c>
      <c r="BM130" s="22" t="str">
        <f>IFERROR(('Activity data'!BM94*(1/Constants!$H$132))*ttokg*FSOMEF*NtoN2O*kgtoGg,"NO")</f>
        <v>NO</v>
      </c>
      <c r="BN130" s="22" t="str">
        <f>IFERROR(('Activity data'!BN94*(1/Constants!$H$132))*ttokg*FSOMEF*NtoN2O*kgtoGg,"NO")</f>
        <v>NO</v>
      </c>
      <c r="BO130" s="22" t="str">
        <f>IFERROR(('Activity data'!BO94*(1/Constants!$H$132))*ttokg*FSOMEF*NtoN2O*kgtoGg,"NO")</f>
        <v>NO</v>
      </c>
      <c r="BP130" s="22" t="str">
        <f>IFERROR(('Activity data'!BP94*(1/Constants!$H$132))*ttokg*FSOMEF*NtoN2O*kgtoGg,"NO")</f>
        <v>NO</v>
      </c>
    </row>
    <row r="131" spans="1:68" x14ac:dyDescent="0.25">
      <c r="A131" t="str">
        <f t="shared" si="39"/>
        <v>3C Aggregated and non-CO2 emissions on land</v>
      </c>
      <c r="B131" t="str">
        <f t="shared" si="31"/>
        <v>3C4 Direct N2O from managed soils (N2O)</v>
      </c>
      <c r="C131" t="s">
        <v>60</v>
      </c>
      <c r="D131" t="str">
        <f>" - "&amp;'Activity data'!D95</f>
        <v xml:space="preserve"> - Settlements remaining settlements</v>
      </c>
      <c r="E131" t="str">
        <f t="shared" si="41"/>
        <v>FSOM - Settlements remaining settlements</v>
      </c>
      <c r="G131" t="str">
        <f t="shared" si="37"/>
        <v>Gg N2O</v>
      </c>
      <c r="H131" s="22" t="str">
        <f>IFERROR(('Activity data'!H95*(1/Constants!$H$133))*ttokg*FSOMEF*NtoN2O*kgtoGg,"NO")</f>
        <v>NO</v>
      </c>
      <c r="I131" s="22">
        <f>IFERROR(('Activity data'!I95*(1/Constants!$H$133))*ttokg*FSOMEF*NtoN2O*kgtoGg,"NO")</f>
        <v>4.963559447138258E-6</v>
      </c>
      <c r="J131" s="22">
        <f>IFERROR(('Activity data'!J95*(1/Constants!$H$133))*ttokg*FSOMEF*NtoN2O*kgtoGg,"NO")</f>
        <v>4.963559447138258E-6</v>
      </c>
      <c r="K131" s="22">
        <f>IFERROR(('Activity data'!K95*(1/Constants!$H$133))*ttokg*FSOMEF*NtoN2O*kgtoGg,"NO")</f>
        <v>4.963559447138258E-6</v>
      </c>
      <c r="L131" s="22">
        <f>IFERROR(('Activity data'!L95*(1/Constants!$H$133))*ttokg*FSOMEF*NtoN2O*kgtoGg,"NO")</f>
        <v>4.963559447138258E-6</v>
      </c>
      <c r="M131" s="22">
        <f>IFERROR(('Activity data'!M95*(1/Constants!$H$133))*ttokg*FSOMEF*NtoN2O*kgtoGg,"NO")</f>
        <v>4.963559447138258E-6</v>
      </c>
      <c r="N131" s="22">
        <f>IFERROR(('Activity data'!N95*(1/Constants!$H$133))*ttokg*FSOMEF*NtoN2O*kgtoGg,"NO")</f>
        <v>4.963559447138258E-6</v>
      </c>
      <c r="O131" s="22">
        <f>IFERROR(('Activity data'!O95*(1/Constants!$H$133))*ttokg*FSOMEF*NtoN2O*kgtoGg,"NO")</f>
        <v>4.963559447138258E-6</v>
      </c>
      <c r="P131" s="22">
        <f>IFERROR(('Activity data'!P95*(1/Constants!$H$133))*ttokg*FSOMEF*NtoN2O*kgtoGg,"NO")</f>
        <v>4.963559447138258E-6</v>
      </c>
      <c r="Q131" s="22">
        <f>IFERROR(('Activity data'!Q95*(1/Constants!$H$133))*ttokg*FSOMEF*NtoN2O*kgtoGg,"NO")</f>
        <v>4.963559447138258E-6</v>
      </c>
      <c r="R131" s="22">
        <f>IFERROR(('Activity data'!R95*(1/Constants!$H$133))*ttokg*FSOMEF*NtoN2O*kgtoGg,"NO")</f>
        <v>4.963559447138258E-6</v>
      </c>
      <c r="S131" s="22">
        <f>IFERROR(('Activity data'!S95*(1/Constants!$H$133))*ttokg*FSOMEF*NtoN2O*kgtoGg,"NO")</f>
        <v>4.963559447138258E-6</v>
      </c>
      <c r="T131" s="22">
        <f>IFERROR(('Activity data'!T95*(1/Constants!$H$133))*ttokg*FSOMEF*NtoN2O*kgtoGg,"NO")</f>
        <v>4.963559447138258E-6</v>
      </c>
      <c r="U131" s="22">
        <f>IFERROR(('Activity data'!U95*(1/Constants!$H$133))*ttokg*FSOMEF*NtoN2O*kgtoGg,"NO")</f>
        <v>4.963559447138258E-6</v>
      </c>
      <c r="V131" s="22">
        <f>IFERROR(('Activity data'!V95*(1/Constants!$H$133))*ttokg*FSOMEF*NtoN2O*kgtoGg,"NO")</f>
        <v>4.963559447138258E-6</v>
      </c>
      <c r="W131" s="22">
        <f>IFERROR(('Activity data'!W95*(1/Constants!$H$133))*ttokg*FSOMEF*NtoN2O*kgtoGg,"NO")</f>
        <v>4.963559447138258E-6</v>
      </c>
      <c r="X131" s="22">
        <f>IFERROR(('Activity data'!X95*(1/Constants!$H$133))*ttokg*FSOMEF*NtoN2O*kgtoGg,"NO")</f>
        <v>4.963559447138258E-6</v>
      </c>
      <c r="Y131" s="22">
        <f>IFERROR(('Activity data'!Y95*(1/Constants!$H$133))*ttokg*FSOMEF*NtoN2O*kgtoGg,"NO")</f>
        <v>4.963559447138258E-6</v>
      </c>
      <c r="Z131" s="22">
        <f>IFERROR(('Activity data'!Z95*(1/Constants!$H$133))*ttokg*FSOMEF*NtoN2O*kgtoGg,"NO")</f>
        <v>4.963559447138258E-6</v>
      </c>
      <c r="AA131" s="22">
        <f>IFERROR(('Activity data'!AA95*(1/Constants!$H$133))*ttokg*FSOMEF*NtoN2O*kgtoGg,"NO")</f>
        <v>4.963559447138258E-6</v>
      </c>
      <c r="AB131" s="22">
        <f>IFERROR(('Activity data'!AB95*(1/Constants!$H$133))*ttokg*FSOMEF*NtoN2O*kgtoGg,"NO")</f>
        <v>4.963559447138258E-6</v>
      </c>
      <c r="AC131" s="22">
        <f>IFERROR(('Activity data'!AC95*(1/Constants!$H$133))*ttokg*FSOMEF*NtoN2O*kgtoGg,"NO")</f>
        <v>4.963559447138258E-6</v>
      </c>
      <c r="AD131" s="22">
        <f>IFERROR(('Activity data'!AD95*(1/Constants!$H$133))*ttokg*FSOMEF*NtoN2O*kgtoGg,"NO")</f>
        <v>5.604018730639919E-5</v>
      </c>
      <c r="AE131" s="22">
        <f>IFERROR(('Activity data'!AE95*(1/Constants!$H$133))*ttokg*FSOMEF*NtoN2O*kgtoGg,"NO")</f>
        <v>5.604018730639919E-5</v>
      </c>
      <c r="AF131" s="22">
        <f>IFERROR(('Activity data'!AF95*(1/Constants!$H$133))*ttokg*FSOMEF*NtoN2O*kgtoGg,"NO")</f>
        <v>5.604018730639919E-5</v>
      </c>
      <c r="AG131" s="22">
        <f>IFERROR(('Activity data'!AG95*(1/Constants!$H$133))*ttokg*FSOMEF*NtoN2O*kgtoGg,"NO")</f>
        <v>5.604018730639919E-5</v>
      </c>
      <c r="AH131" s="22">
        <f>IFERROR(('Activity data'!AH95*(1/Constants!$H$133))*ttokg*FSOMEF*NtoN2O*kgtoGg,"NO")</f>
        <v>5.604018730639919E-5</v>
      </c>
      <c r="AI131" s="22">
        <f>IFERROR(('Activity data'!AI95*(1/Constants!$H$133))*ttokg*FSOMEF*NtoN2O*kgtoGg,"NO")</f>
        <v>5.604018730639919E-5</v>
      </c>
      <c r="AJ131" s="22">
        <f>IFERROR(('Activity data'!AJ95*(1/Constants!$H$133))*ttokg*FSOMEF*NtoN2O*kgtoGg,"NO")</f>
        <v>5.604018730639919E-5</v>
      </c>
      <c r="AK131" s="22">
        <f>IFERROR(('Activity data'!AK95*(1/Constants!$H$133))*ttokg*FSOMEF*NtoN2O*kgtoGg,"NO")</f>
        <v>5.604018730639919E-5</v>
      </c>
      <c r="AL131" s="22">
        <f>IFERROR(('Activity data'!AL95*(1/Constants!$H$133))*ttokg*FSOMEF*NtoN2O*kgtoGg,"NO")</f>
        <v>5.604018730639919E-5</v>
      </c>
      <c r="AM131" s="22">
        <f>IFERROR(('Activity data'!AM95*(1/Constants!$H$133))*ttokg*FSOMEF*NtoN2O*kgtoGg,"NO")</f>
        <v>5.604018730639919E-5</v>
      </c>
      <c r="AN131" s="22">
        <f>IFERROR(('Activity data'!AN95*(1/Constants!$H$133))*ttokg*FSOMEF*NtoN2O*kgtoGg,"NO")</f>
        <v>5.604018730639919E-5</v>
      </c>
      <c r="AO131" s="22">
        <f>IFERROR(('Activity data'!AO95*(1/Constants!$H$133))*ttokg*FSOMEF*NtoN2O*kgtoGg,"NO")</f>
        <v>5.604018730639919E-5</v>
      </c>
      <c r="AP131" s="22">
        <f>IFERROR(('Activity data'!AP95*(1/Constants!$H$133))*ttokg*FSOMEF*NtoN2O*kgtoGg,"NO")</f>
        <v>5.604018730639919E-5</v>
      </c>
      <c r="AQ131" s="22">
        <f>IFERROR(('Activity data'!AQ95*(1/Constants!$H$133))*ttokg*FSOMEF*NtoN2O*kgtoGg,"NO")</f>
        <v>5.604018730639919E-5</v>
      </c>
      <c r="AR131" s="22">
        <f>IFERROR(('Activity data'!AR95*(1/Constants!$H$133))*ttokg*FSOMEF*NtoN2O*kgtoGg,"NO")</f>
        <v>5.604018730639919E-5</v>
      </c>
      <c r="AS131" s="22">
        <f>IFERROR(('Activity data'!AS95*(1/Constants!$H$133))*ttokg*FSOMEF*NtoN2O*kgtoGg,"NO")</f>
        <v>5.604018730639919E-5</v>
      </c>
      <c r="AT131" s="22">
        <f>IFERROR(('Activity data'!AT95*(1/Constants!$H$133))*ttokg*FSOMEF*NtoN2O*kgtoGg,"NO")</f>
        <v>5.604018730639919E-5</v>
      </c>
      <c r="AU131" s="22">
        <f>IFERROR(('Activity data'!AU95*(1/Constants!$H$133))*ttokg*FSOMEF*NtoN2O*kgtoGg,"NO")</f>
        <v>5.604018730639919E-5</v>
      </c>
      <c r="AV131" s="22">
        <f>IFERROR(('Activity data'!AV95*(1/Constants!$H$133))*ttokg*FSOMEF*NtoN2O*kgtoGg,"NO")</f>
        <v>5.604018730639919E-5</v>
      </c>
      <c r="AW131" s="22">
        <f>IFERROR(('Activity data'!AW95*(1/Constants!$H$133))*ttokg*FSOMEF*NtoN2O*kgtoGg,"NO")</f>
        <v>5.604018730639919E-5</v>
      </c>
      <c r="AX131" s="22">
        <f>IFERROR(('Activity data'!AX95*(1/Constants!$H$133))*ttokg*FSOMEF*NtoN2O*kgtoGg,"NO")</f>
        <v>5.604018730639919E-5</v>
      </c>
      <c r="AY131" s="22">
        <f>IFERROR(('Activity data'!AY95*(1/Constants!$H$133))*ttokg*FSOMEF*NtoN2O*kgtoGg,"NO")</f>
        <v>5.604018730639919E-5</v>
      </c>
      <c r="AZ131" s="22">
        <f>IFERROR(('Activity data'!AZ95*(1/Constants!$H$133))*ttokg*FSOMEF*NtoN2O*kgtoGg,"NO")</f>
        <v>5.604018730639919E-5</v>
      </c>
      <c r="BA131" s="22">
        <f>IFERROR(('Activity data'!BA95*(1/Constants!$H$133))*ttokg*FSOMEF*NtoN2O*kgtoGg,"NO")</f>
        <v>5.604018730639919E-5</v>
      </c>
      <c r="BB131" s="22">
        <f>IFERROR(('Activity data'!BB95*(1/Constants!$H$133))*ttokg*FSOMEF*NtoN2O*kgtoGg,"NO")</f>
        <v>5.604018730639919E-5</v>
      </c>
      <c r="BC131" s="22">
        <f>IFERROR(('Activity data'!BC95*(1/Constants!$H$133))*ttokg*FSOMEF*NtoN2O*kgtoGg,"NO")</f>
        <v>5.604018730639919E-5</v>
      </c>
      <c r="BD131" s="22">
        <f>IFERROR(('Activity data'!BD95*(1/Constants!$H$133))*ttokg*FSOMEF*NtoN2O*kgtoGg,"NO")</f>
        <v>5.604018730639919E-5</v>
      </c>
      <c r="BE131" s="22">
        <f>IFERROR(('Activity data'!BE95*(1/Constants!$H$133))*ttokg*FSOMEF*NtoN2O*kgtoGg,"NO")</f>
        <v>5.604018730639919E-5</v>
      </c>
      <c r="BF131" s="22">
        <f>IFERROR(('Activity data'!BF95*(1/Constants!$H$133))*ttokg*FSOMEF*NtoN2O*kgtoGg,"NO")</f>
        <v>5.604018730639919E-5</v>
      </c>
      <c r="BG131" s="22">
        <f>IFERROR(('Activity data'!BG95*(1/Constants!$H$133))*ttokg*FSOMEF*NtoN2O*kgtoGg,"NO")</f>
        <v>5.604018730639919E-5</v>
      </c>
      <c r="BH131" s="22">
        <f>IFERROR(('Activity data'!BH95*(1/Constants!$H$133))*ttokg*FSOMEF*NtoN2O*kgtoGg,"NO")</f>
        <v>5.604018730639919E-5</v>
      </c>
      <c r="BI131" s="22">
        <f>IFERROR(('Activity data'!BI95*(1/Constants!$H$133))*ttokg*FSOMEF*NtoN2O*kgtoGg,"NO")</f>
        <v>5.604018730639919E-5</v>
      </c>
      <c r="BJ131" s="22">
        <f>IFERROR(('Activity data'!BJ95*(1/Constants!$H$133))*ttokg*FSOMEF*NtoN2O*kgtoGg,"NO")</f>
        <v>5.604018730639919E-5</v>
      </c>
      <c r="BK131" s="22">
        <f>IFERROR(('Activity data'!BK95*(1/Constants!$H$133))*ttokg*FSOMEF*NtoN2O*kgtoGg,"NO")</f>
        <v>5.604018730639919E-5</v>
      </c>
      <c r="BL131" s="22">
        <f>IFERROR(('Activity data'!BL95*(1/Constants!$H$133))*ttokg*FSOMEF*NtoN2O*kgtoGg,"NO")</f>
        <v>5.604018730639919E-5</v>
      </c>
      <c r="BM131" s="22">
        <f>IFERROR(('Activity data'!BM95*(1/Constants!$H$133))*ttokg*FSOMEF*NtoN2O*kgtoGg,"NO")</f>
        <v>5.604018730639919E-5</v>
      </c>
      <c r="BN131" s="22">
        <f>IFERROR(('Activity data'!BN95*(1/Constants!$H$133))*ttokg*FSOMEF*NtoN2O*kgtoGg,"NO")</f>
        <v>5.604018730639919E-5</v>
      </c>
      <c r="BO131" s="22">
        <f>IFERROR(('Activity data'!BO95*(1/Constants!$H$133))*ttokg*FSOMEF*NtoN2O*kgtoGg,"NO")</f>
        <v>5.604018730639919E-5</v>
      </c>
      <c r="BP131" s="22">
        <f>IFERROR(('Activity data'!BP95*(1/Constants!$H$133))*ttokg*FSOMEF*NtoN2O*kgtoGg,"NO")</f>
        <v>5.604018730639919E-5</v>
      </c>
    </row>
    <row r="132" spans="1:68" x14ac:dyDescent="0.25">
      <c r="A132" t="str">
        <f t="shared" si="39"/>
        <v>3C Aggregated and non-CO2 emissions on land</v>
      </c>
      <c r="B132" t="str">
        <f t="shared" si="31"/>
        <v>3C4 Direct N2O from managed soils (N2O)</v>
      </c>
      <c r="C132" t="s">
        <v>60</v>
      </c>
      <c r="D132" t="str">
        <f>" - "&amp;'Activity data'!D96</f>
        <v xml:space="preserve"> - Land converted to settlements</v>
      </c>
      <c r="E132" t="str">
        <f t="shared" si="41"/>
        <v>FSOM - Land converted to settlements</v>
      </c>
      <c r="G132" t="str">
        <f t="shared" si="37"/>
        <v>Gg N2O</v>
      </c>
      <c r="H132" s="22">
        <f>IFERROR(('Activity data'!H96*(1/Constants!$H$135))*ttokg*FSOMEF*NtoN2O*kgtoGg,"NO")</f>
        <v>0</v>
      </c>
      <c r="I132" s="22">
        <f>IFERROR(('Activity data'!I96*(1/Constants!$H$135))*ttokg*FSOMEF*NtoN2O*kgtoGg,"NO")</f>
        <v>6.2257171325729504E-3</v>
      </c>
      <c r="J132" s="22">
        <f>IFERROR(('Activity data'!J96*(1/Constants!$H$135))*ttokg*FSOMEF*NtoN2O*kgtoGg,"NO")</f>
        <v>6.2257171325729504E-3</v>
      </c>
      <c r="K132" s="22">
        <f>IFERROR(('Activity data'!K96*(1/Constants!$H$135))*ttokg*FSOMEF*NtoN2O*kgtoGg,"NO")</f>
        <v>6.2257171325729504E-3</v>
      </c>
      <c r="L132" s="22">
        <f>IFERROR(('Activity data'!L96*(1/Constants!$H$135))*ttokg*FSOMEF*NtoN2O*kgtoGg,"NO")</f>
        <v>6.2257171325729504E-3</v>
      </c>
      <c r="M132" s="22">
        <f>IFERROR(('Activity data'!M96*(1/Constants!$H$135))*ttokg*FSOMEF*NtoN2O*kgtoGg,"NO")</f>
        <v>6.2257171325729504E-3</v>
      </c>
      <c r="N132" s="22">
        <f>IFERROR(('Activity data'!N96*(1/Constants!$H$135))*ttokg*FSOMEF*NtoN2O*kgtoGg,"NO")</f>
        <v>6.2257171325729504E-3</v>
      </c>
      <c r="O132" s="22">
        <f>IFERROR(('Activity data'!O96*(1/Constants!$H$135))*ttokg*FSOMEF*NtoN2O*kgtoGg,"NO")</f>
        <v>6.2257171325729504E-3</v>
      </c>
      <c r="P132" s="22">
        <f>IFERROR(('Activity data'!P96*(1/Constants!$H$135))*ttokg*FSOMEF*NtoN2O*kgtoGg,"NO")</f>
        <v>6.2257171325729504E-3</v>
      </c>
      <c r="Q132" s="22">
        <f>IFERROR(('Activity data'!Q96*(1/Constants!$H$135))*ttokg*FSOMEF*NtoN2O*kgtoGg,"NO")</f>
        <v>6.2257171325729504E-3</v>
      </c>
      <c r="R132" s="22">
        <f>IFERROR(('Activity data'!R96*(1/Constants!$H$135))*ttokg*FSOMEF*NtoN2O*kgtoGg,"NO")</f>
        <v>6.2257171325729504E-3</v>
      </c>
      <c r="S132" s="22">
        <f>IFERROR(('Activity data'!S96*(1/Constants!$H$135))*ttokg*FSOMEF*NtoN2O*kgtoGg,"NO")</f>
        <v>6.2257171325729504E-3</v>
      </c>
      <c r="T132" s="22">
        <f>IFERROR(('Activity data'!T96*(1/Constants!$H$135))*ttokg*FSOMEF*NtoN2O*kgtoGg,"NO")</f>
        <v>6.2257171325729504E-3</v>
      </c>
      <c r="U132" s="22">
        <f>IFERROR(('Activity data'!U96*(1/Constants!$H$135))*ttokg*FSOMEF*NtoN2O*kgtoGg,"NO")</f>
        <v>6.2257171325729504E-3</v>
      </c>
      <c r="V132" s="22">
        <f>IFERROR(('Activity data'!V96*(1/Constants!$H$135))*ttokg*FSOMEF*NtoN2O*kgtoGg,"NO")</f>
        <v>6.2257171325729504E-3</v>
      </c>
      <c r="W132" s="22">
        <f>IFERROR(('Activity data'!W96*(1/Constants!$H$135))*ttokg*FSOMEF*NtoN2O*kgtoGg,"NO")</f>
        <v>6.2257171325729504E-3</v>
      </c>
      <c r="X132" s="22">
        <f>IFERROR(('Activity data'!X96*(1/Constants!$H$135))*ttokg*FSOMEF*NtoN2O*kgtoGg,"NO")</f>
        <v>6.2257171325729504E-3</v>
      </c>
      <c r="Y132" s="22">
        <f>IFERROR(('Activity data'!Y96*(1/Constants!$H$135))*ttokg*FSOMEF*NtoN2O*kgtoGg,"NO")</f>
        <v>6.2257171325729504E-3</v>
      </c>
      <c r="Z132" s="22">
        <f>IFERROR(('Activity data'!Z96*(1/Constants!$H$135))*ttokg*FSOMEF*NtoN2O*kgtoGg,"NO")</f>
        <v>6.2257171325729504E-3</v>
      </c>
      <c r="AA132" s="22">
        <f>IFERROR(('Activity data'!AA96*(1/Constants!$H$135))*ttokg*FSOMEF*NtoN2O*kgtoGg,"NO")</f>
        <v>6.2257171325729504E-3</v>
      </c>
      <c r="AB132" s="22">
        <f>IFERROR(('Activity data'!AB96*(1/Constants!$H$135))*ttokg*FSOMEF*NtoN2O*kgtoGg,"NO")</f>
        <v>6.2257171325729504E-3</v>
      </c>
      <c r="AC132" s="22">
        <f>IFERROR(('Activity data'!AC96*(1/Constants!$H$135))*ttokg*FSOMEF*NtoN2O*kgtoGg,"NO")</f>
        <v>6.2257171325729504E-3</v>
      </c>
      <c r="AD132" s="22">
        <f>IFERROR(('Activity data'!AD96*(1/Constants!$H$135))*ttokg*FSOMEF*NtoN2O*kgtoGg,"NO")</f>
        <v>6.110857899094551E-2</v>
      </c>
      <c r="AE132" s="22">
        <f>IFERROR(('Activity data'!AE96*(1/Constants!$H$135))*ttokg*FSOMEF*NtoN2O*kgtoGg,"NO")</f>
        <v>6.110857899094551E-2</v>
      </c>
      <c r="AF132" s="22">
        <f>IFERROR(('Activity data'!AF96*(1/Constants!$H$135))*ttokg*FSOMEF*NtoN2O*kgtoGg,"NO")</f>
        <v>6.110857899094551E-2</v>
      </c>
      <c r="AG132" s="22">
        <f>IFERROR(('Activity data'!AG96*(1/Constants!$H$135))*ttokg*FSOMEF*NtoN2O*kgtoGg,"NO")</f>
        <v>6.110857899094551E-2</v>
      </c>
      <c r="AH132" s="22">
        <f>IFERROR(('Activity data'!AH96*(1/Constants!$H$135))*ttokg*FSOMEF*NtoN2O*kgtoGg,"NO")</f>
        <v>6.110857899094551E-2</v>
      </c>
      <c r="AI132" s="22">
        <f>IFERROR(('Activity data'!AI96*(1/Constants!$H$135))*ttokg*FSOMEF*NtoN2O*kgtoGg,"NO")</f>
        <v>6.110857899094551E-2</v>
      </c>
      <c r="AJ132" s="22">
        <f>IFERROR(('Activity data'!AJ96*(1/Constants!$H$135))*ttokg*FSOMEF*NtoN2O*kgtoGg,"NO")</f>
        <v>6.110857899094551E-2</v>
      </c>
      <c r="AK132" s="22">
        <f>IFERROR(('Activity data'!AK96*(1/Constants!$H$135))*ttokg*FSOMEF*NtoN2O*kgtoGg,"NO")</f>
        <v>6.110857899094551E-2</v>
      </c>
      <c r="AL132" s="22">
        <f>IFERROR(('Activity data'!AL96*(1/Constants!$H$135))*ttokg*FSOMEF*NtoN2O*kgtoGg,"NO")</f>
        <v>6.110857899094551E-2</v>
      </c>
      <c r="AM132" s="22">
        <f>IFERROR(('Activity data'!AM96*(1/Constants!$H$135))*ttokg*FSOMEF*NtoN2O*kgtoGg,"NO")</f>
        <v>6.110857899094551E-2</v>
      </c>
      <c r="AN132" s="22">
        <f>IFERROR(('Activity data'!AN96*(1/Constants!$H$135))*ttokg*FSOMEF*NtoN2O*kgtoGg,"NO")</f>
        <v>6.110857899094551E-2</v>
      </c>
      <c r="AO132" s="22">
        <f>IFERROR(('Activity data'!AO96*(1/Constants!$H$135))*ttokg*FSOMEF*NtoN2O*kgtoGg,"NO")</f>
        <v>6.110857899094551E-2</v>
      </c>
      <c r="AP132" s="22">
        <f>IFERROR(('Activity data'!AP96*(1/Constants!$H$135))*ttokg*FSOMEF*NtoN2O*kgtoGg,"NO")</f>
        <v>6.110857899094551E-2</v>
      </c>
      <c r="AQ132" s="22">
        <f>IFERROR(('Activity data'!AQ96*(1/Constants!$H$135))*ttokg*FSOMEF*NtoN2O*kgtoGg,"NO")</f>
        <v>6.110857899094551E-2</v>
      </c>
      <c r="AR132" s="22">
        <f>IFERROR(('Activity data'!AR96*(1/Constants!$H$135))*ttokg*FSOMEF*NtoN2O*kgtoGg,"NO")</f>
        <v>6.110857899094551E-2</v>
      </c>
      <c r="AS132" s="22">
        <f>IFERROR(('Activity data'!AS96*(1/Constants!$H$135))*ttokg*FSOMEF*NtoN2O*kgtoGg,"NO")</f>
        <v>6.110857899094551E-2</v>
      </c>
      <c r="AT132" s="22">
        <f>IFERROR(('Activity data'!AT96*(1/Constants!$H$135))*ttokg*FSOMEF*NtoN2O*kgtoGg,"NO")</f>
        <v>6.110857899094551E-2</v>
      </c>
      <c r="AU132" s="22">
        <f>IFERROR(('Activity data'!AU96*(1/Constants!$H$135))*ttokg*FSOMEF*NtoN2O*kgtoGg,"NO")</f>
        <v>6.110857899094551E-2</v>
      </c>
      <c r="AV132" s="22">
        <f>IFERROR(('Activity data'!AV96*(1/Constants!$H$135))*ttokg*FSOMEF*NtoN2O*kgtoGg,"NO")</f>
        <v>6.110857899094551E-2</v>
      </c>
      <c r="AW132" s="22">
        <f>IFERROR(('Activity data'!AW96*(1/Constants!$H$135))*ttokg*FSOMEF*NtoN2O*kgtoGg,"NO")</f>
        <v>6.110857899094551E-2</v>
      </c>
      <c r="AX132" s="22">
        <f>IFERROR(('Activity data'!AX96*(1/Constants!$H$135))*ttokg*FSOMEF*NtoN2O*kgtoGg,"NO")</f>
        <v>6.110857899094551E-2</v>
      </c>
      <c r="AY132" s="22">
        <f>IFERROR(('Activity data'!AY96*(1/Constants!$H$135))*ttokg*FSOMEF*NtoN2O*kgtoGg,"NO")</f>
        <v>6.110857899094551E-2</v>
      </c>
      <c r="AZ132" s="22">
        <f>IFERROR(('Activity data'!AZ96*(1/Constants!$H$135))*ttokg*FSOMEF*NtoN2O*kgtoGg,"NO")</f>
        <v>6.110857899094551E-2</v>
      </c>
      <c r="BA132" s="22">
        <f>IFERROR(('Activity data'!BA96*(1/Constants!$H$135))*ttokg*FSOMEF*NtoN2O*kgtoGg,"NO")</f>
        <v>6.110857899094551E-2</v>
      </c>
      <c r="BB132" s="22">
        <f>IFERROR(('Activity data'!BB96*(1/Constants!$H$135))*ttokg*FSOMEF*NtoN2O*kgtoGg,"NO")</f>
        <v>6.110857899094551E-2</v>
      </c>
      <c r="BC132" s="22">
        <f>IFERROR(('Activity data'!BC96*(1/Constants!$H$135))*ttokg*FSOMEF*NtoN2O*kgtoGg,"NO")</f>
        <v>6.110857899094551E-2</v>
      </c>
      <c r="BD132" s="22">
        <f>IFERROR(('Activity data'!BD96*(1/Constants!$H$135))*ttokg*FSOMEF*NtoN2O*kgtoGg,"NO")</f>
        <v>6.110857899094551E-2</v>
      </c>
      <c r="BE132" s="22">
        <f>IFERROR(('Activity data'!BE96*(1/Constants!$H$135))*ttokg*FSOMEF*NtoN2O*kgtoGg,"NO")</f>
        <v>6.110857899094551E-2</v>
      </c>
      <c r="BF132" s="22">
        <f>IFERROR(('Activity data'!BF96*(1/Constants!$H$135))*ttokg*FSOMEF*NtoN2O*kgtoGg,"NO")</f>
        <v>6.110857899094551E-2</v>
      </c>
      <c r="BG132" s="22">
        <f>IFERROR(('Activity data'!BG96*(1/Constants!$H$135))*ttokg*FSOMEF*NtoN2O*kgtoGg,"NO")</f>
        <v>6.110857899094551E-2</v>
      </c>
      <c r="BH132" s="22">
        <f>IFERROR(('Activity data'!BH96*(1/Constants!$H$135))*ttokg*FSOMEF*NtoN2O*kgtoGg,"NO")</f>
        <v>6.110857899094551E-2</v>
      </c>
      <c r="BI132" s="22">
        <f>IFERROR(('Activity data'!BI96*(1/Constants!$H$135))*ttokg*FSOMEF*NtoN2O*kgtoGg,"NO")</f>
        <v>6.110857899094551E-2</v>
      </c>
      <c r="BJ132" s="22">
        <f>IFERROR(('Activity data'!BJ96*(1/Constants!$H$135))*ttokg*FSOMEF*NtoN2O*kgtoGg,"NO")</f>
        <v>6.110857899094551E-2</v>
      </c>
      <c r="BK132" s="22">
        <f>IFERROR(('Activity data'!BK96*(1/Constants!$H$135))*ttokg*FSOMEF*NtoN2O*kgtoGg,"NO")</f>
        <v>6.110857899094551E-2</v>
      </c>
      <c r="BL132" s="22">
        <f>IFERROR(('Activity data'!BL96*(1/Constants!$H$135))*ttokg*FSOMEF*NtoN2O*kgtoGg,"NO")</f>
        <v>6.110857899094551E-2</v>
      </c>
      <c r="BM132" s="22">
        <f>IFERROR(('Activity data'!BM96*(1/Constants!$H$135))*ttokg*FSOMEF*NtoN2O*kgtoGg,"NO")</f>
        <v>6.110857899094551E-2</v>
      </c>
      <c r="BN132" s="22">
        <f>IFERROR(('Activity data'!BN96*(1/Constants!$H$135))*ttokg*FSOMEF*NtoN2O*kgtoGg,"NO")</f>
        <v>6.110857899094551E-2</v>
      </c>
      <c r="BO132" s="22">
        <f>IFERROR(('Activity data'!BO96*(1/Constants!$H$135))*ttokg*FSOMEF*NtoN2O*kgtoGg,"NO")</f>
        <v>6.110857899094551E-2</v>
      </c>
      <c r="BP132" s="22">
        <f>IFERROR(('Activity data'!BP96*(1/Constants!$H$135))*ttokg*FSOMEF*NtoN2O*kgtoGg,"NO")</f>
        <v>6.110857899094551E-2</v>
      </c>
    </row>
    <row r="133" spans="1:68" x14ac:dyDescent="0.25">
      <c r="A133" t="str">
        <f t="shared" si="39"/>
        <v>3C Aggregated and non-CO2 emissions on land</v>
      </c>
      <c r="B133" t="str">
        <f t="shared" si="31"/>
        <v>3C4 Direct N2O from managed soils (N2O)</v>
      </c>
      <c r="C133" t="s">
        <v>60</v>
      </c>
      <c r="D133" t="str">
        <f>" - "&amp;'Activity data'!D97</f>
        <v xml:space="preserve"> - Other land remaining other land</v>
      </c>
      <c r="E133" t="str">
        <f t="shared" si="41"/>
        <v>FSOM - Other land remaining other land</v>
      </c>
      <c r="G133" t="str">
        <f t="shared" si="37"/>
        <v>Gg N2O</v>
      </c>
      <c r="H133" s="22" t="str">
        <f>IFERROR(('Activity data'!H97*(1/Constants!$H$135))*ttokg*FSOMEF*NtoN2O*kgtoGg,"NO")</f>
        <v>NO</v>
      </c>
      <c r="I133" s="22" t="str">
        <f>IFERROR(('Activity data'!I97*(1/Constants!$H$135))*ttokg*FSOMEF*NtoN2O*kgtoGg,"NO")</f>
        <v>NO</v>
      </c>
      <c r="J133" s="22" t="str">
        <f>IFERROR(('Activity data'!J97*(1/Constants!$H$135))*ttokg*FSOMEF*NtoN2O*kgtoGg,"NO")</f>
        <v>NO</v>
      </c>
      <c r="K133" s="22" t="str">
        <f>IFERROR(('Activity data'!K97*(1/Constants!$H$135))*ttokg*FSOMEF*NtoN2O*kgtoGg,"NO")</f>
        <v>NO</v>
      </c>
      <c r="L133" s="22" t="str">
        <f>IFERROR(('Activity data'!L97*(1/Constants!$H$135))*ttokg*FSOMEF*NtoN2O*kgtoGg,"NO")</f>
        <v>NO</v>
      </c>
      <c r="M133" s="22" t="str">
        <f>IFERROR(('Activity data'!M97*(1/Constants!$H$135))*ttokg*FSOMEF*NtoN2O*kgtoGg,"NO")</f>
        <v>NO</v>
      </c>
      <c r="N133" s="22" t="str">
        <f>IFERROR(('Activity data'!N97*(1/Constants!$H$135))*ttokg*FSOMEF*NtoN2O*kgtoGg,"NO")</f>
        <v>NO</v>
      </c>
      <c r="O133" s="22" t="str">
        <f>IFERROR(('Activity data'!O97*(1/Constants!$H$135))*ttokg*FSOMEF*NtoN2O*kgtoGg,"NO")</f>
        <v>NO</v>
      </c>
      <c r="P133" s="22" t="str">
        <f>IFERROR(('Activity data'!P97*(1/Constants!$H$135))*ttokg*FSOMEF*NtoN2O*kgtoGg,"NO")</f>
        <v>NO</v>
      </c>
      <c r="Q133" s="22" t="str">
        <f>IFERROR(('Activity data'!Q97*(1/Constants!$H$135))*ttokg*FSOMEF*NtoN2O*kgtoGg,"NO")</f>
        <v>NO</v>
      </c>
      <c r="R133" s="22" t="str">
        <f>IFERROR(('Activity data'!R97*(1/Constants!$H$135))*ttokg*FSOMEF*NtoN2O*kgtoGg,"NO")</f>
        <v>NO</v>
      </c>
      <c r="S133" s="22" t="str">
        <f>IFERROR(('Activity data'!S97*(1/Constants!$H$135))*ttokg*FSOMEF*NtoN2O*kgtoGg,"NO")</f>
        <v>NO</v>
      </c>
      <c r="T133" s="22" t="str">
        <f>IFERROR(('Activity data'!T97*(1/Constants!$H$135))*ttokg*FSOMEF*NtoN2O*kgtoGg,"NO")</f>
        <v>NO</v>
      </c>
      <c r="U133" s="22" t="str">
        <f>IFERROR(('Activity data'!U97*(1/Constants!$H$135))*ttokg*FSOMEF*NtoN2O*kgtoGg,"NO")</f>
        <v>NO</v>
      </c>
      <c r="V133" s="22" t="str">
        <f>IFERROR(('Activity data'!V97*(1/Constants!$H$135))*ttokg*FSOMEF*NtoN2O*kgtoGg,"NO")</f>
        <v>NO</v>
      </c>
      <c r="W133" s="22" t="str">
        <f>IFERROR(('Activity data'!W97*(1/Constants!$H$135))*ttokg*FSOMEF*NtoN2O*kgtoGg,"NO")</f>
        <v>NO</v>
      </c>
      <c r="X133" s="22" t="str">
        <f>IFERROR(('Activity data'!X97*(1/Constants!$H$135))*ttokg*FSOMEF*NtoN2O*kgtoGg,"NO")</f>
        <v>NO</v>
      </c>
      <c r="Y133" s="22" t="str">
        <f>IFERROR(('Activity data'!Y97*(1/Constants!$H$135))*ttokg*FSOMEF*NtoN2O*kgtoGg,"NO")</f>
        <v>NO</v>
      </c>
      <c r="Z133" s="22" t="str">
        <f>IFERROR(('Activity data'!Z97*(1/Constants!$H$135))*ttokg*FSOMEF*NtoN2O*kgtoGg,"NO")</f>
        <v>NO</v>
      </c>
      <c r="AA133" s="22" t="str">
        <f>IFERROR(('Activity data'!AA97*(1/Constants!$H$135))*ttokg*FSOMEF*NtoN2O*kgtoGg,"NO")</f>
        <v>NO</v>
      </c>
      <c r="AB133" s="22" t="str">
        <f>IFERROR(('Activity data'!AB97*(1/Constants!$H$135))*ttokg*FSOMEF*NtoN2O*kgtoGg,"NO")</f>
        <v>NO</v>
      </c>
      <c r="AC133" s="22" t="str">
        <f>IFERROR(('Activity data'!AC97*(1/Constants!$H$135))*ttokg*FSOMEF*NtoN2O*kgtoGg,"NO")</f>
        <v>NO</v>
      </c>
      <c r="AD133" s="22" t="str">
        <f>IFERROR(('Activity data'!AD97*(1/Constants!$H$135))*ttokg*FSOMEF*NtoN2O*kgtoGg,"NO")</f>
        <v>NO</v>
      </c>
      <c r="AE133" s="22" t="str">
        <f>IFERROR(('Activity data'!AE97*(1/Constants!$H$135))*ttokg*FSOMEF*NtoN2O*kgtoGg,"NO")</f>
        <v>NO</v>
      </c>
      <c r="AF133" s="22" t="str">
        <f>IFERROR(('Activity data'!AF97*(1/Constants!$H$135))*ttokg*FSOMEF*NtoN2O*kgtoGg,"NO")</f>
        <v>NO</v>
      </c>
      <c r="AG133" s="22" t="str">
        <f>IFERROR(('Activity data'!AG97*(1/Constants!$H$135))*ttokg*FSOMEF*NtoN2O*kgtoGg,"NO")</f>
        <v>NO</v>
      </c>
      <c r="AH133" s="22" t="str">
        <f>IFERROR(('Activity data'!AH97*(1/Constants!$H$135))*ttokg*FSOMEF*NtoN2O*kgtoGg,"NO")</f>
        <v>NO</v>
      </c>
      <c r="AI133" s="22" t="str">
        <f>IFERROR(('Activity data'!AI97*(1/Constants!$H$135))*ttokg*FSOMEF*NtoN2O*kgtoGg,"NO")</f>
        <v>NO</v>
      </c>
      <c r="AJ133" s="22" t="str">
        <f>IFERROR(('Activity data'!AJ97*(1/Constants!$H$135))*ttokg*FSOMEF*NtoN2O*kgtoGg,"NO")</f>
        <v>NO</v>
      </c>
      <c r="AK133" s="22" t="str">
        <f>IFERROR(('Activity data'!AK97*(1/Constants!$H$135))*ttokg*FSOMEF*NtoN2O*kgtoGg,"NO")</f>
        <v>NO</v>
      </c>
      <c r="AL133" s="22" t="str">
        <f>IFERROR(('Activity data'!AL97*(1/Constants!$H$135))*ttokg*FSOMEF*NtoN2O*kgtoGg,"NO")</f>
        <v>NO</v>
      </c>
      <c r="AM133" s="22" t="str">
        <f>IFERROR(('Activity data'!AM97*(1/Constants!$H$135))*ttokg*FSOMEF*NtoN2O*kgtoGg,"NO")</f>
        <v>NO</v>
      </c>
      <c r="AN133" s="22" t="str">
        <f>IFERROR(('Activity data'!AN97*(1/Constants!$H$135))*ttokg*FSOMEF*NtoN2O*kgtoGg,"NO")</f>
        <v>NO</v>
      </c>
      <c r="AO133" s="22" t="str">
        <f>IFERROR(('Activity data'!AO97*(1/Constants!$H$135))*ttokg*FSOMEF*NtoN2O*kgtoGg,"NO")</f>
        <v>NO</v>
      </c>
      <c r="AP133" s="22" t="str">
        <f>IFERROR(('Activity data'!AP97*(1/Constants!$H$135))*ttokg*FSOMEF*NtoN2O*kgtoGg,"NO")</f>
        <v>NO</v>
      </c>
      <c r="AQ133" s="22" t="str">
        <f>IFERROR(('Activity data'!AQ97*(1/Constants!$H$135))*ttokg*FSOMEF*NtoN2O*kgtoGg,"NO")</f>
        <v>NO</v>
      </c>
      <c r="AR133" s="22" t="str">
        <f>IFERROR(('Activity data'!AR97*(1/Constants!$H$135))*ttokg*FSOMEF*NtoN2O*kgtoGg,"NO")</f>
        <v>NO</v>
      </c>
      <c r="AS133" s="22" t="str">
        <f>IFERROR(('Activity data'!AS97*(1/Constants!$H$135))*ttokg*FSOMEF*NtoN2O*kgtoGg,"NO")</f>
        <v>NO</v>
      </c>
      <c r="AT133" s="22" t="str">
        <f>IFERROR(('Activity data'!AT97*(1/Constants!$H$135))*ttokg*FSOMEF*NtoN2O*kgtoGg,"NO")</f>
        <v>NO</v>
      </c>
      <c r="AU133" s="22" t="str">
        <f>IFERROR(('Activity data'!AU97*(1/Constants!$H$135))*ttokg*FSOMEF*NtoN2O*kgtoGg,"NO")</f>
        <v>NO</v>
      </c>
      <c r="AV133" s="22" t="str">
        <f>IFERROR(('Activity data'!AV97*(1/Constants!$H$135))*ttokg*FSOMEF*NtoN2O*kgtoGg,"NO")</f>
        <v>NO</v>
      </c>
      <c r="AW133" s="22" t="str">
        <f>IFERROR(('Activity data'!AW97*(1/Constants!$H$135))*ttokg*FSOMEF*NtoN2O*kgtoGg,"NO")</f>
        <v>NO</v>
      </c>
      <c r="AX133" s="22" t="str">
        <f>IFERROR(('Activity data'!AX97*(1/Constants!$H$135))*ttokg*FSOMEF*NtoN2O*kgtoGg,"NO")</f>
        <v>NO</v>
      </c>
      <c r="AY133" s="22" t="str">
        <f>IFERROR(('Activity data'!AY97*(1/Constants!$H$135))*ttokg*FSOMEF*NtoN2O*kgtoGg,"NO")</f>
        <v>NO</v>
      </c>
      <c r="AZ133" s="22" t="str">
        <f>IFERROR(('Activity data'!AZ97*(1/Constants!$H$135))*ttokg*FSOMEF*NtoN2O*kgtoGg,"NO")</f>
        <v>NO</v>
      </c>
      <c r="BA133" s="22" t="str">
        <f>IFERROR(('Activity data'!BA97*(1/Constants!$H$135))*ttokg*FSOMEF*NtoN2O*kgtoGg,"NO")</f>
        <v>NO</v>
      </c>
      <c r="BB133" s="22" t="str">
        <f>IFERROR(('Activity data'!BB97*(1/Constants!$H$135))*ttokg*FSOMEF*NtoN2O*kgtoGg,"NO")</f>
        <v>NO</v>
      </c>
      <c r="BC133" s="22" t="str">
        <f>IFERROR(('Activity data'!BC97*(1/Constants!$H$135))*ttokg*FSOMEF*NtoN2O*kgtoGg,"NO")</f>
        <v>NO</v>
      </c>
      <c r="BD133" s="22" t="str">
        <f>IFERROR(('Activity data'!BD97*(1/Constants!$H$135))*ttokg*FSOMEF*NtoN2O*kgtoGg,"NO")</f>
        <v>NO</v>
      </c>
      <c r="BE133" s="22" t="str">
        <f>IFERROR(('Activity data'!BE97*(1/Constants!$H$135))*ttokg*FSOMEF*NtoN2O*kgtoGg,"NO")</f>
        <v>NO</v>
      </c>
      <c r="BF133" s="22" t="str">
        <f>IFERROR(('Activity data'!BF97*(1/Constants!$H$135))*ttokg*FSOMEF*NtoN2O*kgtoGg,"NO")</f>
        <v>NO</v>
      </c>
      <c r="BG133" s="22" t="str">
        <f>IFERROR(('Activity data'!BG97*(1/Constants!$H$135))*ttokg*FSOMEF*NtoN2O*kgtoGg,"NO")</f>
        <v>NO</v>
      </c>
      <c r="BH133" s="22" t="str">
        <f>IFERROR(('Activity data'!BH97*(1/Constants!$H$135))*ttokg*FSOMEF*NtoN2O*kgtoGg,"NO")</f>
        <v>NO</v>
      </c>
      <c r="BI133" s="22" t="str">
        <f>IFERROR(('Activity data'!BI97*(1/Constants!$H$135))*ttokg*FSOMEF*NtoN2O*kgtoGg,"NO")</f>
        <v>NO</v>
      </c>
      <c r="BJ133" s="22" t="str">
        <f>IFERROR(('Activity data'!BJ97*(1/Constants!$H$135))*ttokg*FSOMEF*NtoN2O*kgtoGg,"NO")</f>
        <v>NO</v>
      </c>
      <c r="BK133" s="22" t="str">
        <f>IFERROR(('Activity data'!BK97*(1/Constants!$H$135))*ttokg*FSOMEF*NtoN2O*kgtoGg,"NO")</f>
        <v>NO</v>
      </c>
      <c r="BL133" s="22" t="str">
        <f>IFERROR(('Activity data'!BL97*(1/Constants!$H$135))*ttokg*FSOMEF*NtoN2O*kgtoGg,"NO")</f>
        <v>NO</v>
      </c>
      <c r="BM133" s="22" t="str">
        <f>IFERROR(('Activity data'!BM97*(1/Constants!$H$135))*ttokg*FSOMEF*NtoN2O*kgtoGg,"NO")</f>
        <v>NO</v>
      </c>
      <c r="BN133" s="22" t="str">
        <f>IFERROR(('Activity data'!BN97*(1/Constants!$H$135))*ttokg*FSOMEF*NtoN2O*kgtoGg,"NO")</f>
        <v>NO</v>
      </c>
      <c r="BO133" s="22" t="str">
        <f>IFERROR(('Activity data'!BO97*(1/Constants!$H$135))*ttokg*FSOMEF*NtoN2O*kgtoGg,"NO")</f>
        <v>NO</v>
      </c>
      <c r="BP133" s="22" t="str">
        <f>IFERROR(('Activity data'!BP97*(1/Constants!$H$135))*ttokg*FSOMEF*NtoN2O*kgtoGg,"NO")</f>
        <v>NO</v>
      </c>
    </row>
    <row r="134" spans="1:68" x14ac:dyDescent="0.25">
      <c r="A134" t="str">
        <f t="shared" si="39"/>
        <v>3C Aggregated and non-CO2 emissions on land</v>
      </c>
      <c r="B134" t="str">
        <f t="shared" si="31"/>
        <v>3C4 Direct N2O from managed soils (N2O)</v>
      </c>
      <c r="C134" t="s">
        <v>60</v>
      </c>
      <c r="D134" t="str">
        <f>" - "&amp;'Activity data'!D98</f>
        <v xml:space="preserve"> - Land converted to other lands</v>
      </c>
      <c r="E134" t="str">
        <f t="shared" si="41"/>
        <v>FSOM - Land converted to other lands</v>
      </c>
      <c r="G134" t="str">
        <f t="shared" si="37"/>
        <v>Gg N2O</v>
      </c>
      <c r="H134" s="22">
        <f>IFERROR(('Activity data'!H98*(1/Constants!$H$135))*ttokg*FSOMEF*NtoN2O*kgtoGg,"NO")</f>
        <v>0</v>
      </c>
      <c r="I134" s="22">
        <f>IFERROR(('Activity data'!I98*(1/Constants!$H$135))*ttokg*FSOMEF*NtoN2O*kgtoGg,"NO")</f>
        <v>0.28277997448453884</v>
      </c>
      <c r="J134" s="22">
        <f>IFERROR(('Activity data'!J98*(1/Constants!$H$135))*ttokg*FSOMEF*NtoN2O*kgtoGg,"NO")</f>
        <v>0.28277997448453884</v>
      </c>
      <c r="K134" s="22">
        <f>IFERROR(('Activity data'!K98*(1/Constants!$H$135))*ttokg*FSOMEF*NtoN2O*kgtoGg,"NO")</f>
        <v>0.28277997448453884</v>
      </c>
      <c r="L134" s="22">
        <f>IFERROR(('Activity data'!L98*(1/Constants!$H$135))*ttokg*FSOMEF*NtoN2O*kgtoGg,"NO")</f>
        <v>0.28277997448453884</v>
      </c>
      <c r="M134" s="22">
        <f>IFERROR(('Activity data'!M98*(1/Constants!$H$135))*ttokg*FSOMEF*NtoN2O*kgtoGg,"NO")</f>
        <v>0.28277997448453884</v>
      </c>
      <c r="N134" s="22">
        <f>IFERROR(('Activity data'!N98*(1/Constants!$H$135))*ttokg*FSOMEF*NtoN2O*kgtoGg,"NO")</f>
        <v>0.28277997448453884</v>
      </c>
      <c r="O134" s="22">
        <f>IFERROR(('Activity data'!O98*(1/Constants!$H$135))*ttokg*FSOMEF*NtoN2O*kgtoGg,"NO")</f>
        <v>0.28277997448453884</v>
      </c>
      <c r="P134" s="22">
        <f>IFERROR(('Activity data'!P98*(1/Constants!$H$135))*ttokg*FSOMEF*NtoN2O*kgtoGg,"NO")</f>
        <v>0.28277997448453884</v>
      </c>
      <c r="Q134" s="22">
        <f>IFERROR(('Activity data'!Q98*(1/Constants!$H$135))*ttokg*FSOMEF*NtoN2O*kgtoGg,"NO")</f>
        <v>0.28277997448453884</v>
      </c>
      <c r="R134" s="22">
        <f>IFERROR(('Activity data'!R98*(1/Constants!$H$135))*ttokg*FSOMEF*NtoN2O*kgtoGg,"NO")</f>
        <v>0.28277997448453884</v>
      </c>
      <c r="S134" s="22">
        <f>IFERROR(('Activity data'!S98*(1/Constants!$H$135))*ttokg*FSOMEF*NtoN2O*kgtoGg,"NO")</f>
        <v>0.28277997448453884</v>
      </c>
      <c r="T134" s="22">
        <f>IFERROR(('Activity data'!T98*(1/Constants!$H$135))*ttokg*FSOMEF*NtoN2O*kgtoGg,"NO")</f>
        <v>0.28277997448453884</v>
      </c>
      <c r="U134" s="22">
        <f>IFERROR(('Activity data'!U98*(1/Constants!$H$135))*ttokg*FSOMEF*NtoN2O*kgtoGg,"NO")</f>
        <v>0.28277997448453884</v>
      </c>
      <c r="V134" s="22">
        <f>IFERROR(('Activity data'!V98*(1/Constants!$H$135))*ttokg*FSOMEF*NtoN2O*kgtoGg,"NO")</f>
        <v>0.28277997448453884</v>
      </c>
      <c r="W134" s="22">
        <f>IFERROR(('Activity data'!W98*(1/Constants!$H$135))*ttokg*FSOMEF*NtoN2O*kgtoGg,"NO")</f>
        <v>0.28277997448453884</v>
      </c>
      <c r="X134" s="22">
        <f>IFERROR(('Activity data'!X98*(1/Constants!$H$135))*ttokg*FSOMEF*NtoN2O*kgtoGg,"NO")</f>
        <v>0.28277997448453884</v>
      </c>
      <c r="Y134" s="22">
        <f>IFERROR(('Activity data'!Y98*(1/Constants!$H$135))*ttokg*FSOMEF*NtoN2O*kgtoGg,"NO")</f>
        <v>0.28277997448453884</v>
      </c>
      <c r="Z134" s="22">
        <f>IFERROR(('Activity data'!Z98*(1/Constants!$H$135))*ttokg*FSOMEF*NtoN2O*kgtoGg,"NO")</f>
        <v>0.28277997448453884</v>
      </c>
      <c r="AA134" s="22">
        <f>IFERROR(('Activity data'!AA98*(1/Constants!$H$135))*ttokg*FSOMEF*NtoN2O*kgtoGg,"NO")</f>
        <v>0.28277997448453884</v>
      </c>
      <c r="AB134" s="22">
        <f>IFERROR(('Activity data'!AB98*(1/Constants!$H$135))*ttokg*FSOMEF*NtoN2O*kgtoGg,"NO")</f>
        <v>0.28277997448453884</v>
      </c>
      <c r="AC134" s="22">
        <f>IFERROR(('Activity data'!AC98*(1/Constants!$H$135))*ttokg*FSOMEF*NtoN2O*kgtoGg,"NO")</f>
        <v>0.28277997448453884</v>
      </c>
      <c r="AD134" s="22">
        <f>IFERROR(('Activity data'!AD98*(1/Constants!$H$135))*ttokg*FSOMEF*NtoN2O*kgtoGg,"NO")</f>
        <v>3.1961717215001131</v>
      </c>
      <c r="AE134" s="22">
        <f>IFERROR(('Activity data'!AE98*(1/Constants!$H$135))*ttokg*FSOMEF*NtoN2O*kgtoGg,"NO")</f>
        <v>3.1961717215001131</v>
      </c>
      <c r="AF134" s="22">
        <f>IFERROR(('Activity data'!AF98*(1/Constants!$H$135))*ttokg*FSOMEF*NtoN2O*kgtoGg,"NO")</f>
        <v>3.1961717215001131</v>
      </c>
      <c r="AG134" s="22">
        <f>IFERROR(('Activity data'!AG98*(1/Constants!$H$135))*ttokg*FSOMEF*NtoN2O*kgtoGg,"NO")</f>
        <v>3.1961717215001131</v>
      </c>
      <c r="AH134" s="22">
        <f>IFERROR(('Activity data'!AH98*(1/Constants!$H$135))*ttokg*FSOMEF*NtoN2O*kgtoGg,"NO")</f>
        <v>3.1961717215001131</v>
      </c>
      <c r="AI134" s="22">
        <f>IFERROR(('Activity data'!AI98*(1/Constants!$H$135))*ttokg*FSOMEF*NtoN2O*kgtoGg,"NO")</f>
        <v>3.1961717215001131</v>
      </c>
      <c r="AJ134" s="22">
        <f>IFERROR(('Activity data'!AJ98*(1/Constants!$H$135))*ttokg*FSOMEF*NtoN2O*kgtoGg,"NO")</f>
        <v>3.1961717215001131</v>
      </c>
      <c r="AK134" s="22">
        <f>IFERROR(('Activity data'!AK98*(1/Constants!$H$135))*ttokg*FSOMEF*NtoN2O*kgtoGg,"NO")</f>
        <v>3.1961717215001131</v>
      </c>
      <c r="AL134" s="22">
        <f>IFERROR(('Activity data'!AL98*(1/Constants!$H$135))*ttokg*FSOMEF*NtoN2O*kgtoGg,"NO")</f>
        <v>3.1961717215001131</v>
      </c>
      <c r="AM134" s="22">
        <f>IFERROR(('Activity data'!AM98*(1/Constants!$H$135))*ttokg*FSOMEF*NtoN2O*kgtoGg,"NO")</f>
        <v>3.1961717215001131</v>
      </c>
      <c r="AN134" s="22">
        <f>IFERROR(('Activity data'!AN98*(1/Constants!$H$135))*ttokg*FSOMEF*NtoN2O*kgtoGg,"NO")</f>
        <v>3.1961717215001131</v>
      </c>
      <c r="AO134" s="22">
        <f>IFERROR(('Activity data'!AO98*(1/Constants!$H$135))*ttokg*FSOMEF*NtoN2O*kgtoGg,"NO")</f>
        <v>3.1961717215001131</v>
      </c>
      <c r="AP134" s="22">
        <f>IFERROR(('Activity data'!AP98*(1/Constants!$H$135))*ttokg*FSOMEF*NtoN2O*kgtoGg,"NO")</f>
        <v>3.1961717215001131</v>
      </c>
      <c r="AQ134" s="22">
        <f>IFERROR(('Activity data'!AQ98*(1/Constants!$H$135))*ttokg*FSOMEF*NtoN2O*kgtoGg,"NO")</f>
        <v>3.1961717215001131</v>
      </c>
      <c r="AR134" s="22">
        <f>IFERROR(('Activity data'!AR98*(1/Constants!$H$135))*ttokg*FSOMEF*NtoN2O*kgtoGg,"NO")</f>
        <v>3.1961717215001131</v>
      </c>
      <c r="AS134" s="22">
        <f>IFERROR(('Activity data'!AS98*(1/Constants!$H$135))*ttokg*FSOMEF*NtoN2O*kgtoGg,"NO")</f>
        <v>3.1961717215001131</v>
      </c>
      <c r="AT134" s="22">
        <f>IFERROR(('Activity data'!AT98*(1/Constants!$H$135))*ttokg*FSOMEF*NtoN2O*kgtoGg,"NO")</f>
        <v>3.1961717215001131</v>
      </c>
      <c r="AU134" s="22">
        <f>IFERROR(('Activity data'!AU98*(1/Constants!$H$135))*ttokg*FSOMEF*NtoN2O*kgtoGg,"NO")</f>
        <v>3.1961717215001131</v>
      </c>
      <c r="AV134" s="22">
        <f>IFERROR(('Activity data'!AV98*(1/Constants!$H$135))*ttokg*FSOMEF*NtoN2O*kgtoGg,"NO")</f>
        <v>3.1961717215001131</v>
      </c>
      <c r="AW134" s="22">
        <f>IFERROR(('Activity data'!AW98*(1/Constants!$H$135))*ttokg*FSOMEF*NtoN2O*kgtoGg,"NO")</f>
        <v>3.1961717215001131</v>
      </c>
      <c r="AX134" s="22">
        <f>IFERROR(('Activity data'!AX98*(1/Constants!$H$135))*ttokg*FSOMEF*NtoN2O*kgtoGg,"NO")</f>
        <v>3.1961717215001131</v>
      </c>
      <c r="AY134" s="22">
        <f>IFERROR(('Activity data'!AY98*(1/Constants!$H$135))*ttokg*FSOMEF*NtoN2O*kgtoGg,"NO")</f>
        <v>3.1961717215001131</v>
      </c>
      <c r="AZ134" s="22">
        <f>IFERROR(('Activity data'!AZ98*(1/Constants!$H$135))*ttokg*FSOMEF*NtoN2O*kgtoGg,"NO")</f>
        <v>3.1961717215001131</v>
      </c>
      <c r="BA134" s="22">
        <f>IFERROR(('Activity data'!BA98*(1/Constants!$H$135))*ttokg*FSOMEF*NtoN2O*kgtoGg,"NO")</f>
        <v>3.1961717215001131</v>
      </c>
      <c r="BB134" s="22">
        <f>IFERROR(('Activity data'!BB98*(1/Constants!$H$135))*ttokg*FSOMEF*NtoN2O*kgtoGg,"NO")</f>
        <v>3.1961717215001131</v>
      </c>
      <c r="BC134" s="22">
        <f>IFERROR(('Activity data'!BC98*(1/Constants!$H$135))*ttokg*FSOMEF*NtoN2O*kgtoGg,"NO")</f>
        <v>3.1961717215001131</v>
      </c>
      <c r="BD134" s="22">
        <f>IFERROR(('Activity data'!BD98*(1/Constants!$H$135))*ttokg*FSOMEF*NtoN2O*kgtoGg,"NO")</f>
        <v>3.1961717215001131</v>
      </c>
      <c r="BE134" s="22">
        <f>IFERROR(('Activity data'!BE98*(1/Constants!$H$135))*ttokg*FSOMEF*NtoN2O*kgtoGg,"NO")</f>
        <v>3.1961717215001131</v>
      </c>
      <c r="BF134" s="22">
        <f>IFERROR(('Activity data'!BF98*(1/Constants!$H$135))*ttokg*FSOMEF*NtoN2O*kgtoGg,"NO")</f>
        <v>3.1961717215001131</v>
      </c>
      <c r="BG134" s="22">
        <f>IFERROR(('Activity data'!BG98*(1/Constants!$H$135))*ttokg*FSOMEF*NtoN2O*kgtoGg,"NO")</f>
        <v>3.1961717215001131</v>
      </c>
      <c r="BH134" s="22">
        <f>IFERROR(('Activity data'!BH98*(1/Constants!$H$135))*ttokg*FSOMEF*NtoN2O*kgtoGg,"NO")</f>
        <v>3.1961717215001131</v>
      </c>
      <c r="BI134" s="22">
        <f>IFERROR(('Activity data'!BI98*(1/Constants!$H$135))*ttokg*FSOMEF*NtoN2O*kgtoGg,"NO")</f>
        <v>3.1961717215001131</v>
      </c>
      <c r="BJ134" s="22">
        <f>IFERROR(('Activity data'!BJ98*(1/Constants!$H$135))*ttokg*FSOMEF*NtoN2O*kgtoGg,"NO")</f>
        <v>3.1961717215001131</v>
      </c>
      <c r="BK134" s="22">
        <f>IFERROR(('Activity data'!BK98*(1/Constants!$H$135))*ttokg*FSOMEF*NtoN2O*kgtoGg,"NO")</f>
        <v>3.1961717215001131</v>
      </c>
      <c r="BL134" s="22">
        <f>IFERROR(('Activity data'!BL98*(1/Constants!$H$135))*ttokg*FSOMEF*NtoN2O*kgtoGg,"NO")</f>
        <v>3.1961717215001131</v>
      </c>
      <c r="BM134" s="22">
        <f>IFERROR(('Activity data'!BM98*(1/Constants!$H$135))*ttokg*FSOMEF*NtoN2O*kgtoGg,"NO")</f>
        <v>3.1961717215001131</v>
      </c>
      <c r="BN134" s="22">
        <f>IFERROR(('Activity data'!BN98*(1/Constants!$H$135))*ttokg*FSOMEF*NtoN2O*kgtoGg,"NO")</f>
        <v>3.1961717215001131</v>
      </c>
      <c r="BO134" s="22">
        <f>IFERROR(('Activity data'!BO98*(1/Constants!$H$135))*ttokg*FSOMEF*NtoN2O*kgtoGg,"NO")</f>
        <v>3.1961717215001131</v>
      </c>
      <c r="BP134" s="22">
        <f>IFERROR(('Activity data'!BP98*(1/Constants!$H$135))*ttokg*FSOMEF*NtoN2O*kgtoGg,"NO")</f>
        <v>3.1961717215001131</v>
      </c>
    </row>
    <row r="135" spans="1:68" x14ac:dyDescent="0.25">
      <c r="A135" t="str">
        <f>A122</f>
        <v>3C Aggregated and non-CO2 emissions on land</v>
      </c>
      <c r="B135" t="str">
        <f>'IPCC Categories'!B78</f>
        <v>3C5 Indirect N2O from managed soils (N2O)</v>
      </c>
      <c r="C135" t="str">
        <f>'IPCC Categories'!C78</f>
        <v>Volatilisation</v>
      </c>
      <c r="D135" t="s">
        <v>435</v>
      </c>
      <c r="E135" t="str">
        <f t="shared" si="32"/>
        <v>Volatilisation - Synthetic fertlisers</v>
      </c>
      <c r="F135" t="str">
        <f>F122</f>
        <v>N2O</v>
      </c>
      <c r="G135" t="str">
        <f>G122</f>
        <v>Gg N2O</v>
      </c>
      <c r="H135" s="22">
        <f>'Activity data'!H47*ttokg*FracGASF*MSVolatEF*NtoN2O*kgtoGg</f>
        <v>0.5400827142857143</v>
      </c>
      <c r="I135" s="22">
        <f>'Activity data'!I47*ttokg*FracGASF*MSVolatEF*NtoN2O*kgtoGg</f>
        <v>0.57362642857142854</v>
      </c>
      <c r="J135" s="22">
        <f>'Activity data'!J47*ttokg*FracGASF*MSVolatEF*NtoN2O*kgtoGg</f>
        <v>0.54611071428571434</v>
      </c>
      <c r="K135" s="22">
        <f>'Activity data'!K47*ttokg*FracGASF*MSVolatEF*NtoN2O*kgtoGg</f>
        <v>0.64186414285714277</v>
      </c>
      <c r="L135" s="22">
        <f>'Activity data'!L47*ttokg*FracGASF*MSVolatEF*NtoN2O*kgtoGg</f>
        <v>0.58938942857142851</v>
      </c>
      <c r="M135" s="22">
        <f>'Activity data'!M47*ttokg*FracGASF*MSVolatEF*NtoN2O*kgtoGg</f>
        <v>0.58377157142857139</v>
      </c>
      <c r="N135" s="22">
        <f>'Activity data'!N47*ttokg*FracGASF*MSVolatEF*NtoN2O*kgtoGg</f>
        <v>0.65227485714285716</v>
      </c>
      <c r="O135" s="22">
        <f>'Activity data'!O47*ttokg*FracGASF*MSVolatEF*NtoN2O*kgtoGg</f>
        <v>0.63943628571428568</v>
      </c>
      <c r="P135" s="22">
        <f>'Activity data'!P47*ttokg*FracGASF*MSVolatEF*NtoN2O*kgtoGg</f>
        <v>0.65296157142857136</v>
      </c>
      <c r="Q135" s="22">
        <f>'Activity data'!Q47*ttokg*FracGASF*MSVolatEF*NtoN2O*kgtoGg</f>
        <v>0.64907071428571428</v>
      </c>
      <c r="R135" s="22">
        <f>'Activity data'!R47*ttokg*FracGASF*MSVolatEF*NtoN2O*kgtoGg</f>
        <v>0.653609</v>
      </c>
      <c r="S135" s="22">
        <f>'Activity data'!S47*ttokg*FracGASF*MSVolatEF*NtoN2O*kgtoGg</f>
        <v>0.6219918571428571</v>
      </c>
      <c r="T135" s="22">
        <f>'Activity data'!T47*ttokg*FracGASF*MSVolatEF*NtoN2O*kgtoGg</f>
        <v>0.74968457142857137</v>
      </c>
      <c r="U135" s="22">
        <f>'Activity data'!U47*ttokg*FracGASF*MSVolatEF*NtoN2O*kgtoGg</f>
        <v>0.66129957142857132</v>
      </c>
      <c r="V135" s="22">
        <f>'Activity data'!V47*ttokg*FracGASF*MSVolatEF*NtoN2O*kgtoGg</f>
        <v>0.67189728571428564</v>
      </c>
      <c r="W135" s="22">
        <f>'Activity data'!W47*ttokg*FracGASF*MSVolatEF*NtoN2O*kgtoGg</f>
        <v>0.54569428571428569</v>
      </c>
      <c r="X135" s="22">
        <f>'Activity data'!X47*ttokg*FracGASF*MSVolatEF*NtoN2O*kgtoGg</f>
        <v>0.67370128571428567</v>
      </c>
      <c r="Y135" s="22">
        <f>'Activity data'!Y47*ttokg*FracGASF*MSVolatEF*NtoN2O*kgtoGg</f>
        <v>0.69061142857142854</v>
      </c>
      <c r="Z135" s="22">
        <f>'Activity data'!Z47*ttokg*FracGASF*MSVolatEF*NtoN2O*kgtoGg</f>
        <v>0.66647899999999993</v>
      </c>
      <c r="AA135" s="22">
        <f>'Activity data'!AA47*ttokg*FracGASF*MSVolatEF*NtoN2O*kgtoGg</f>
        <v>0.71307814285714277</v>
      </c>
      <c r="AB135" s="22">
        <f>'Activity data'!AB47*ttokg*FracGASF*MSVolatEF*NtoN2O*kgtoGg</f>
        <v>0.62071428571428566</v>
      </c>
      <c r="AC135" s="22">
        <f>'Activity data'!AC47*ttokg*FracGASF*MSVolatEF*NtoN2O*kgtoGg</f>
        <v>0.65842857142857136</v>
      </c>
      <c r="AD135" s="22">
        <f>'Activity data'!AD47*ttokg*FracGASF*MSVolatEF*NtoN2O*kgtoGg</f>
        <v>0.66064812063358536</v>
      </c>
      <c r="AE135" s="22">
        <f>'Activity data'!AE47*ttokg*FracGASF*MSVolatEF*NtoN2O*kgtoGg</f>
        <v>0.66058207390899393</v>
      </c>
      <c r="AF135" s="22">
        <f>'Activity data'!AF47*ttokg*FracGASF*MSVolatEF*NtoN2O*kgtoGg</f>
        <v>0.66043752951273249</v>
      </c>
      <c r="AG135" s="22">
        <f>'Activity data'!AG47*ttokg*FracGASF*MSVolatEF*NtoN2O*kgtoGg</f>
        <v>0.66032696198689877</v>
      </c>
      <c r="AH135" s="22">
        <f>'Activity data'!AH47*ttokg*FracGASF*MSVolatEF*NtoN2O*kgtoGg</f>
        <v>0.66024181197218434</v>
      </c>
      <c r="AI135" s="22">
        <f>'Activity data'!AI47*ttokg*FracGASF*MSVolatEF*NtoN2O*kgtoGg</f>
        <v>0.66018322856379763</v>
      </c>
      <c r="AJ135" s="22">
        <f>'Activity data'!AJ47*ttokg*FracGASF*MSVolatEF*NtoN2O*kgtoGg</f>
        <v>0.66009203839532549</v>
      </c>
      <c r="AK135" s="22">
        <f>'Activity data'!AK47*ttokg*FracGASF*MSVolatEF*NtoN2O*kgtoGg</f>
        <v>0.6600085141794314</v>
      </c>
      <c r="AL135" s="22">
        <f>'Activity data'!AL47*ttokg*FracGASF*MSVolatEF*NtoN2O*kgtoGg</f>
        <v>0.65992810826568171</v>
      </c>
      <c r="AM135" s="22">
        <f>'Activity data'!AM47*ttokg*FracGASF*MSVolatEF*NtoN2O*kgtoGg</f>
        <v>0.66038308279229241</v>
      </c>
      <c r="AN135" s="22">
        <f>'Activity data'!AN47*ttokg*FracGASF*MSVolatEF*NtoN2O*kgtoGg</f>
        <v>0.6602303054556129</v>
      </c>
      <c r="AO135" s="22">
        <f>'Activity data'!AO47*ttokg*FracGASF*MSVolatEF*NtoN2O*kgtoGg</f>
        <v>0.66008610999729145</v>
      </c>
      <c r="AP135" s="22">
        <f>'Activity data'!AP47*ttokg*FracGASF*MSVolatEF*NtoN2O*kgtoGg</f>
        <v>0.65994081196940568</v>
      </c>
      <c r="AQ135" s="22">
        <f>'Activity data'!AQ47*ttokg*FracGASF*MSVolatEF*NtoN2O*kgtoGg</f>
        <v>0.65978773219858022</v>
      </c>
      <c r="AR135" s="22">
        <f>'Activity data'!AR47*ttokg*FracGASF*MSVolatEF*NtoN2O*kgtoGg</f>
        <v>0.65962246927897528</v>
      </c>
      <c r="AS135" s="22">
        <f>'Activity data'!AS47*ttokg*FracGASF*MSVolatEF*NtoN2O*kgtoGg</f>
        <v>0.65945459026359943</v>
      </c>
      <c r="AT135" s="22">
        <f>'Activity data'!AT47*ttokg*FracGASF*MSVolatEF*NtoN2O*kgtoGg</f>
        <v>0.65927980474535475</v>
      </c>
      <c r="AU135" s="22">
        <f>'Activity data'!AU47*ttokg*FracGASF*MSVolatEF*NtoN2O*kgtoGg</f>
        <v>0.65909745893588623</v>
      </c>
      <c r="AV135" s="22">
        <f>'Activity data'!AV47*ttokg*FracGASF*MSVolatEF*NtoN2O*kgtoGg</f>
        <v>0.6588986470198227</v>
      </c>
      <c r="AW135" s="22">
        <f>'Activity data'!AW47*ttokg*FracGASF*MSVolatEF*NtoN2O*kgtoGg</f>
        <v>0.65870460724790691</v>
      </c>
      <c r="AX135" s="22">
        <f>'Activity data'!AX47*ttokg*FracGASF*MSVolatEF*NtoN2O*kgtoGg</f>
        <v>0.65848641583734868</v>
      </c>
      <c r="AY135" s="22">
        <f>'Activity data'!AY47*ttokg*FracGASF*MSVolatEF*NtoN2O*kgtoGg</f>
        <v>0.65826603135893169</v>
      </c>
      <c r="AZ135" s="22">
        <f>'Activity data'!AZ47*ttokg*FracGASF*MSVolatEF*NtoN2O*kgtoGg</f>
        <v>0.65804455027989484</v>
      </c>
      <c r="BA135" s="22">
        <f>'Activity data'!BA47*ttokg*FracGASF*MSVolatEF*NtoN2O*kgtoGg</f>
        <v>0.65782303527453756</v>
      </c>
      <c r="BB135" s="22">
        <f>'Activity data'!BB47*ttokg*FracGASF*MSVolatEF*NtoN2O*kgtoGg</f>
        <v>0.6576200511197754</v>
      </c>
      <c r="BC135" s="22">
        <f>'Activity data'!BC47*ttokg*FracGASF*MSVolatEF*NtoN2O*kgtoGg</f>
        <v>0.65741368093691543</v>
      </c>
      <c r="BD135" s="22">
        <f>'Activity data'!BD47*ttokg*FracGASF*MSVolatEF*NtoN2O*kgtoGg</f>
        <v>0.65719894063211315</v>
      </c>
      <c r="BE135" s="22">
        <f>'Activity data'!BE47*ttokg*FracGASF*MSVolatEF*NtoN2O*kgtoGg</f>
        <v>0.65697994442072349</v>
      </c>
      <c r="BF135" s="22">
        <f>'Activity data'!BF47*ttokg*FracGASF*MSVolatEF*NtoN2O*kgtoGg</f>
        <v>0.65676952966384983</v>
      </c>
      <c r="BG135" s="22">
        <f>'Activity data'!BG47*ttokg*FracGASF*MSVolatEF*NtoN2O*kgtoGg</f>
        <v>0.65656056667652607</v>
      </c>
      <c r="BH135" s="22">
        <f>'Activity data'!BH47*ttokg*FracGASF*MSVolatEF*NtoN2O*kgtoGg</f>
        <v>0.65634934084861762</v>
      </c>
      <c r="BI135" s="22">
        <f>'Activity data'!BI47*ttokg*FracGASF*MSVolatEF*NtoN2O*kgtoGg</f>
        <v>0.65613357751337031</v>
      </c>
      <c r="BJ135" s="22">
        <f>'Activity data'!BJ47*ttokg*FracGASF*MSVolatEF*NtoN2O*kgtoGg</f>
        <v>0.65591157758905749</v>
      </c>
      <c r="BK135" s="22">
        <f>'Activity data'!BK47*ttokg*FracGASF*MSVolatEF*NtoN2O*kgtoGg</f>
        <v>0.65568469055666245</v>
      </c>
      <c r="BL135" s="22">
        <f>'Activity data'!BL47*ttokg*FracGASF*MSVolatEF*NtoN2O*kgtoGg</f>
        <v>0.65544915795000203</v>
      </c>
      <c r="BM135" s="22">
        <f>'Activity data'!BM47*ttokg*FracGASF*MSVolatEF*NtoN2O*kgtoGg</f>
        <v>0.65520823462178046</v>
      </c>
      <c r="BN135" s="22">
        <f>'Activity data'!BN47*ttokg*FracGASF*MSVolatEF*NtoN2O*kgtoGg</f>
        <v>0.65496403783587531</v>
      </c>
      <c r="BO135" s="22">
        <f>'Activity data'!BO47*ttokg*FracGASF*MSVolatEF*NtoN2O*kgtoGg</f>
        <v>0.65472681906606112</v>
      </c>
      <c r="BP135" s="22">
        <f>'Activity data'!BP47*ttokg*FracGASF*MSVolatEF*NtoN2O*kgtoGg</f>
        <v>0.65448579414595243</v>
      </c>
    </row>
    <row r="136" spans="1:68" x14ac:dyDescent="0.25">
      <c r="A136" t="str">
        <f t="shared" si="29"/>
        <v>3C Aggregated and non-CO2 emissions on land</v>
      </c>
      <c r="B136" t="str">
        <f>B135</f>
        <v>3C5 Indirect N2O from managed soils (N2O)</v>
      </c>
      <c r="C136" t="str">
        <f>C135</f>
        <v>Volatilisation</v>
      </c>
      <c r="D136" t="s">
        <v>436</v>
      </c>
      <c r="E136" t="str">
        <f t="shared" si="32"/>
        <v>Volatilisation - Organic fertilisers</v>
      </c>
      <c r="F136" t="str">
        <f t="shared" si="36"/>
        <v>N2O</v>
      </c>
      <c r="G136" t="str">
        <f t="shared" si="37"/>
        <v>Gg N2O</v>
      </c>
      <c r="H136" s="22">
        <f>'Activity data'!H48*ttokg*FracGASM*MSVolatEF*NtoN2O*kgtoGg</f>
        <v>7.1290918285714282E-3</v>
      </c>
      <c r="I136" s="22">
        <f>'Activity data'!I48*ttokg*FracGASM*MSVolatEF*NtoN2O*kgtoGg</f>
        <v>7.5718688571428574E-3</v>
      </c>
      <c r="J136" s="22">
        <f>'Activity data'!J48*ttokg*FracGASM*MSVolatEF*NtoN2O*kgtoGg</f>
        <v>7.2086614285714291E-3</v>
      </c>
      <c r="K136" s="22">
        <f>'Activity data'!K48*ttokg*FracGASM*MSVolatEF*NtoN2O*kgtoGg</f>
        <v>8.4726066857142863E-3</v>
      </c>
      <c r="L136" s="22">
        <f>'Activity data'!L48*ttokg*FracGASM*MSVolatEF*NtoN2O*kgtoGg</f>
        <v>7.7799404571428574E-3</v>
      </c>
      <c r="M136" s="22">
        <f>'Activity data'!M48*ttokg*FracGASM*MSVolatEF*NtoN2O*kgtoGg</f>
        <v>7.7057847428571432E-3</v>
      </c>
      <c r="N136" s="22">
        <f>'Activity data'!N48*ttokg*FracGASM*MSVolatEF*NtoN2O*kgtoGg</f>
        <v>8.610028114285715E-3</v>
      </c>
      <c r="O136" s="22">
        <f>'Activity data'!O48*ttokg*FracGASM*MSVolatEF*NtoN2O*kgtoGg</f>
        <v>8.440558971428572E-3</v>
      </c>
      <c r="P136" s="22">
        <f>'Activity data'!P48*ttokg*FracGASM*MSVolatEF*NtoN2O*kgtoGg</f>
        <v>8.6190927428571439E-3</v>
      </c>
      <c r="Q136" s="22">
        <f>'Activity data'!Q48*ttokg*FracGASM*MSVolatEF*NtoN2O*kgtoGg</f>
        <v>8.5677334285714293E-3</v>
      </c>
      <c r="R136" s="22">
        <f>'Activity data'!R48*ttokg*FracGASM*MSVolatEF*NtoN2O*kgtoGg</f>
        <v>8.627638800000002E-3</v>
      </c>
      <c r="S136" s="22">
        <f>'Activity data'!S48*ttokg*FracGASM*MSVolatEF*NtoN2O*kgtoGg</f>
        <v>8.210292514285714E-3</v>
      </c>
      <c r="T136" s="22">
        <f>'Activity data'!T48*ttokg*FracGASM*MSVolatEF*NtoN2O*kgtoGg</f>
        <v>9.8958363428571453E-3</v>
      </c>
      <c r="U136" s="22">
        <f>'Activity data'!U48*ttokg*FracGASM*MSVolatEF*NtoN2O*kgtoGg</f>
        <v>8.7291543428571466E-3</v>
      </c>
      <c r="V136" s="22">
        <f>'Activity data'!V48*ttokg*FracGASM*MSVolatEF*NtoN2O*kgtoGg</f>
        <v>8.8690441714285723E-3</v>
      </c>
      <c r="W136" s="22">
        <f>'Activity data'!W48*ttokg*FracGASM*MSVolatEF*NtoN2O*kgtoGg</f>
        <v>7.2031645714285709E-3</v>
      </c>
      <c r="X136" s="22">
        <f>'Activity data'!X48*ttokg*FracGASM*MSVolatEF*NtoN2O*kgtoGg</f>
        <v>8.8928569714285723E-3</v>
      </c>
      <c r="Y136" s="22">
        <f>'Activity data'!Y48*ttokg*FracGASM*MSVolatEF*NtoN2O*kgtoGg</f>
        <v>9.1160708571428571E-3</v>
      </c>
      <c r="Z136" s="22">
        <f>'Activity data'!Z48*ttokg*FracGASM*MSVolatEF*NtoN2O*kgtoGg</f>
        <v>8.7975228000000006E-3</v>
      </c>
      <c r="AA136" s="22">
        <f>'Activity data'!AA48*ttokg*FracGASM*MSVolatEF*NtoN2O*kgtoGg</f>
        <v>9.4126314857142859E-3</v>
      </c>
      <c r="AB136" s="22">
        <f>'Activity data'!AB48*ttokg*FracGASM*MSVolatEF*NtoN2O*kgtoGg</f>
        <v>8.1934285714285703E-3</v>
      </c>
      <c r="AC136" s="22">
        <f>'Activity data'!AC48*ttokg*FracGASM*MSVolatEF*NtoN2O*kgtoGg</f>
        <v>8.6912571428571419E-3</v>
      </c>
      <c r="AD136" s="22">
        <f>'Activity data'!AD48*ttokg*FracGASM*MSVolatEF*NtoN2O*kgtoGg</f>
        <v>8.720555192363328E-3</v>
      </c>
      <c r="AE136" s="22">
        <f>'Activity data'!AE48*ttokg*FracGASM*MSVolatEF*NtoN2O*kgtoGg</f>
        <v>8.7196833755987229E-3</v>
      </c>
      <c r="AF136" s="22">
        <f>'Activity data'!AF48*ttokg*FracGASM*MSVolatEF*NtoN2O*kgtoGg</f>
        <v>8.7177753895680693E-3</v>
      </c>
      <c r="AG136" s="22">
        <f>'Activity data'!AG48*ttokg*FracGASM*MSVolatEF*NtoN2O*kgtoGg</f>
        <v>8.7163158982270644E-3</v>
      </c>
      <c r="AH136" s="22">
        <f>'Activity data'!AH48*ttokg*FracGASM*MSVolatEF*NtoN2O*kgtoGg</f>
        <v>8.7151919180328344E-3</v>
      </c>
      <c r="AI136" s="22">
        <f>'Activity data'!AI48*ttokg*FracGASM*MSVolatEF*NtoN2O*kgtoGg</f>
        <v>8.7144186170421307E-3</v>
      </c>
      <c r="AJ136" s="22">
        <f>'Activity data'!AJ48*ttokg*FracGASM*MSVolatEF*NtoN2O*kgtoGg</f>
        <v>8.7132149068182979E-3</v>
      </c>
      <c r="AK136" s="22">
        <f>'Activity data'!AK48*ttokg*FracGASM*MSVolatEF*NtoN2O*kgtoGg</f>
        <v>8.7121123871684962E-3</v>
      </c>
      <c r="AL136" s="22">
        <f>'Activity data'!AL48*ttokg*FracGASM*MSVolatEF*NtoN2O*kgtoGg</f>
        <v>8.7110510291070024E-3</v>
      </c>
      <c r="AM136" s="22">
        <f>'Activity data'!AM48*ttokg*FracGASM*MSVolatEF*NtoN2O*kgtoGg</f>
        <v>8.7170566928582629E-3</v>
      </c>
      <c r="AN136" s="22">
        <f>'Activity data'!AN48*ttokg*FracGASM*MSVolatEF*NtoN2O*kgtoGg</f>
        <v>8.7150400320140913E-3</v>
      </c>
      <c r="AO136" s="22">
        <f>'Activity data'!AO48*ttokg*FracGASM*MSVolatEF*NtoN2O*kgtoGg</f>
        <v>8.7131366519642463E-3</v>
      </c>
      <c r="AP136" s="22">
        <f>'Activity data'!AP48*ttokg*FracGASM*MSVolatEF*NtoN2O*kgtoGg</f>
        <v>8.7112187179961553E-3</v>
      </c>
      <c r="AQ136" s="22">
        <f>'Activity data'!AQ48*ttokg*FracGASM*MSVolatEF*NtoN2O*kgtoGg</f>
        <v>8.7091980650212605E-3</v>
      </c>
      <c r="AR136" s="22">
        <f>'Activity data'!AR48*ttokg*FracGASM*MSVolatEF*NtoN2O*kgtoGg</f>
        <v>8.7070165944824751E-3</v>
      </c>
      <c r="AS136" s="22">
        <f>'Activity data'!AS48*ttokg*FracGASM*MSVolatEF*NtoN2O*kgtoGg</f>
        <v>8.7048005914795133E-3</v>
      </c>
      <c r="AT136" s="22">
        <f>'Activity data'!AT48*ttokg*FracGASM*MSVolatEF*NtoN2O*kgtoGg</f>
        <v>8.7024934226386831E-3</v>
      </c>
      <c r="AU136" s="22">
        <f>'Activity data'!AU48*ttokg*FracGASM*MSVolatEF*NtoN2O*kgtoGg</f>
        <v>8.7000864579537002E-3</v>
      </c>
      <c r="AV136" s="22">
        <f>'Activity data'!AV48*ttokg*FracGASM*MSVolatEF*NtoN2O*kgtoGg</f>
        <v>8.6974621406616642E-3</v>
      </c>
      <c r="AW136" s="22">
        <f>'Activity data'!AW48*ttokg*FracGASM*MSVolatEF*NtoN2O*kgtoGg</f>
        <v>8.6949008156723719E-3</v>
      </c>
      <c r="AX136" s="22">
        <f>'Activity data'!AX48*ttokg*FracGASM*MSVolatEF*NtoN2O*kgtoGg</f>
        <v>8.6920206890530056E-3</v>
      </c>
      <c r="AY136" s="22">
        <f>'Activity data'!AY48*ttokg*FracGASM*MSVolatEF*NtoN2O*kgtoGg</f>
        <v>8.6891116139379016E-3</v>
      </c>
      <c r="AZ136" s="22">
        <f>'Activity data'!AZ48*ttokg*FracGASM*MSVolatEF*NtoN2O*kgtoGg</f>
        <v>8.6861880636946165E-3</v>
      </c>
      <c r="BA136" s="22">
        <f>'Activity data'!BA48*ttokg*FracGASM*MSVolatEF*NtoN2O*kgtoGg</f>
        <v>8.6832640656239E-3</v>
      </c>
      <c r="BB136" s="22">
        <f>'Activity data'!BB48*ttokg*FracGASM*MSVolatEF*NtoN2O*kgtoGg</f>
        <v>8.6805846747810365E-3</v>
      </c>
      <c r="BC136" s="22">
        <f>'Activity data'!BC48*ttokg*FracGASM*MSVolatEF*NtoN2O*kgtoGg</f>
        <v>8.677860588367288E-3</v>
      </c>
      <c r="BD136" s="22">
        <f>'Activity data'!BD48*ttokg*FracGASM*MSVolatEF*NtoN2O*kgtoGg</f>
        <v>8.6750260163438939E-3</v>
      </c>
      <c r="BE136" s="22">
        <f>'Activity data'!BE48*ttokg*FracGASM*MSVolatEF*NtoN2O*kgtoGg</f>
        <v>8.6721352663535513E-3</v>
      </c>
      <c r="BF136" s="22">
        <f>'Activity data'!BF48*ttokg*FracGASM*MSVolatEF*NtoN2O*kgtoGg</f>
        <v>8.6693577915628196E-3</v>
      </c>
      <c r="BG136" s="22">
        <f>'Activity data'!BG48*ttokg*FracGASM*MSVolatEF*NtoN2O*kgtoGg</f>
        <v>8.6665994801301428E-3</v>
      </c>
      <c r="BH136" s="22">
        <f>'Activity data'!BH48*ttokg*FracGASM*MSVolatEF*NtoN2O*kgtoGg</f>
        <v>8.6638112992017523E-3</v>
      </c>
      <c r="BI136" s="22">
        <f>'Activity data'!BI48*ttokg*FracGASM*MSVolatEF*NtoN2O*kgtoGg</f>
        <v>8.6609632231764901E-3</v>
      </c>
      <c r="BJ136" s="22">
        <f>'Activity data'!BJ48*ttokg*FracGASM*MSVolatEF*NtoN2O*kgtoGg</f>
        <v>8.6580328241755607E-3</v>
      </c>
      <c r="BK136" s="22">
        <f>'Activity data'!BK48*ttokg*FracGASM*MSVolatEF*NtoN2O*kgtoGg</f>
        <v>8.6550379153479459E-3</v>
      </c>
      <c r="BL136" s="22">
        <f>'Activity data'!BL48*ttokg*FracGASM*MSVolatEF*NtoN2O*kgtoGg</f>
        <v>8.6519288849400255E-3</v>
      </c>
      <c r="BM136" s="22">
        <f>'Activity data'!BM48*ttokg*FracGASM*MSVolatEF*NtoN2O*kgtoGg</f>
        <v>8.6487486970075033E-3</v>
      </c>
      <c r="BN136" s="22">
        <f>'Activity data'!BN48*ttokg*FracGASM*MSVolatEF*NtoN2O*kgtoGg</f>
        <v>8.6455252994335537E-3</v>
      </c>
      <c r="BO136" s="22">
        <f>'Activity data'!BO48*ttokg*FracGASM*MSVolatEF*NtoN2O*kgtoGg</f>
        <v>8.64239401167201E-3</v>
      </c>
      <c r="BP136" s="22">
        <f>'Activity data'!BP48*ttokg*FracGASM*MSVolatEF*NtoN2O*kgtoGg</f>
        <v>8.6392124827265725E-3</v>
      </c>
    </row>
    <row r="137" spans="1:68" x14ac:dyDescent="0.25">
      <c r="A137" t="str">
        <f t="shared" si="29"/>
        <v>3C Aggregated and non-CO2 emissions on land</v>
      </c>
      <c r="B137" t="str">
        <f t="shared" ref="B137:B138" si="42">B136</f>
        <v>3C5 Indirect N2O from managed soils (N2O)</v>
      </c>
      <c r="C137" t="str">
        <f t="shared" ref="C137:C138" si="43">C136</f>
        <v>Volatilisation</v>
      </c>
      <c r="D137" t="s">
        <v>437</v>
      </c>
      <c r="E137" t="str">
        <f t="shared" si="32"/>
        <v>Volatilisation - Managed manure</v>
      </c>
      <c r="F137" t="str">
        <f t="shared" si="36"/>
        <v>N2O</v>
      </c>
      <c r="G137" t="str">
        <f t="shared" si="37"/>
        <v>Gg N2O</v>
      </c>
      <c r="H137" s="22">
        <f>SUM('Activity data'!H50:H65)*FracGASM*MSVolatEF*NtoN2O*kgtoGg</f>
        <v>0.99551555312027373</v>
      </c>
      <c r="I137" s="22">
        <f>SUM('Activity data'!I50:I65)*FracGASM*MSVolatEF*NtoN2O*kgtoGg</f>
        <v>1.0457263616851549</v>
      </c>
      <c r="J137" s="22">
        <f>SUM('Activity data'!J50:J65)*FracGASM*MSVolatEF*NtoN2O*kgtoGg</f>
        <v>1.0280485030279605</v>
      </c>
      <c r="K137" s="22">
        <f>SUM('Activity data'!K50:K65)*FracGASM*MSVolatEF*NtoN2O*kgtoGg</f>
        <v>1.03324963057342</v>
      </c>
      <c r="L137" s="22">
        <f>SUM('Activity data'!L50:L65)*FracGASM*MSVolatEF*NtoN2O*kgtoGg</f>
        <v>0.95236586726215788</v>
      </c>
      <c r="M137" s="22">
        <f>SUM('Activity data'!M50:M65)*FracGASM*MSVolatEF*NtoN2O*kgtoGg</f>
        <v>0.9653219403734149</v>
      </c>
      <c r="N137" s="22">
        <f>SUM('Activity data'!N50:N65)*FracGASM*MSVolatEF*NtoN2O*kgtoGg</f>
        <v>0.99815602807535353</v>
      </c>
      <c r="O137" s="22">
        <f>SUM('Activity data'!O50:O65)*FracGASM*MSVolatEF*NtoN2O*kgtoGg</f>
        <v>1.0144180969214591</v>
      </c>
      <c r="P137" s="22">
        <f>SUM('Activity data'!P50:P65)*FracGASM*MSVolatEF*NtoN2O*kgtoGg</f>
        <v>1.0520418095998723</v>
      </c>
      <c r="Q137" s="22">
        <f>SUM('Activity data'!Q50:Q65)*FracGASM*MSVolatEF*NtoN2O*kgtoGg</f>
        <v>1.0732775914439636</v>
      </c>
      <c r="R137" s="22">
        <f>SUM('Activity data'!R50:R65)*FracGASM*MSVolatEF*NtoN2O*kgtoGg</f>
        <v>1.1194350722704709</v>
      </c>
      <c r="S137" s="22">
        <f>SUM('Activity data'!S50:S65)*FracGASM*MSVolatEF*NtoN2O*kgtoGg</f>
        <v>1.1042100081051662</v>
      </c>
      <c r="T137" s="22">
        <f>SUM('Activity data'!T50:T65)*FracGASM*MSVolatEF*NtoN2O*kgtoGg</f>
        <v>1.1383465549548826</v>
      </c>
      <c r="U137" s="22">
        <f>SUM('Activity data'!U50:U65)*FracGASM*MSVolatEF*NtoN2O*kgtoGg</f>
        <v>1.1234193003595725</v>
      </c>
      <c r="V137" s="22">
        <f>SUM('Activity data'!V50:V65)*FracGASM*MSVolatEF*NtoN2O*kgtoGg</f>
        <v>1.1105797277549578</v>
      </c>
      <c r="W137" s="22">
        <f>SUM('Activity data'!W50:W65)*FracGASM*MSVolatEF*NtoN2O*kgtoGg</f>
        <v>1.1231687261749999</v>
      </c>
      <c r="X137" s="22">
        <f>SUM('Activity data'!X50:X65)*FracGASM*MSVolatEF*NtoN2O*kgtoGg</f>
        <v>1.1446915398900395</v>
      </c>
      <c r="Y137" s="22">
        <f>SUM('Activity data'!Y50:Y65)*FracGASM*MSVolatEF*NtoN2O*kgtoGg</f>
        <v>1.1770744841159908</v>
      </c>
      <c r="Z137" s="22">
        <f>SUM('Activity data'!Z50:Z65)*FracGASM*MSVolatEF*NtoN2O*kgtoGg</f>
        <v>1.218985945315326</v>
      </c>
      <c r="AA137" s="22">
        <f>SUM('Activity data'!AA50:AA65)*FracGASM*MSVolatEF*NtoN2O*kgtoGg</f>
        <v>1.2092710440167578</v>
      </c>
      <c r="AB137" s="22">
        <f>SUM('Activity data'!AB50:AB65)*FracGASM*MSVolatEF*NtoN2O*kgtoGg</f>
        <v>1.2045606040064729</v>
      </c>
      <c r="AC137" s="22">
        <f>SUM('Activity data'!AC50:AC65)*FracGASM*MSVolatEF*NtoN2O*kgtoGg</f>
        <v>1.2120476688441433</v>
      </c>
      <c r="AD137" s="22">
        <f>SUM('Activity data'!AD50:AD65)*FracGASM*MSVolatEF*NtoN2O*kgtoGg</f>
        <v>1.2010580531639783</v>
      </c>
      <c r="AE137" s="22">
        <f>SUM('Activity data'!AE50:AE65)*FracGASM*MSVolatEF*NtoN2O*kgtoGg</f>
        <v>1.2077090515254156</v>
      </c>
      <c r="AF137" s="22">
        <f>SUM('Activity data'!AF50:AF65)*FracGASM*MSVolatEF*NtoN2O*kgtoGg</f>
        <v>1.206966023219376</v>
      </c>
      <c r="AG137" s="22">
        <f>SUM('Activity data'!AG50:AG65)*FracGASM*MSVolatEF*NtoN2O*kgtoGg</f>
        <v>1.2009111865189972</v>
      </c>
      <c r="AH137" s="22">
        <f>SUM('Activity data'!AH50:AH65)*FracGASM*MSVolatEF*NtoN2O*kgtoGg</f>
        <v>1.1894182041234591</v>
      </c>
      <c r="AI137" s="22">
        <f>SUM('Activity data'!AI50:AI65)*FracGASM*MSVolatEF*NtoN2O*kgtoGg</f>
        <v>1.1857348878213823</v>
      </c>
      <c r="AJ137" s="22">
        <f>SUM('Activity data'!AJ50:AJ65)*FracGASM*MSVolatEF*NtoN2O*kgtoGg</f>
        <v>1.1807503802286865</v>
      </c>
      <c r="AK137" s="22">
        <f>SUM('Activity data'!AK50:AK65)*FracGASM*MSVolatEF*NtoN2O*kgtoGg</f>
        <v>1.175454506769348</v>
      </c>
      <c r="AL137" s="22">
        <f>SUM('Activity data'!AL50:AL65)*FracGASM*MSVolatEF*NtoN2O*kgtoGg</f>
        <v>1.0594956390080594</v>
      </c>
      <c r="AM137" s="22">
        <f>SUM('Activity data'!AM50:AM65)*FracGASM*MSVolatEF*NtoN2O*kgtoGg</f>
        <v>1.0759095827090757</v>
      </c>
      <c r="AN137" s="22">
        <f>SUM('Activity data'!AN50:AN65)*FracGASM*MSVolatEF*NtoN2O*kgtoGg</f>
        <v>1.0908603185526784</v>
      </c>
      <c r="AO137" s="22">
        <f>SUM('Activity data'!AO50:AO65)*FracGASM*MSVolatEF*NtoN2O*kgtoGg</f>
        <v>1.106283183088921</v>
      </c>
      <c r="AP137" s="22">
        <f>SUM('Activity data'!AP50:AP65)*FracGASM*MSVolatEF*NtoN2O*kgtoGg</f>
        <v>1.1235398113465933</v>
      </c>
      <c r="AQ137" s="22">
        <f>SUM('Activity data'!AQ50:AQ65)*FracGASM*MSVolatEF*NtoN2O*kgtoGg</f>
        <v>1.1435625800293778</v>
      </c>
      <c r="AR137" s="22">
        <f>SUM('Activity data'!AR50:AR65)*FracGASM*MSVolatEF*NtoN2O*kgtoGg</f>
        <v>1.1644689357872013</v>
      </c>
      <c r="AS137" s="22">
        <f>SUM('Activity data'!AS50:AS65)*FracGASM*MSVolatEF*NtoN2O*kgtoGg</f>
        <v>1.1871239572696179</v>
      </c>
      <c r="AT137" s="22">
        <f>SUM('Activity data'!AT50:AT65)*FracGASM*MSVolatEF*NtoN2O*kgtoGg</f>
        <v>1.2117113714776258</v>
      </c>
      <c r="AU137" s="22">
        <f>SUM('Activity data'!AU50:AU65)*FracGASM*MSVolatEF*NtoN2O*kgtoGg</f>
        <v>1.2402024745160236</v>
      </c>
      <c r="AV137" s="22">
        <f>SUM('Activity data'!AV50:AV65)*FracGASM*MSVolatEF*NtoN2O*kgtoGg</f>
        <v>1.2681140285558219</v>
      </c>
      <c r="AW137" s="22">
        <f>SUM('Activity data'!AW50:AW65)*FracGASM*MSVolatEF*NtoN2O*kgtoGg</f>
        <v>1.2973182225090696</v>
      </c>
      <c r="AX137" s="22">
        <f>SUM('Activity data'!AX50:AX65)*FracGASM*MSVolatEF*NtoN2O*kgtoGg</f>
        <v>1.3273414998166144</v>
      </c>
      <c r="AY137" s="22">
        <f>SUM('Activity data'!AY50:AY65)*FracGASM*MSVolatEF*NtoN2O*kgtoGg</f>
        <v>1.3579618274811023</v>
      </c>
      <c r="AZ137" s="22">
        <f>SUM('Activity data'!AZ50:AZ65)*FracGASM*MSVolatEF*NtoN2O*kgtoGg</f>
        <v>1.3889529597028447</v>
      </c>
      <c r="BA137" s="22">
        <f>SUM('Activity data'!BA50:BA65)*FracGASM*MSVolatEF*NtoN2O*kgtoGg</f>
        <v>1.4160152827007328</v>
      </c>
      <c r="BB137" s="22">
        <f>SUM('Activity data'!BB50:BB65)*FracGASM*MSVolatEF*NtoN2O*kgtoGg</f>
        <v>1.4441686149047936</v>
      </c>
      <c r="BC137" s="22">
        <f>SUM('Activity data'!BC50:BC65)*FracGASM*MSVolatEF*NtoN2O*kgtoGg</f>
        <v>1.4746016144696492</v>
      </c>
      <c r="BD137" s="22">
        <f>SUM('Activity data'!BD50:BD65)*FracGASM*MSVolatEF*NtoN2O*kgtoGg</f>
        <v>1.5064056733162401</v>
      </c>
      <c r="BE137" s="22">
        <f>SUM('Activity data'!BE50:BE65)*FracGASM*MSVolatEF*NtoN2O*kgtoGg</f>
        <v>1.5364995270028741</v>
      </c>
      <c r="BF137" s="22">
        <f>SUM('Activity data'!BF50:BF65)*FracGASM*MSVolatEF*NtoN2O*kgtoGg</f>
        <v>1.5665694363892042</v>
      </c>
      <c r="BG137" s="22">
        <f>SUM('Activity data'!BG50:BG65)*FracGASM*MSVolatEF*NtoN2O*kgtoGg</f>
        <v>1.6005501004507237</v>
      </c>
      <c r="BH137" s="22">
        <f>SUM('Activity data'!BH50:BH65)*FracGASM*MSVolatEF*NtoN2O*kgtoGg</f>
        <v>1.6361937216473936</v>
      </c>
      <c r="BI137" s="22">
        <f>SUM('Activity data'!BI50:BI65)*FracGASM*MSVolatEF*NtoN2O*kgtoGg</f>
        <v>1.6740036676360748</v>
      </c>
      <c r="BJ137" s="22">
        <f>SUM('Activity data'!BJ50:BJ65)*FracGASM*MSVolatEF*NtoN2O*kgtoGg</f>
        <v>1.7137172380518821</v>
      </c>
      <c r="BK137" s="22">
        <f>SUM('Activity data'!BK50:BK65)*FracGASM*MSVolatEF*NtoN2O*kgtoGg</f>
        <v>1.7564198501157255</v>
      </c>
      <c r="BL137" s="22">
        <f>SUM('Activity data'!BL50:BL65)*FracGASM*MSVolatEF*NtoN2O*kgtoGg</f>
        <v>1.8013805214379082</v>
      </c>
      <c r="BM137" s="22">
        <f>SUM('Activity data'!BM50:BM65)*FracGASM*MSVolatEF*NtoN2O*kgtoGg</f>
        <v>1.8480997920053486</v>
      </c>
      <c r="BN137" s="22">
        <f>SUM('Activity data'!BN50:BN65)*FracGASM*MSVolatEF*NtoN2O*kgtoGg</f>
        <v>1.8937474960044227</v>
      </c>
      <c r="BO137" s="22">
        <f>SUM('Activity data'!BO50:BO65)*FracGASM*MSVolatEF*NtoN2O*kgtoGg</f>
        <v>1.9413454808268795</v>
      </c>
      <c r="BP137" s="22">
        <f>SUM('Activity data'!BP50:BP65)*FracGASM*MSVolatEF*NtoN2O*kgtoGg</f>
        <v>1.9915347464986493</v>
      </c>
    </row>
    <row r="138" spans="1:68" x14ac:dyDescent="0.25">
      <c r="A138" t="str">
        <f t="shared" si="29"/>
        <v>3C Aggregated and non-CO2 emissions on land</v>
      </c>
      <c r="B138" t="str">
        <f t="shared" si="42"/>
        <v>3C5 Indirect N2O from managed soils (N2O)</v>
      </c>
      <c r="C138" t="str">
        <f t="shared" si="43"/>
        <v>Volatilisation</v>
      </c>
      <c r="D138" t="s">
        <v>438</v>
      </c>
      <c r="E138" t="str">
        <f t="shared" si="32"/>
        <v>Volatilisation - Urine &amp; dung</v>
      </c>
      <c r="F138" t="str">
        <f t="shared" si="36"/>
        <v>N2O</v>
      </c>
      <c r="G138" t="str">
        <f t="shared" si="37"/>
        <v>Gg N2O</v>
      </c>
      <c r="H138" s="22">
        <f>SUM('Activity data'!H66:H81)*FracGASM*MSVolatEF*NtoN2O*kgtoGg</f>
        <v>5.3293144096787222</v>
      </c>
      <c r="I138" s="22">
        <f>SUM('Activity data'!I66:I81)*FracGASM*MSVolatEF*NtoN2O*kgtoGg</f>
        <v>5.1770975753759236</v>
      </c>
      <c r="J138" s="22">
        <f>SUM('Activity data'!J66:J81)*FracGASM*MSVolatEF*NtoN2O*kgtoGg</f>
        <v>5.0830298342539484</v>
      </c>
      <c r="K138" s="22">
        <f>SUM('Activity data'!K66:K81)*FracGASM*MSVolatEF*NtoN2O*kgtoGg</f>
        <v>4.829642515128679</v>
      </c>
      <c r="L138" s="22">
        <f>SUM('Activity data'!L66:L81)*FracGASM*MSVolatEF*NtoN2O*kgtoGg</f>
        <v>4.7894399365203268</v>
      </c>
      <c r="M138" s="22">
        <f>SUM('Activity data'!M66:M81)*FracGASM*MSVolatEF*NtoN2O*kgtoGg</f>
        <v>4.7921511406548962</v>
      </c>
      <c r="N138" s="22">
        <f>SUM('Activity data'!N66:N81)*FracGASM*MSVolatEF*NtoN2O*kgtoGg</f>
        <v>4.8976053876932584</v>
      </c>
      <c r="O138" s="22">
        <f>SUM('Activity data'!O66:O81)*FracGASM*MSVolatEF*NtoN2O*kgtoGg</f>
        <v>4.9547281574748672</v>
      </c>
      <c r="P138" s="22">
        <f>SUM('Activity data'!P66:P81)*FracGASM*MSVolatEF*NtoN2O*kgtoGg</f>
        <v>5.0157449787285939</v>
      </c>
      <c r="Q138" s="22">
        <f>SUM('Activity data'!Q66:Q81)*FracGASM*MSVolatEF*NtoN2O*kgtoGg</f>
        <v>4.9767771047110116</v>
      </c>
      <c r="R138" s="22">
        <f>SUM('Activity data'!R66:R81)*FracGASM*MSVolatEF*NtoN2O*kgtoGg</f>
        <v>4.8211266878067001</v>
      </c>
      <c r="S138" s="22">
        <f>SUM('Activity data'!S66:S81)*FracGASM*MSVolatEF*NtoN2O*kgtoGg</f>
        <v>4.7800473511978687</v>
      </c>
      <c r="T138" s="22">
        <f>SUM('Activity data'!T66:T81)*FracGASM*MSVolatEF*NtoN2O*kgtoGg</f>
        <v>4.6975024951288153</v>
      </c>
      <c r="U138" s="22">
        <f>SUM('Activity data'!U66:U81)*FracGASM*MSVolatEF*NtoN2O*kgtoGg</f>
        <v>4.7360084777803504</v>
      </c>
      <c r="V138" s="22">
        <f>SUM('Activity data'!V66:V81)*FracGASM*MSVolatEF*NtoN2O*kgtoGg</f>
        <v>4.7003354016017305</v>
      </c>
      <c r="W138" s="22">
        <f>SUM('Activity data'!W66:W81)*FracGASM*MSVolatEF*NtoN2O*kgtoGg</f>
        <v>4.687578912663029</v>
      </c>
      <c r="X138" s="22">
        <f>SUM('Activity data'!X66:X81)*FracGASM*MSVolatEF*NtoN2O*kgtoGg</f>
        <v>4.6689428593096167</v>
      </c>
      <c r="Y138" s="22">
        <f>SUM('Activity data'!Y66:Y81)*FracGASM*MSVolatEF*NtoN2O*kgtoGg</f>
        <v>4.7434640177817213</v>
      </c>
      <c r="Z138" s="22">
        <f>SUM('Activity data'!Z66:Z81)*FracGASM*MSVolatEF*NtoN2O*kgtoGg</f>
        <v>4.7183947350866733</v>
      </c>
      <c r="AA138" s="22">
        <f>SUM('Activity data'!AA66:AA81)*FracGASM*MSVolatEF*NtoN2O*kgtoGg</f>
        <v>4.674811692850918</v>
      </c>
      <c r="AB138" s="22">
        <f>SUM('Activity data'!AB66:AB81)*FracGASM*MSVolatEF*NtoN2O*kgtoGg</f>
        <v>4.622134481418013</v>
      </c>
      <c r="AC138" s="22">
        <f>SUM('Activity data'!AC66:AC81)*FracGASM*MSVolatEF*NtoN2O*kgtoGg</f>
        <v>4.6008288415645895</v>
      </c>
      <c r="AD138" s="22">
        <f>SUM('Activity data'!AD66:AD81)*FracGASM*MSVolatEF*NtoN2O*kgtoGg</f>
        <v>4.3977459980453997</v>
      </c>
      <c r="AE138" s="22">
        <f>SUM('Activity data'!AE66:AE81)*FracGASM*MSVolatEF*NtoN2O*kgtoGg</f>
        <v>4.3926217002051624</v>
      </c>
      <c r="AF138" s="22">
        <f>SUM('Activity data'!AF66:AF81)*FracGASM*MSVolatEF*NtoN2O*kgtoGg</f>
        <v>4.3701280570499152</v>
      </c>
      <c r="AG138" s="22">
        <f>SUM('Activity data'!AG66:AG81)*FracGASM*MSVolatEF*NtoN2O*kgtoGg</f>
        <v>4.3357284455003047</v>
      </c>
      <c r="AH138" s="22">
        <f>SUM('Activity data'!AH66:AH81)*FracGASM*MSVolatEF*NtoN2O*kgtoGg</f>
        <v>4.2894436344876947</v>
      </c>
      <c r="AI138" s="22">
        <f>SUM('Activity data'!AI66:AI81)*FracGASM*MSVolatEF*NtoN2O*kgtoGg</f>
        <v>4.2628825623480973</v>
      </c>
      <c r="AJ138" s="22">
        <f>SUM('Activity data'!AJ66:AJ81)*FracGASM*MSVolatEF*NtoN2O*kgtoGg</f>
        <v>4.2336868176836804</v>
      </c>
      <c r="AK138" s="22">
        <f>SUM('Activity data'!AK66:AK81)*FracGASM*MSVolatEF*NtoN2O*kgtoGg</f>
        <v>4.2042503562037767</v>
      </c>
      <c r="AL138" s="22">
        <f>SUM('Activity data'!AL66:AL81)*FracGASM*MSVolatEF*NtoN2O*kgtoGg</f>
        <v>3.9225373105121482</v>
      </c>
      <c r="AM138" s="22">
        <f>SUM('Activity data'!AM66:AM81)*FracGASM*MSVolatEF*NtoN2O*kgtoGg</f>
        <v>3.951176156680698</v>
      </c>
      <c r="AN138" s="22">
        <f>SUM('Activity data'!AN66:AN81)*FracGASM*MSVolatEF*NtoN2O*kgtoGg</f>
        <v>3.9764766186212026</v>
      </c>
      <c r="AO138" s="22">
        <f>SUM('Activity data'!AO66:AO81)*FracGASM*MSVolatEF*NtoN2O*kgtoGg</f>
        <v>4.0028120512704612</v>
      </c>
      <c r="AP138" s="22">
        <f>SUM('Activity data'!AP66:AP81)*FracGASM*MSVolatEF*NtoN2O*kgtoGg</f>
        <v>4.0331748711966009</v>
      </c>
      <c r="AQ138" s="22">
        <f>SUM('Activity data'!AQ66:AQ81)*FracGASM*MSVolatEF*NtoN2O*kgtoGg</f>
        <v>4.0695352802663516</v>
      </c>
      <c r="AR138" s="22">
        <f>SUM('Activity data'!AR66:AR81)*FracGASM*MSVolatEF*NtoN2O*kgtoGg</f>
        <v>4.1054792681387422</v>
      </c>
      <c r="AS138" s="22">
        <f>SUM('Activity data'!AS66:AS81)*FracGASM*MSVolatEF*NtoN2O*kgtoGg</f>
        <v>4.1449664785405105</v>
      </c>
      <c r="AT138" s="22">
        <f>SUM('Activity data'!AT66:AT81)*FracGASM*MSVolatEF*NtoN2O*kgtoGg</f>
        <v>4.1883086316759899</v>
      </c>
      <c r="AU138" s="22">
        <f>SUM('Activity data'!AU66:AU81)*FracGASM*MSVolatEF*NtoN2O*kgtoGg</f>
        <v>4.2396740819790182</v>
      </c>
      <c r="AV138" s="22">
        <f>SUM('Activity data'!AV66:AV81)*FracGASM*MSVolatEF*NtoN2O*kgtoGg</f>
        <v>4.2892567422852288</v>
      </c>
      <c r="AW138" s="22">
        <f>SUM('Activity data'!AW66:AW81)*FracGASM*MSVolatEF*NtoN2O*kgtoGg</f>
        <v>4.3293162742506226</v>
      </c>
      <c r="AX138" s="22">
        <f>SUM('Activity data'!AX66:AX81)*FracGASM*MSVolatEF*NtoN2O*kgtoGg</f>
        <v>4.3697394199802879</v>
      </c>
      <c r="AY138" s="22">
        <f>SUM('Activity data'!AY66:AY81)*FracGASM*MSVolatEF*NtoN2O*kgtoGg</f>
        <v>4.4099724331068666</v>
      </c>
      <c r="AZ138" s="22">
        <f>SUM('Activity data'!AZ66:AZ81)*FracGASM*MSVolatEF*NtoN2O*kgtoGg</f>
        <v>4.449472209785938</v>
      </c>
      <c r="BA138" s="22">
        <f>SUM('Activity data'!BA66:BA81)*FracGASM*MSVolatEF*NtoN2O*kgtoGg</f>
        <v>4.4794251069970024</v>
      </c>
      <c r="BB138" s="22">
        <f>SUM('Activity data'!BB66:BB81)*FracGASM*MSVolatEF*NtoN2O*kgtoGg</f>
        <v>4.5085666824838366</v>
      </c>
      <c r="BC138" s="22">
        <f>SUM('Activity data'!BC66:BC81)*FracGASM*MSVolatEF*NtoN2O*kgtoGg</f>
        <v>4.5407429529326686</v>
      </c>
      <c r="BD138" s="22">
        <f>SUM('Activity data'!BD66:BD81)*FracGASM*MSVolatEF*NtoN2O*kgtoGg</f>
        <v>4.5739696725128605</v>
      </c>
      <c r="BE138" s="22">
        <f>SUM('Activity data'!BE66:BE81)*FracGASM*MSVolatEF*NtoN2O*kgtoGg</f>
        <v>4.6021313295244823</v>
      </c>
      <c r="BF138" s="22">
        <f>SUM('Activity data'!BF66:BF81)*FracGASM*MSVolatEF*NtoN2O*kgtoGg</f>
        <v>4.6285445237753997</v>
      </c>
      <c r="BG138" s="22">
        <f>SUM('Activity data'!BG66:BG81)*FracGASM*MSVolatEF*NtoN2O*kgtoGg</f>
        <v>4.6666084542398654</v>
      </c>
      <c r="BH138" s="22">
        <f>SUM('Activity data'!BH66:BH81)*FracGASM*MSVolatEF*NtoN2O*kgtoGg</f>
        <v>4.7063824760983897</v>
      </c>
      <c r="BI138" s="22">
        <f>SUM('Activity data'!BI66:BI81)*FracGASM*MSVolatEF*NtoN2O*kgtoGg</f>
        <v>4.7486789176751349</v>
      </c>
      <c r="BJ138" s="22">
        <f>SUM('Activity data'!BJ66:BJ81)*FracGASM*MSVolatEF*NtoN2O*kgtoGg</f>
        <v>4.7928614596824088</v>
      </c>
      <c r="BK138" s="22">
        <f>SUM('Activity data'!BK66:BK81)*FracGASM*MSVolatEF*NtoN2O*kgtoGg</f>
        <v>4.8407616497129888</v>
      </c>
      <c r="BL138" s="22">
        <f>SUM('Activity data'!BL66:BL81)*FracGASM*MSVolatEF*NtoN2O*kgtoGg</f>
        <v>4.8893710668433563</v>
      </c>
      <c r="BM138" s="22">
        <f>SUM('Activity data'!BM66:BM81)*FracGASM*MSVolatEF*NtoN2O*kgtoGg</f>
        <v>4.9391217801910807</v>
      </c>
      <c r="BN138" s="22">
        <f>SUM('Activity data'!BN66:BN81)*FracGASM*MSVolatEF*NtoN2O*kgtoGg</f>
        <v>4.9849092109846547</v>
      </c>
      <c r="BO138" s="22">
        <f>SUM('Activity data'!BO66:BO81)*FracGASM*MSVolatEF*NtoN2O*kgtoGg</f>
        <v>5.0320108632397904</v>
      </c>
      <c r="BP138" s="22">
        <f>SUM('Activity data'!BP66:BP81)*FracGASM*MSVolatEF*NtoN2O*kgtoGg</f>
        <v>5.081372931477131</v>
      </c>
    </row>
    <row r="139" spans="1:68" x14ac:dyDescent="0.25">
      <c r="A139" t="str">
        <f t="shared" ref="A139" si="44">A138</f>
        <v>3C Aggregated and non-CO2 emissions on land</v>
      </c>
      <c r="B139" t="str">
        <f t="shared" ref="B139" si="45">B138</f>
        <v>3C5 Indirect N2O from managed soils (N2O)</v>
      </c>
      <c r="C139" t="str">
        <f>'IPCC Categories'!C79</f>
        <v>Leaching/runoff</v>
      </c>
      <c r="D139" t="str">
        <f>D135</f>
        <v xml:space="preserve"> - Synthetic fertlisers</v>
      </c>
      <c r="E139" t="str">
        <f t="shared" ref="E139:E143" si="46">C139&amp;D139</f>
        <v>Leaching/runoff - Synthetic fertlisers</v>
      </c>
      <c r="F139" t="str">
        <f t="shared" ref="F139:F187" si="47">F138</f>
        <v>N2O</v>
      </c>
      <c r="G139" t="str">
        <f t="shared" ref="G139:G187" si="48">G138</f>
        <v>Gg N2O</v>
      </c>
      <c r="H139" s="22">
        <f>'Activity data'!H47*FracLEACH*MSLeachEF*NtoN2O*kgtoGg</f>
        <v>1.8632853642857139E-4</v>
      </c>
      <c r="I139" s="22">
        <f>'Activity data'!I47*FracLEACH*MSLeachEF*NtoN2O*kgtoGg</f>
        <v>1.9790111785714283E-4</v>
      </c>
      <c r="J139" s="22">
        <f>'Activity data'!J47*FracLEACH*MSLeachEF*NtoN2O*kgtoGg</f>
        <v>1.884081964285714E-4</v>
      </c>
      <c r="K139" s="22">
        <f>'Activity data'!K47*FracLEACH*MSLeachEF*NtoN2O*kgtoGg</f>
        <v>2.2144312928571426E-4</v>
      </c>
      <c r="L139" s="22">
        <f>'Activity data'!L47*FracLEACH*MSLeachEF*NtoN2O*kgtoGg</f>
        <v>2.0333935285714286E-4</v>
      </c>
      <c r="M139" s="22">
        <f>'Activity data'!M47*FracLEACH*MSLeachEF*NtoN2O*kgtoGg</f>
        <v>2.0140119214285713E-4</v>
      </c>
      <c r="N139" s="22">
        <f>'Activity data'!N47*FracLEACH*MSLeachEF*NtoN2O*kgtoGg</f>
        <v>2.250348257142857E-4</v>
      </c>
      <c r="O139" s="22">
        <f>'Activity data'!O47*FracLEACH*MSLeachEF*NtoN2O*kgtoGg</f>
        <v>2.2060551857142855E-4</v>
      </c>
      <c r="P139" s="22">
        <f>'Activity data'!P47*FracLEACH*MSLeachEF*NtoN2O*kgtoGg</f>
        <v>2.2527174214285716E-4</v>
      </c>
      <c r="Q139" s="22">
        <f>'Activity data'!Q47*FracLEACH*MSLeachEF*NtoN2O*kgtoGg</f>
        <v>2.2392939642857141E-4</v>
      </c>
      <c r="R139" s="22">
        <f>'Activity data'!R47*FracLEACH*MSLeachEF*NtoN2O*kgtoGg</f>
        <v>2.25495105E-4</v>
      </c>
      <c r="S139" s="22">
        <f>'Activity data'!S47*FracLEACH*MSLeachEF*NtoN2O*kgtoGg</f>
        <v>2.1458719071428572E-4</v>
      </c>
      <c r="T139" s="22">
        <f>'Activity data'!T47*FracLEACH*MSLeachEF*NtoN2O*kgtoGg</f>
        <v>2.5864117714285707E-4</v>
      </c>
      <c r="U139" s="22">
        <f>'Activity data'!U47*FracLEACH*MSLeachEF*NtoN2O*kgtoGg</f>
        <v>2.2814835214285712E-4</v>
      </c>
      <c r="V139" s="22">
        <f>'Activity data'!V47*FracLEACH*MSLeachEF*NtoN2O*kgtoGg</f>
        <v>2.3180456357142852E-4</v>
      </c>
      <c r="W139" s="22">
        <f>'Activity data'!W47*FracLEACH*MSLeachEF*NtoN2O*kgtoGg</f>
        <v>1.8826452857142854E-4</v>
      </c>
      <c r="X139" s="22">
        <f>'Activity data'!X47*FracLEACH*MSLeachEF*NtoN2O*kgtoGg</f>
        <v>2.3242694357142855E-4</v>
      </c>
      <c r="Y139" s="22">
        <f>'Activity data'!Y47*FracLEACH*MSLeachEF*NtoN2O*kgtoGg</f>
        <v>2.382609428571428E-4</v>
      </c>
      <c r="Z139" s="22">
        <f>'Activity data'!Z47*FracLEACH*MSLeachEF*NtoN2O*kgtoGg</f>
        <v>2.2993525499999997E-4</v>
      </c>
      <c r="AA139" s="22">
        <f>'Activity data'!AA47*FracLEACH*MSLeachEF*NtoN2O*kgtoGg</f>
        <v>2.4601195928571426E-4</v>
      </c>
      <c r="AB139" s="22">
        <f>'Activity data'!AB47*FracLEACH*MSLeachEF*NtoN2O*kgtoGg</f>
        <v>2.1414642857142856E-4</v>
      </c>
      <c r="AC139" s="22">
        <f>'Activity data'!AC47*FracLEACH*MSLeachEF*NtoN2O*kgtoGg</f>
        <v>2.2715785714285715E-4</v>
      </c>
      <c r="AD139" s="22">
        <f>'Activity data'!AD47*FracLEACH*MSLeachEF*NtoN2O*kgtoGg</f>
        <v>2.2792360161858692E-4</v>
      </c>
      <c r="AE139" s="22">
        <f>'Activity data'!AE47*FracLEACH*MSLeachEF*NtoN2O*kgtoGg</f>
        <v>2.2790081549860282E-4</v>
      </c>
      <c r="AF139" s="22">
        <f>'Activity data'!AF47*FracLEACH*MSLeachEF*NtoN2O*kgtoGg</f>
        <v>2.2785094768189266E-4</v>
      </c>
      <c r="AG139" s="22">
        <f>'Activity data'!AG47*FracLEACH*MSLeachEF*NtoN2O*kgtoGg</f>
        <v>2.2781280188548006E-4</v>
      </c>
      <c r="AH139" s="22">
        <f>'Activity data'!AH47*FracLEACH*MSLeachEF*NtoN2O*kgtoGg</f>
        <v>2.2778342513040355E-4</v>
      </c>
      <c r="AI139" s="22">
        <f>'Activity data'!AI47*FracLEACH*MSLeachEF*NtoN2O*kgtoGg</f>
        <v>2.2776321385451008E-4</v>
      </c>
      <c r="AJ139" s="22">
        <f>'Activity data'!AJ47*FracLEACH*MSLeachEF*NtoN2O*kgtoGg</f>
        <v>2.2773175324638728E-4</v>
      </c>
      <c r="AK139" s="22">
        <f>'Activity data'!AK47*FracLEACH*MSLeachEF*NtoN2O*kgtoGg</f>
        <v>2.277029373919038E-4</v>
      </c>
      <c r="AL139" s="22">
        <f>'Activity data'!AL47*FracLEACH*MSLeachEF*NtoN2O*kgtoGg</f>
        <v>2.2767519735166021E-4</v>
      </c>
      <c r="AM139" s="22">
        <f>'Activity data'!AM47*FracLEACH*MSLeachEF*NtoN2O*kgtoGg</f>
        <v>2.278321635633409E-4</v>
      </c>
      <c r="AN139" s="22">
        <f>'Activity data'!AN47*FracLEACH*MSLeachEF*NtoN2O*kgtoGg</f>
        <v>2.2777945538218639E-4</v>
      </c>
      <c r="AO139" s="22">
        <f>'Activity data'!AO47*FracLEACH*MSLeachEF*NtoN2O*kgtoGg</f>
        <v>2.2772970794906553E-4</v>
      </c>
      <c r="AP139" s="22">
        <f>'Activity data'!AP47*FracLEACH*MSLeachEF*NtoN2O*kgtoGg</f>
        <v>2.2767958012944497E-4</v>
      </c>
      <c r="AQ139" s="22">
        <f>'Activity data'!AQ47*FracLEACH*MSLeachEF*NtoN2O*kgtoGg</f>
        <v>2.2762676760851018E-4</v>
      </c>
      <c r="AR139" s="22">
        <f>'Activity data'!AR47*FracLEACH*MSLeachEF*NtoN2O*kgtoGg</f>
        <v>2.2756975190124643E-4</v>
      </c>
      <c r="AS139" s="22">
        <f>'Activity data'!AS47*FracLEACH*MSLeachEF*NtoN2O*kgtoGg</f>
        <v>2.2751183364094174E-4</v>
      </c>
      <c r="AT139" s="22">
        <f>'Activity data'!AT47*FracLEACH*MSLeachEF*NtoN2O*kgtoGg</f>
        <v>2.2745153263714737E-4</v>
      </c>
      <c r="AU139" s="22">
        <f>'Activity data'!AU47*FracLEACH*MSLeachEF*NtoN2O*kgtoGg</f>
        <v>2.2738862333288073E-4</v>
      </c>
      <c r="AV139" s="22">
        <f>'Activity data'!AV47*FracLEACH*MSLeachEF*NtoN2O*kgtoGg</f>
        <v>2.2732003322183884E-4</v>
      </c>
      <c r="AW139" s="22">
        <f>'Activity data'!AW47*FracLEACH*MSLeachEF*NtoN2O*kgtoGg</f>
        <v>2.2725308950052783E-4</v>
      </c>
      <c r="AX139" s="22">
        <f>'Activity data'!AX47*FracLEACH*MSLeachEF*NtoN2O*kgtoGg</f>
        <v>2.2717781346388524E-4</v>
      </c>
      <c r="AY139" s="22">
        <f>'Activity data'!AY47*FracLEACH*MSLeachEF*NtoN2O*kgtoGg</f>
        <v>2.2710178081883136E-4</v>
      </c>
      <c r="AZ139" s="22">
        <f>'Activity data'!AZ47*FracLEACH*MSLeachEF*NtoN2O*kgtoGg</f>
        <v>2.2702536984656367E-4</v>
      </c>
      <c r="BA139" s="22">
        <f>'Activity data'!BA47*FracLEACH*MSLeachEF*NtoN2O*kgtoGg</f>
        <v>2.2694894716971547E-4</v>
      </c>
      <c r="BB139" s="22">
        <f>'Activity data'!BB47*FracLEACH*MSLeachEF*NtoN2O*kgtoGg</f>
        <v>2.2687891763632244E-4</v>
      </c>
      <c r="BC139" s="22">
        <f>'Activity data'!BC47*FracLEACH*MSLeachEF*NtoN2O*kgtoGg</f>
        <v>2.2680771992323581E-4</v>
      </c>
      <c r="BD139" s="22">
        <f>'Activity data'!BD47*FracLEACH*MSLeachEF*NtoN2O*kgtoGg</f>
        <v>2.2673363451807899E-4</v>
      </c>
      <c r="BE139" s="22">
        <f>'Activity data'!BE47*FracLEACH*MSLeachEF*NtoN2O*kgtoGg</f>
        <v>2.2665808082514955E-4</v>
      </c>
      <c r="BF139" s="22">
        <f>'Activity data'!BF47*FracLEACH*MSLeachEF*NtoN2O*kgtoGg</f>
        <v>2.2658548773402812E-4</v>
      </c>
      <c r="BG139" s="22">
        <f>'Activity data'!BG47*FracLEACH*MSLeachEF*NtoN2O*kgtoGg</f>
        <v>2.2651339550340145E-4</v>
      </c>
      <c r="BH139" s="22">
        <f>'Activity data'!BH47*FracLEACH*MSLeachEF*NtoN2O*kgtoGg</f>
        <v>2.2644052259277302E-4</v>
      </c>
      <c r="BI139" s="22">
        <f>'Activity data'!BI47*FracLEACH*MSLeachEF*NtoN2O*kgtoGg</f>
        <v>2.2636608424211275E-4</v>
      </c>
      <c r="BJ139" s="22">
        <f>'Activity data'!BJ47*FracLEACH*MSLeachEF*NtoN2O*kgtoGg</f>
        <v>2.2628949426822481E-4</v>
      </c>
      <c r="BK139" s="22">
        <f>'Activity data'!BK47*FracLEACH*MSLeachEF*NtoN2O*kgtoGg</f>
        <v>2.2621121824204852E-4</v>
      </c>
      <c r="BL139" s="22">
        <f>'Activity data'!BL47*FracLEACH*MSLeachEF*NtoN2O*kgtoGg</f>
        <v>2.2612995949275062E-4</v>
      </c>
      <c r="BM139" s="22">
        <f>'Activity data'!BM47*FracLEACH*MSLeachEF*NtoN2O*kgtoGg</f>
        <v>2.2604684094451426E-4</v>
      </c>
      <c r="BN139" s="22">
        <f>'Activity data'!BN47*FracLEACH*MSLeachEF*NtoN2O*kgtoGg</f>
        <v>2.259625930533769E-4</v>
      </c>
      <c r="BO139" s="22">
        <f>'Activity data'!BO47*FracLEACH*MSLeachEF*NtoN2O*kgtoGg</f>
        <v>2.2588075257779107E-4</v>
      </c>
      <c r="BP139" s="22">
        <f>'Activity data'!BP47*FracLEACH*MSLeachEF*NtoN2O*kgtoGg</f>
        <v>2.2579759898035356E-4</v>
      </c>
    </row>
    <row r="140" spans="1:68" x14ac:dyDescent="0.25">
      <c r="A140" t="str">
        <f t="shared" ref="A140" si="49">A139</f>
        <v>3C Aggregated and non-CO2 emissions on land</v>
      </c>
      <c r="B140" t="str">
        <f t="shared" ref="B140:C140" si="50">B139</f>
        <v>3C5 Indirect N2O from managed soils (N2O)</v>
      </c>
      <c r="C140" t="str">
        <f t="shared" si="50"/>
        <v>Leaching/runoff</v>
      </c>
      <c r="D140" t="str">
        <f t="shared" ref="D140:D142" si="51">D136</f>
        <v xml:space="preserve"> - Organic fertilisers</v>
      </c>
      <c r="E140" t="str">
        <f t="shared" si="46"/>
        <v>Leaching/runoff - Organic fertilisers</v>
      </c>
      <c r="F140" t="str">
        <f t="shared" si="47"/>
        <v>N2O</v>
      </c>
      <c r="G140" t="str">
        <f t="shared" si="48"/>
        <v>Gg N2O</v>
      </c>
      <c r="H140" s="22">
        <f>'Activity data'!H48*FracLEACH*MSLeachEF*NtoN2O*kgtoGg</f>
        <v>1.2297683404285713E-6</v>
      </c>
      <c r="I140" s="22">
        <f>'Activity data'!I48*FracLEACH*MSLeachEF*NtoN2O*kgtoGg</f>
        <v>1.3061473778571428E-6</v>
      </c>
      <c r="J140" s="22">
        <f>'Activity data'!J48*FracLEACH*MSLeachEF*NtoN2O*kgtoGg</f>
        <v>1.2434940964285714E-6</v>
      </c>
      <c r="K140" s="22">
        <f>'Activity data'!K48*FracLEACH*MSLeachEF*NtoN2O*kgtoGg</f>
        <v>1.4615246532857147E-6</v>
      </c>
      <c r="L140" s="22">
        <f>'Activity data'!L48*FracLEACH*MSLeachEF*NtoN2O*kgtoGg</f>
        <v>1.3420397288571429E-6</v>
      </c>
      <c r="M140" s="22">
        <f>'Activity data'!M48*FracLEACH*MSLeachEF*NtoN2O*kgtoGg</f>
        <v>1.3292478681428569E-6</v>
      </c>
      <c r="N140" s="22">
        <f>'Activity data'!N48*FracLEACH*MSLeachEF*NtoN2O*kgtoGg</f>
        <v>1.4852298497142859E-6</v>
      </c>
      <c r="O140" s="22">
        <f>'Activity data'!O48*FracLEACH*MSLeachEF*NtoN2O*kgtoGg</f>
        <v>1.4559964225714286E-6</v>
      </c>
      <c r="P140" s="22">
        <f>'Activity data'!P48*FracLEACH*MSLeachEF*NtoN2O*kgtoGg</f>
        <v>1.4867934981428574E-6</v>
      </c>
      <c r="Q140" s="22">
        <f>'Activity data'!Q48*FracLEACH*MSLeachEF*NtoN2O*kgtoGg</f>
        <v>1.4779340164285714E-6</v>
      </c>
      <c r="R140" s="22">
        <f>'Activity data'!R48*FracLEACH*MSLeachEF*NtoN2O*kgtoGg</f>
        <v>1.4882676930000004E-6</v>
      </c>
      <c r="S140" s="22">
        <f>'Activity data'!S48*FracLEACH*MSLeachEF*NtoN2O*kgtoGg</f>
        <v>1.4162754587142857E-6</v>
      </c>
      <c r="T140" s="22">
        <f>'Activity data'!T48*FracLEACH*MSLeachEF*NtoN2O*kgtoGg</f>
        <v>1.7070317691428573E-6</v>
      </c>
      <c r="U140" s="22">
        <f>'Activity data'!U48*FracLEACH*MSLeachEF*NtoN2O*kgtoGg</f>
        <v>1.5057791241428575E-6</v>
      </c>
      <c r="V140" s="22">
        <f>'Activity data'!V48*FracLEACH*MSLeachEF*NtoN2O*kgtoGg</f>
        <v>1.5299101195714285E-6</v>
      </c>
      <c r="W140" s="22">
        <f>'Activity data'!W48*FracLEACH*MSLeachEF*NtoN2O*kgtoGg</f>
        <v>1.2425458885714285E-6</v>
      </c>
      <c r="X140" s="22">
        <f>'Activity data'!X48*FracLEACH*MSLeachEF*NtoN2O*kgtoGg</f>
        <v>1.5340178275714286E-6</v>
      </c>
      <c r="Y140" s="22">
        <f>'Activity data'!Y48*FracLEACH*MSLeachEF*NtoN2O*kgtoGg</f>
        <v>1.5725222228571428E-6</v>
      </c>
      <c r="Z140" s="22">
        <f>'Activity data'!Z48*FracLEACH*MSLeachEF*NtoN2O*kgtoGg</f>
        <v>1.5175726830000002E-6</v>
      </c>
      <c r="AA140" s="22">
        <f>'Activity data'!AA48*FracLEACH*MSLeachEF*NtoN2O*kgtoGg</f>
        <v>1.6236789312857143E-6</v>
      </c>
      <c r="AB140" s="22">
        <f>'Activity data'!AB48*FracLEACH*MSLeachEF*NtoN2O*kgtoGg</f>
        <v>1.4133664285714284E-6</v>
      </c>
      <c r="AC140" s="22">
        <f>'Activity data'!AC48*FracLEACH*MSLeachEF*NtoN2O*kgtoGg</f>
        <v>1.4992418571428571E-6</v>
      </c>
      <c r="AD140" s="22">
        <f>'Activity data'!AD48*FracLEACH*MSLeachEF*NtoN2O*kgtoGg</f>
        <v>1.5042957706826741E-6</v>
      </c>
      <c r="AE140" s="22">
        <f>'Activity data'!AE48*FracLEACH*MSLeachEF*NtoN2O*kgtoGg</f>
        <v>1.5041453822907792E-6</v>
      </c>
      <c r="AF140" s="22">
        <f>'Activity data'!AF48*FracLEACH*MSLeachEF*NtoN2O*kgtoGg</f>
        <v>1.5038162547004918E-6</v>
      </c>
      <c r="AG140" s="22">
        <f>'Activity data'!AG48*FracLEACH*MSLeachEF*NtoN2O*kgtoGg</f>
        <v>1.5035644924441687E-6</v>
      </c>
      <c r="AH140" s="22">
        <f>'Activity data'!AH48*FracLEACH*MSLeachEF*NtoN2O*kgtoGg</f>
        <v>1.5033706058606641E-6</v>
      </c>
      <c r="AI140" s="22">
        <f>'Activity data'!AI48*FracLEACH*MSLeachEF*NtoN2O*kgtoGg</f>
        <v>1.5032372114397669E-6</v>
      </c>
      <c r="AJ140" s="22">
        <f>'Activity data'!AJ48*FracLEACH*MSLeachEF*NtoN2O*kgtoGg</f>
        <v>1.5030295714261563E-6</v>
      </c>
      <c r="AK140" s="22">
        <f>'Activity data'!AK48*FracLEACH*MSLeachEF*NtoN2O*kgtoGg</f>
        <v>1.5028393867865651E-6</v>
      </c>
      <c r="AL140" s="22">
        <f>'Activity data'!AL48*FracLEACH*MSLeachEF*NtoN2O*kgtoGg</f>
        <v>1.5026563025209576E-6</v>
      </c>
      <c r="AM140" s="22">
        <f>'Activity data'!AM48*FracLEACH*MSLeachEF*NtoN2O*kgtoGg</f>
        <v>1.5036922795180502E-6</v>
      </c>
      <c r="AN140" s="22">
        <f>'Activity data'!AN48*FracLEACH*MSLeachEF*NtoN2O*kgtoGg</f>
        <v>1.5033444055224306E-6</v>
      </c>
      <c r="AO140" s="22">
        <f>'Activity data'!AO48*FracLEACH*MSLeachEF*NtoN2O*kgtoGg</f>
        <v>1.5030160724638326E-6</v>
      </c>
      <c r="AP140" s="22">
        <f>'Activity data'!AP48*FracLEACH*MSLeachEF*NtoN2O*kgtoGg</f>
        <v>1.5026852288543369E-6</v>
      </c>
      <c r="AQ140" s="22">
        <f>'Activity data'!AQ48*FracLEACH*MSLeachEF*NtoN2O*kgtoGg</f>
        <v>1.5023366662161675E-6</v>
      </c>
      <c r="AR140" s="22">
        <f>'Activity data'!AR48*FracLEACH*MSLeachEF*NtoN2O*kgtoGg</f>
        <v>1.5019603625482266E-6</v>
      </c>
      <c r="AS140" s="22">
        <f>'Activity data'!AS48*FracLEACH*MSLeachEF*NtoN2O*kgtoGg</f>
        <v>1.5015781020302157E-6</v>
      </c>
      <c r="AT140" s="22">
        <f>'Activity data'!AT48*FracLEACH*MSLeachEF*NtoN2O*kgtoGg</f>
        <v>1.5011801154051728E-6</v>
      </c>
      <c r="AU140" s="22">
        <f>'Activity data'!AU48*FracLEACH*MSLeachEF*NtoN2O*kgtoGg</f>
        <v>1.500764913997013E-6</v>
      </c>
      <c r="AV140" s="22">
        <f>'Activity data'!AV48*FracLEACH*MSLeachEF*NtoN2O*kgtoGg</f>
        <v>1.5003122192641367E-6</v>
      </c>
      <c r="AW140" s="22">
        <f>'Activity data'!AW48*FracLEACH*MSLeachEF*NtoN2O*kgtoGg</f>
        <v>1.4998703907034839E-6</v>
      </c>
      <c r="AX140" s="22">
        <f>'Activity data'!AX48*FracLEACH*MSLeachEF*NtoN2O*kgtoGg</f>
        <v>1.499373568861643E-6</v>
      </c>
      <c r="AY140" s="22">
        <f>'Activity data'!AY48*FracLEACH*MSLeachEF*NtoN2O*kgtoGg</f>
        <v>1.4988717534042879E-6</v>
      </c>
      <c r="AZ140" s="22">
        <f>'Activity data'!AZ48*FracLEACH*MSLeachEF*NtoN2O*kgtoGg</f>
        <v>1.4983674409873211E-6</v>
      </c>
      <c r="BA140" s="22">
        <f>'Activity data'!BA48*FracLEACH*MSLeachEF*NtoN2O*kgtoGg</f>
        <v>1.4978630513201228E-6</v>
      </c>
      <c r="BB140" s="22">
        <f>'Activity data'!BB48*FracLEACH*MSLeachEF*NtoN2O*kgtoGg</f>
        <v>1.4974008563997284E-6</v>
      </c>
      <c r="BC140" s="22">
        <f>'Activity data'!BC48*FracLEACH*MSLeachEF*NtoN2O*kgtoGg</f>
        <v>1.4969309514933566E-6</v>
      </c>
      <c r="BD140" s="22">
        <f>'Activity data'!BD48*FracLEACH*MSLeachEF*NtoN2O*kgtoGg</f>
        <v>1.4964419878193218E-6</v>
      </c>
      <c r="BE140" s="22">
        <f>'Activity data'!BE48*FracLEACH*MSLeachEF*NtoN2O*kgtoGg</f>
        <v>1.4959433334459873E-6</v>
      </c>
      <c r="BF140" s="22">
        <f>'Activity data'!BF48*FracLEACH*MSLeachEF*NtoN2O*kgtoGg</f>
        <v>1.4954642190445862E-6</v>
      </c>
      <c r="BG140" s="22">
        <f>'Activity data'!BG48*FracLEACH*MSLeachEF*NtoN2O*kgtoGg</f>
        <v>1.4949884103224497E-6</v>
      </c>
      <c r="BH140" s="22">
        <f>'Activity data'!BH48*FracLEACH*MSLeachEF*NtoN2O*kgtoGg</f>
        <v>1.4945074491123022E-6</v>
      </c>
      <c r="BI140" s="22">
        <f>'Activity data'!BI48*FracLEACH*MSLeachEF*NtoN2O*kgtoGg</f>
        <v>1.4940161559979442E-6</v>
      </c>
      <c r="BJ140" s="22">
        <f>'Activity data'!BJ48*FracLEACH*MSLeachEF*NtoN2O*kgtoGg</f>
        <v>1.4935106621702842E-6</v>
      </c>
      <c r="BK140" s="22">
        <f>'Activity data'!BK48*FracLEACH*MSLeachEF*NtoN2O*kgtoGg</f>
        <v>1.4929940403975205E-6</v>
      </c>
      <c r="BL140" s="22">
        <f>'Activity data'!BL48*FracLEACH*MSLeachEF*NtoN2O*kgtoGg</f>
        <v>1.4924577326521545E-6</v>
      </c>
      <c r="BM140" s="22">
        <f>'Activity data'!BM48*FracLEACH*MSLeachEF*NtoN2O*kgtoGg</f>
        <v>1.4919091502337944E-6</v>
      </c>
      <c r="BN140" s="22">
        <f>'Activity data'!BN48*FracLEACH*MSLeachEF*NtoN2O*kgtoGg</f>
        <v>1.4913531141522878E-6</v>
      </c>
      <c r="BO140" s="22">
        <f>'Activity data'!BO48*FracLEACH*MSLeachEF*NtoN2O*kgtoGg</f>
        <v>1.4908129670134216E-6</v>
      </c>
      <c r="BP140" s="22">
        <f>'Activity data'!BP48*FracLEACH*MSLeachEF*NtoN2O*kgtoGg</f>
        <v>1.4902641532703338E-6</v>
      </c>
    </row>
    <row r="141" spans="1:68" x14ac:dyDescent="0.25">
      <c r="A141" t="str">
        <f t="shared" ref="A141:A144" si="52">A140</f>
        <v>3C Aggregated and non-CO2 emissions on land</v>
      </c>
      <c r="B141" t="str">
        <f t="shared" ref="B141:B143" si="53">B140</f>
        <v>3C5 Indirect N2O from managed soils (N2O)</v>
      </c>
      <c r="C141" t="str">
        <f t="shared" ref="C141:C155" si="54">C140</f>
        <v>Leaching/runoff</v>
      </c>
      <c r="D141" t="str">
        <f t="shared" si="51"/>
        <v xml:space="preserve"> - Managed manure</v>
      </c>
      <c r="E141" t="str">
        <f t="shared" si="46"/>
        <v>Leaching/runoff - Managed manure</v>
      </c>
      <c r="F141" t="str">
        <f t="shared" si="47"/>
        <v>N2O</v>
      </c>
      <c r="G141" t="str">
        <f t="shared" si="48"/>
        <v>Gg N2O</v>
      </c>
      <c r="H141" s="22">
        <f>SUM('Activity data'!H50:H65)*FracLEACH*MSLeachEF*NtoN2O*kgtoGg</f>
        <v>0.17172643291324718</v>
      </c>
      <c r="I141" s="22">
        <f>SUM('Activity data'!I50:I65)*FracLEACH*MSLeachEF*NtoN2O*kgtoGg</f>
        <v>0.18038779739068919</v>
      </c>
      <c r="J141" s="22">
        <f>SUM('Activity data'!J50:J65)*FracLEACH*MSLeachEF*NtoN2O*kgtoGg</f>
        <v>0.17733836677232317</v>
      </c>
      <c r="K141" s="22">
        <f>SUM('Activity data'!K50:K65)*FracLEACH*MSLeachEF*NtoN2O*kgtoGg</f>
        <v>0.17823556127391493</v>
      </c>
      <c r="L141" s="22">
        <f>SUM('Activity data'!L50:L65)*FracLEACH*MSLeachEF*NtoN2O*kgtoGg</f>
        <v>0.16428311210272223</v>
      </c>
      <c r="M141" s="22">
        <f>SUM('Activity data'!M50:M65)*FracLEACH*MSLeachEF*NtoN2O*kgtoGg</f>
        <v>0.16651803471441404</v>
      </c>
      <c r="N141" s="22">
        <f>SUM('Activity data'!N50:N65)*FracLEACH*MSLeachEF*NtoN2O*kgtoGg</f>
        <v>0.17218191484299847</v>
      </c>
      <c r="O141" s="22">
        <f>SUM('Activity data'!O50:O65)*FracLEACH*MSLeachEF*NtoN2O*kgtoGg</f>
        <v>0.1749871217189517</v>
      </c>
      <c r="P141" s="22">
        <f>SUM('Activity data'!P50:P65)*FracLEACH*MSLeachEF*NtoN2O*kgtoGg</f>
        <v>0.18147721215597795</v>
      </c>
      <c r="Q141" s="22">
        <f>SUM('Activity data'!Q50:Q65)*FracLEACH*MSLeachEF*NtoN2O*kgtoGg</f>
        <v>0.18514038452408368</v>
      </c>
      <c r="R141" s="22">
        <f>SUM('Activity data'!R50:R65)*FracLEACH*MSLeachEF*NtoN2O*kgtoGg</f>
        <v>0.19310254996665621</v>
      </c>
      <c r="S141" s="22">
        <f>SUM('Activity data'!S50:S65)*FracLEACH*MSLeachEF*NtoN2O*kgtoGg</f>
        <v>0.1904762263981411</v>
      </c>
      <c r="T141" s="22">
        <f>SUM('Activity data'!T50:T65)*FracLEACH*MSLeachEF*NtoN2O*kgtoGg</f>
        <v>0.19636478072971722</v>
      </c>
      <c r="U141" s="22">
        <f>SUM('Activity data'!U50:U65)*FracLEACH*MSLeachEF*NtoN2O*kgtoGg</f>
        <v>0.19378982931202623</v>
      </c>
      <c r="V141" s="22">
        <f>SUM('Activity data'!V50:V65)*FracLEACH*MSLeachEF*NtoN2O*kgtoGg</f>
        <v>0.1915750030377302</v>
      </c>
      <c r="W141" s="22">
        <f>SUM('Activity data'!W50:W65)*FracLEACH*MSLeachEF*NtoN2O*kgtoGg</f>
        <v>0.19374660526518744</v>
      </c>
      <c r="X141" s="22">
        <f>SUM('Activity data'!X50:X65)*FracLEACH*MSLeachEF*NtoN2O*kgtoGg</f>
        <v>0.19745929063103176</v>
      </c>
      <c r="Y141" s="22">
        <f>SUM('Activity data'!Y50:Y65)*FracLEACH*MSLeachEF*NtoN2O*kgtoGg</f>
        <v>0.20304534851000838</v>
      </c>
      <c r="Z141" s="22">
        <f>SUM('Activity data'!Z50:Z65)*FracLEACH*MSLeachEF*NtoN2O*kgtoGg</f>
        <v>0.2102750755668937</v>
      </c>
      <c r="AA141" s="22">
        <f>SUM('Activity data'!AA50:AA65)*FracLEACH*MSLeachEF*NtoN2O*kgtoGg</f>
        <v>0.20859925509289065</v>
      </c>
      <c r="AB141" s="22">
        <f>SUM('Activity data'!AB50:AB65)*FracLEACH*MSLeachEF*NtoN2O*kgtoGg</f>
        <v>0.20778670419111658</v>
      </c>
      <c r="AC141" s="22">
        <f>SUM('Activity data'!AC50:AC65)*FracLEACH*MSLeachEF*NtoN2O*kgtoGg</f>
        <v>0.2090782228756147</v>
      </c>
      <c r="AD141" s="22">
        <f>SUM('Activity data'!AD50:AD65)*FracLEACH*MSLeachEF*NtoN2O*kgtoGg</f>
        <v>0.2071825141707862</v>
      </c>
      <c r="AE141" s="22">
        <f>SUM('Activity data'!AE50:AE65)*FracLEACH*MSLeachEF*NtoN2O*kgtoGg</f>
        <v>0.20832981138813411</v>
      </c>
      <c r="AF141" s="22">
        <f>SUM('Activity data'!AF50:AF65)*FracLEACH*MSLeachEF*NtoN2O*kgtoGg</f>
        <v>0.20820163900534233</v>
      </c>
      <c r="AG141" s="22">
        <f>SUM('Activity data'!AG50:AG65)*FracLEACH*MSLeachEF*NtoN2O*kgtoGg</f>
        <v>0.20715717967452696</v>
      </c>
      <c r="AH141" s="22">
        <f>SUM('Activity data'!AH50:AH65)*FracLEACH*MSLeachEF*NtoN2O*kgtoGg</f>
        <v>0.20517464021129667</v>
      </c>
      <c r="AI141" s="22">
        <f>SUM('Activity data'!AI50:AI65)*FracLEACH*MSLeachEF*NtoN2O*kgtoGg</f>
        <v>0.20453926814918838</v>
      </c>
      <c r="AJ141" s="22">
        <f>SUM('Activity data'!AJ50:AJ65)*FracLEACH*MSLeachEF*NtoN2O*kgtoGg</f>
        <v>0.20367944058944842</v>
      </c>
      <c r="AK141" s="22">
        <f>SUM('Activity data'!AK50:AK65)*FracLEACH*MSLeachEF*NtoN2O*kgtoGg</f>
        <v>0.20276590241771253</v>
      </c>
      <c r="AL141" s="22">
        <f>SUM('Activity data'!AL50:AL65)*FracLEACH*MSLeachEF*NtoN2O*kgtoGg</f>
        <v>0.18276299772889024</v>
      </c>
      <c r="AM141" s="22">
        <f>SUM('Activity data'!AM50:AM65)*FracLEACH*MSLeachEF*NtoN2O*kgtoGg</f>
        <v>0.1855944030173155</v>
      </c>
      <c r="AN141" s="22">
        <f>SUM('Activity data'!AN50:AN65)*FracLEACH*MSLeachEF*NtoN2O*kgtoGg</f>
        <v>0.18817340495033702</v>
      </c>
      <c r="AO141" s="22">
        <f>SUM('Activity data'!AO50:AO65)*FracLEACH*MSLeachEF*NtoN2O*kgtoGg</f>
        <v>0.19083384908283885</v>
      </c>
      <c r="AP141" s="22">
        <f>SUM('Activity data'!AP50:AP65)*FracLEACH*MSLeachEF*NtoN2O*kgtoGg</f>
        <v>0.19381061745728731</v>
      </c>
      <c r="AQ141" s="22">
        <f>SUM('Activity data'!AQ50:AQ65)*FracLEACH*MSLeachEF*NtoN2O*kgtoGg</f>
        <v>0.19726454505506766</v>
      </c>
      <c r="AR141" s="22">
        <f>SUM('Activity data'!AR50:AR65)*FracLEACH*MSLeachEF*NtoN2O*kgtoGg</f>
        <v>0.2008708914232922</v>
      </c>
      <c r="AS141" s="22">
        <f>SUM('Activity data'!AS50:AS65)*FracLEACH*MSLeachEF*NtoN2O*kgtoGg</f>
        <v>0.20477888262900906</v>
      </c>
      <c r="AT141" s="22">
        <f>SUM('Activity data'!AT50:AT65)*FracLEACH*MSLeachEF*NtoN2O*kgtoGg</f>
        <v>0.20902021157989045</v>
      </c>
      <c r="AU141" s="22">
        <f>SUM('Activity data'!AU50:AU65)*FracLEACH*MSLeachEF*NtoN2O*kgtoGg</f>
        <v>0.213934926854014</v>
      </c>
      <c r="AV141" s="22">
        <f>SUM('Activity data'!AV50:AV65)*FracLEACH*MSLeachEF*NtoN2O*kgtoGg</f>
        <v>0.21874966992587924</v>
      </c>
      <c r="AW141" s="22">
        <f>SUM('Activity data'!AW50:AW65)*FracLEACH*MSLeachEF*NtoN2O*kgtoGg</f>
        <v>0.2237873933828145</v>
      </c>
      <c r="AX141" s="22">
        <f>SUM('Activity data'!AX50:AX65)*FracLEACH*MSLeachEF*NtoN2O*kgtoGg</f>
        <v>0.22896640871836593</v>
      </c>
      <c r="AY141" s="22">
        <f>SUM('Activity data'!AY50:AY65)*FracLEACH*MSLeachEF*NtoN2O*kgtoGg</f>
        <v>0.23424841524049012</v>
      </c>
      <c r="AZ141" s="22">
        <f>SUM('Activity data'!AZ50:AZ65)*FracLEACH*MSLeachEF*NtoN2O*kgtoGg</f>
        <v>0.23959438554874066</v>
      </c>
      <c r="BA141" s="22">
        <f>SUM('Activity data'!BA50:BA65)*FracLEACH*MSLeachEF*NtoN2O*kgtoGg</f>
        <v>0.24426263626587635</v>
      </c>
      <c r="BB141" s="22">
        <f>SUM('Activity data'!BB50:BB65)*FracLEACH*MSLeachEF*NtoN2O*kgtoGg</f>
        <v>0.24911908607107688</v>
      </c>
      <c r="BC141" s="22">
        <f>SUM('Activity data'!BC50:BC65)*FracLEACH*MSLeachEF*NtoN2O*kgtoGg</f>
        <v>0.25436877849601441</v>
      </c>
      <c r="BD141" s="22">
        <f>SUM('Activity data'!BD50:BD65)*FracLEACH*MSLeachEF*NtoN2O*kgtoGg</f>
        <v>0.25985497864705132</v>
      </c>
      <c r="BE141" s="22">
        <f>SUM('Activity data'!BE50:BE65)*FracLEACH*MSLeachEF*NtoN2O*kgtoGg</f>
        <v>0.26504616840799577</v>
      </c>
      <c r="BF141" s="22">
        <f>SUM('Activity data'!BF50:BF65)*FracLEACH*MSLeachEF*NtoN2O*kgtoGg</f>
        <v>0.27023322777713765</v>
      </c>
      <c r="BG141" s="22">
        <f>SUM('Activity data'!BG50:BG65)*FracLEACH*MSLeachEF*NtoN2O*kgtoGg</f>
        <v>0.27609489232774981</v>
      </c>
      <c r="BH141" s="22">
        <f>SUM('Activity data'!BH50:BH65)*FracLEACH*MSLeachEF*NtoN2O*kgtoGg</f>
        <v>0.28224341698417532</v>
      </c>
      <c r="BI141" s="22">
        <f>SUM('Activity data'!BI50:BI65)*FracLEACH*MSLeachEF*NtoN2O*kgtoGg</f>
        <v>0.28876563266722288</v>
      </c>
      <c r="BJ141" s="22">
        <f>SUM('Activity data'!BJ50:BJ65)*FracLEACH*MSLeachEF*NtoN2O*kgtoGg</f>
        <v>0.29561622356394962</v>
      </c>
      <c r="BK141" s="22">
        <f>SUM('Activity data'!BK50:BK65)*FracLEACH*MSLeachEF*NtoN2O*kgtoGg</f>
        <v>0.30298242414496263</v>
      </c>
      <c r="BL141" s="22">
        <f>SUM('Activity data'!BL50:BL65)*FracLEACH*MSLeachEF*NtoN2O*kgtoGg</f>
        <v>0.31073813994803912</v>
      </c>
      <c r="BM141" s="22">
        <f>SUM('Activity data'!BM50:BM65)*FracLEACH*MSLeachEF*NtoN2O*kgtoGg</f>
        <v>0.3187972141209226</v>
      </c>
      <c r="BN141" s="22">
        <f>SUM('Activity data'!BN50:BN65)*FracLEACH*MSLeachEF*NtoN2O*kgtoGg</f>
        <v>0.32667144306076296</v>
      </c>
      <c r="BO141" s="22">
        <f>SUM('Activity data'!BO50:BO65)*FracLEACH*MSLeachEF*NtoN2O*kgtoGg</f>
        <v>0.33488209544263675</v>
      </c>
      <c r="BP141" s="22">
        <f>SUM('Activity data'!BP50:BP65)*FracLEACH*MSLeachEF*NtoN2O*kgtoGg</f>
        <v>0.34353974377101687</v>
      </c>
    </row>
    <row r="142" spans="1:68" x14ac:dyDescent="0.25">
      <c r="A142" t="str">
        <f t="shared" si="52"/>
        <v>3C Aggregated and non-CO2 emissions on land</v>
      </c>
      <c r="B142" t="str">
        <f t="shared" si="53"/>
        <v>3C5 Indirect N2O from managed soils (N2O)</v>
      </c>
      <c r="C142" t="str">
        <f t="shared" si="54"/>
        <v>Leaching/runoff</v>
      </c>
      <c r="D142" t="str">
        <f t="shared" si="51"/>
        <v xml:space="preserve"> - Urine &amp; dung</v>
      </c>
      <c r="E142" t="str">
        <f t="shared" si="46"/>
        <v>Leaching/runoff - Urine &amp; dung</v>
      </c>
      <c r="F142" t="str">
        <f t="shared" si="47"/>
        <v>N2O</v>
      </c>
      <c r="G142" t="str">
        <f t="shared" si="48"/>
        <v>Gg N2O</v>
      </c>
      <c r="H142" s="22">
        <f>SUM('Activity data'!H66:H81)*FracLEACHUD*MSLeachEF*NtoN2O*kgtoGg</f>
        <v>0</v>
      </c>
      <c r="I142" s="22">
        <f>SUM('Activity data'!I66:I81)*FracLEACHUD*MSLeachEF*NtoN2O*kgtoGg</f>
        <v>0</v>
      </c>
      <c r="J142" s="22">
        <f>SUM('Activity data'!J66:J81)*FracLEACHUD*MSLeachEF*NtoN2O*kgtoGg</f>
        <v>0</v>
      </c>
      <c r="K142" s="22">
        <f>SUM('Activity data'!K66:K81)*FracLEACHUD*MSLeachEF*NtoN2O*kgtoGg</f>
        <v>0</v>
      </c>
      <c r="L142" s="22">
        <f>SUM('Activity data'!L66:L81)*FracLEACHUD*MSLeachEF*NtoN2O*kgtoGg</f>
        <v>0</v>
      </c>
      <c r="M142" s="22">
        <f>SUM('Activity data'!M66:M81)*FracLEACHUD*MSLeachEF*NtoN2O*kgtoGg</f>
        <v>0</v>
      </c>
      <c r="N142" s="22">
        <f>SUM('Activity data'!N66:N81)*FracLEACHUD*MSLeachEF*NtoN2O*kgtoGg</f>
        <v>0</v>
      </c>
      <c r="O142" s="22">
        <f>SUM('Activity data'!O66:O81)*FracLEACHUD*MSLeachEF*NtoN2O*kgtoGg</f>
        <v>0</v>
      </c>
      <c r="P142" s="22">
        <f>SUM('Activity data'!P66:P81)*FracLEACHUD*MSLeachEF*NtoN2O*kgtoGg</f>
        <v>0</v>
      </c>
      <c r="Q142" s="22">
        <f>SUM('Activity data'!Q66:Q81)*FracLEACHUD*MSLeachEF*NtoN2O*kgtoGg</f>
        <v>0</v>
      </c>
      <c r="R142" s="22">
        <f>SUM('Activity data'!R66:R81)*FracLEACHUD*MSLeachEF*NtoN2O*kgtoGg</f>
        <v>0</v>
      </c>
      <c r="S142" s="22">
        <f>SUM('Activity data'!S66:S81)*FracLEACHUD*MSLeachEF*NtoN2O*kgtoGg</f>
        <v>0</v>
      </c>
      <c r="T142" s="22">
        <f>SUM('Activity data'!T66:T81)*FracLEACHUD*MSLeachEF*NtoN2O*kgtoGg</f>
        <v>0</v>
      </c>
      <c r="U142" s="22">
        <f>SUM('Activity data'!U66:U81)*FracLEACHUD*MSLeachEF*NtoN2O*kgtoGg</f>
        <v>0</v>
      </c>
      <c r="V142" s="22">
        <f>SUM('Activity data'!V66:V81)*FracLEACHUD*MSLeachEF*NtoN2O*kgtoGg</f>
        <v>0</v>
      </c>
      <c r="W142" s="22">
        <f>SUM('Activity data'!W66:W81)*FracLEACHUD*MSLeachEF*NtoN2O*kgtoGg</f>
        <v>0</v>
      </c>
      <c r="X142" s="22">
        <f>SUM('Activity data'!X66:X81)*FracLEACHUD*MSLeachEF*NtoN2O*kgtoGg</f>
        <v>0</v>
      </c>
      <c r="Y142" s="22">
        <f>SUM('Activity data'!Y66:Y81)*FracLEACHUD*MSLeachEF*NtoN2O*kgtoGg</f>
        <v>0</v>
      </c>
      <c r="Z142" s="22">
        <f>SUM('Activity data'!Z66:Z81)*FracLEACHUD*MSLeachEF*NtoN2O*kgtoGg</f>
        <v>0</v>
      </c>
      <c r="AA142" s="22">
        <f>SUM('Activity data'!AA66:AA81)*FracLEACHUD*MSLeachEF*NtoN2O*kgtoGg</f>
        <v>0</v>
      </c>
      <c r="AB142" s="22">
        <f>SUM('Activity data'!AB66:AB81)*FracLEACHUD*MSLeachEF*NtoN2O*kgtoGg</f>
        <v>0</v>
      </c>
      <c r="AC142" s="22">
        <f>SUM('Activity data'!AC66:AC81)*FracLEACHUD*MSLeachEF*NtoN2O*kgtoGg</f>
        <v>0</v>
      </c>
      <c r="AD142" s="22">
        <f>SUM('Activity data'!AD66:AD81)*FracLEACHUD*MSLeachEF*NtoN2O*kgtoGg</f>
        <v>0</v>
      </c>
      <c r="AE142" s="22">
        <f>SUM('Activity data'!AE66:AE81)*FracLEACHUD*MSLeachEF*NtoN2O*kgtoGg</f>
        <v>0</v>
      </c>
      <c r="AF142" s="22">
        <f>SUM('Activity data'!AF66:AF81)*FracLEACHUD*MSLeachEF*NtoN2O*kgtoGg</f>
        <v>0</v>
      </c>
      <c r="AG142" s="22">
        <f>SUM('Activity data'!AG66:AG81)*FracLEACHUD*MSLeachEF*NtoN2O*kgtoGg</f>
        <v>0</v>
      </c>
      <c r="AH142" s="22">
        <f>SUM('Activity data'!AH66:AH81)*FracLEACHUD*MSLeachEF*NtoN2O*kgtoGg</f>
        <v>0</v>
      </c>
      <c r="AI142" s="22">
        <f>SUM('Activity data'!AI66:AI81)*FracLEACHUD*MSLeachEF*NtoN2O*kgtoGg</f>
        <v>0</v>
      </c>
      <c r="AJ142" s="22">
        <f>SUM('Activity data'!AJ66:AJ81)*FracLEACHUD*MSLeachEF*NtoN2O*kgtoGg</f>
        <v>0</v>
      </c>
      <c r="AK142" s="22">
        <f>SUM('Activity data'!AK66:AK81)*FracLEACHUD*MSLeachEF*NtoN2O*kgtoGg</f>
        <v>0</v>
      </c>
      <c r="AL142" s="22">
        <f>SUM('Activity data'!AL66:AL81)*FracLEACHUD*MSLeachEF*NtoN2O*kgtoGg</f>
        <v>0</v>
      </c>
      <c r="AM142" s="22">
        <f>SUM('Activity data'!AM66:AM81)*FracLEACHUD*MSLeachEF*NtoN2O*kgtoGg</f>
        <v>0</v>
      </c>
      <c r="AN142" s="22">
        <f>SUM('Activity data'!AN66:AN81)*FracLEACHUD*MSLeachEF*NtoN2O*kgtoGg</f>
        <v>0</v>
      </c>
      <c r="AO142" s="22">
        <f>SUM('Activity data'!AO66:AO81)*FracLEACHUD*MSLeachEF*NtoN2O*kgtoGg</f>
        <v>0</v>
      </c>
      <c r="AP142" s="22">
        <f>SUM('Activity data'!AP66:AP81)*FracLEACHUD*MSLeachEF*NtoN2O*kgtoGg</f>
        <v>0</v>
      </c>
      <c r="AQ142" s="22">
        <f>SUM('Activity data'!AQ66:AQ81)*FracLEACHUD*MSLeachEF*NtoN2O*kgtoGg</f>
        <v>0</v>
      </c>
      <c r="AR142" s="22">
        <f>SUM('Activity data'!AR66:AR81)*FracLEACHUD*MSLeachEF*NtoN2O*kgtoGg</f>
        <v>0</v>
      </c>
      <c r="AS142" s="22">
        <f>SUM('Activity data'!AS66:AS81)*FracLEACHUD*MSLeachEF*NtoN2O*kgtoGg</f>
        <v>0</v>
      </c>
      <c r="AT142" s="22">
        <f>SUM('Activity data'!AT66:AT81)*FracLEACHUD*MSLeachEF*NtoN2O*kgtoGg</f>
        <v>0</v>
      </c>
      <c r="AU142" s="22">
        <f>SUM('Activity data'!AU66:AU81)*FracLEACHUD*MSLeachEF*NtoN2O*kgtoGg</f>
        <v>0</v>
      </c>
      <c r="AV142" s="22">
        <f>SUM('Activity data'!AV66:AV81)*FracLEACHUD*MSLeachEF*NtoN2O*kgtoGg</f>
        <v>0</v>
      </c>
      <c r="AW142" s="22">
        <f>SUM('Activity data'!AW66:AW81)*FracLEACHUD*MSLeachEF*NtoN2O*kgtoGg</f>
        <v>0</v>
      </c>
      <c r="AX142" s="22">
        <f>SUM('Activity data'!AX66:AX81)*FracLEACHUD*MSLeachEF*NtoN2O*kgtoGg</f>
        <v>0</v>
      </c>
      <c r="AY142" s="22">
        <f>SUM('Activity data'!AY66:AY81)*FracLEACHUD*MSLeachEF*NtoN2O*kgtoGg</f>
        <v>0</v>
      </c>
      <c r="AZ142" s="22">
        <f>SUM('Activity data'!AZ66:AZ81)*FracLEACHUD*MSLeachEF*NtoN2O*kgtoGg</f>
        <v>0</v>
      </c>
      <c r="BA142" s="22">
        <f>SUM('Activity data'!BA66:BA81)*FracLEACHUD*MSLeachEF*NtoN2O*kgtoGg</f>
        <v>0</v>
      </c>
      <c r="BB142" s="22">
        <f>SUM('Activity data'!BB66:BB81)*FracLEACHUD*MSLeachEF*NtoN2O*kgtoGg</f>
        <v>0</v>
      </c>
      <c r="BC142" s="22">
        <f>SUM('Activity data'!BC66:BC81)*FracLEACHUD*MSLeachEF*NtoN2O*kgtoGg</f>
        <v>0</v>
      </c>
      <c r="BD142" s="22">
        <f>SUM('Activity data'!BD66:BD81)*FracLEACHUD*MSLeachEF*NtoN2O*kgtoGg</f>
        <v>0</v>
      </c>
      <c r="BE142" s="22">
        <f>SUM('Activity data'!BE66:BE81)*FracLEACHUD*MSLeachEF*NtoN2O*kgtoGg</f>
        <v>0</v>
      </c>
      <c r="BF142" s="22">
        <f>SUM('Activity data'!BF66:BF81)*FracLEACHUD*MSLeachEF*NtoN2O*kgtoGg</f>
        <v>0</v>
      </c>
      <c r="BG142" s="22">
        <f>SUM('Activity data'!BG66:BG81)*FracLEACHUD*MSLeachEF*NtoN2O*kgtoGg</f>
        <v>0</v>
      </c>
      <c r="BH142" s="22">
        <f>SUM('Activity data'!BH66:BH81)*FracLEACHUD*MSLeachEF*NtoN2O*kgtoGg</f>
        <v>0</v>
      </c>
      <c r="BI142" s="22">
        <f>SUM('Activity data'!BI66:BI81)*FracLEACHUD*MSLeachEF*NtoN2O*kgtoGg</f>
        <v>0</v>
      </c>
      <c r="BJ142" s="22">
        <f>SUM('Activity data'!BJ66:BJ81)*FracLEACHUD*MSLeachEF*NtoN2O*kgtoGg</f>
        <v>0</v>
      </c>
      <c r="BK142" s="22">
        <f>SUM('Activity data'!BK66:BK81)*FracLEACHUD*MSLeachEF*NtoN2O*kgtoGg</f>
        <v>0</v>
      </c>
      <c r="BL142" s="22">
        <f>SUM('Activity data'!BL66:BL81)*FracLEACHUD*MSLeachEF*NtoN2O*kgtoGg</f>
        <v>0</v>
      </c>
      <c r="BM142" s="22">
        <f>SUM('Activity data'!BM66:BM81)*FracLEACHUD*MSLeachEF*NtoN2O*kgtoGg</f>
        <v>0</v>
      </c>
      <c r="BN142" s="22">
        <f>SUM('Activity data'!BN66:BN81)*FracLEACHUD*MSLeachEF*NtoN2O*kgtoGg</f>
        <v>0</v>
      </c>
      <c r="BO142" s="22">
        <f>SUM('Activity data'!BO66:BO81)*FracLEACHUD*MSLeachEF*NtoN2O*kgtoGg</f>
        <v>0</v>
      </c>
      <c r="BP142" s="22">
        <f>SUM('Activity data'!BP66:BP81)*FracLEACHUD*MSLeachEF*NtoN2O*kgtoGg</f>
        <v>0</v>
      </c>
    </row>
    <row r="143" spans="1:68" x14ac:dyDescent="0.25">
      <c r="A143" t="str">
        <f t="shared" si="52"/>
        <v>3C Aggregated and non-CO2 emissions on land</v>
      </c>
      <c r="B143" t="str">
        <f t="shared" si="53"/>
        <v>3C5 Indirect N2O from managed soils (N2O)</v>
      </c>
      <c r="C143" t="str">
        <f t="shared" si="54"/>
        <v>Leaching/runoff</v>
      </c>
      <c r="D143" t="s">
        <v>439</v>
      </c>
      <c r="E143" t="str">
        <f t="shared" si="46"/>
        <v>Leaching/runoff - crop residues</v>
      </c>
      <c r="F143" t="str">
        <f t="shared" si="47"/>
        <v>N2O</v>
      </c>
      <c r="G143" t="str">
        <f t="shared" si="48"/>
        <v>Gg N2O</v>
      </c>
      <c r="H143" s="22">
        <f>'Activity data'!H85*FracLEACH*MSLeachEF*NtoN2O*kgtoGg</f>
        <v>0.16412569165212873</v>
      </c>
      <c r="I143" s="22">
        <f>'Activity data'!I85*FracLEACH*MSLeachEF*NtoN2O*kgtoGg</f>
        <v>0.14629236044495902</v>
      </c>
      <c r="J143" s="22">
        <f>'Activity data'!J85*FracLEACH*MSLeachEF*NtoN2O*kgtoGg</f>
        <v>0.15233000670693667</v>
      </c>
      <c r="K143" s="22">
        <f>'Activity data'!K85*FracLEACH*MSLeachEF*NtoN2O*kgtoGg</f>
        <v>0.16359516489306206</v>
      </c>
      <c r="L143" s="22">
        <f>'Activity data'!L85*FracLEACH*MSLeachEF*NtoN2O*kgtoGg</f>
        <v>0.17253149252582983</v>
      </c>
      <c r="M143" s="22">
        <f>'Activity data'!M85*FracLEACH*MSLeachEF*NtoN2O*kgtoGg</f>
        <v>0.13417870850569094</v>
      </c>
      <c r="N143" s="22">
        <f>'Activity data'!N85*FracLEACH*MSLeachEF*NtoN2O*kgtoGg</f>
        <v>0.14779546367267218</v>
      </c>
      <c r="O143" s="22">
        <f>'Activity data'!O85*FracLEACH*MSLeachEF*NtoN2O*kgtoGg</f>
        <v>0.15542171795890092</v>
      </c>
      <c r="P143" s="22">
        <f>'Activity data'!P85*FracLEACH*MSLeachEF*NtoN2O*kgtoGg</f>
        <v>0.13543229781907784</v>
      </c>
      <c r="Q143" s="22">
        <f>'Activity data'!Q85*FracLEACH*MSLeachEF*NtoN2O*kgtoGg</f>
        <v>0.13439106702126277</v>
      </c>
      <c r="R143" s="22">
        <f>'Activity data'!R85*FracLEACH*MSLeachEF*NtoN2O*kgtoGg</f>
        <v>0.15425221852146853</v>
      </c>
      <c r="S143" s="22">
        <f>'Activity data'!S85*FracLEACH*MSLeachEF*NtoN2O*kgtoGg</f>
        <v>0.12599065258308942</v>
      </c>
      <c r="T143" s="22">
        <f>'Activity data'!T85*FracLEACH*MSLeachEF*NtoN2O*kgtoGg</f>
        <v>0.13741326722478148</v>
      </c>
      <c r="U143" s="22">
        <f>'Activity data'!U85*FracLEACH*MSLeachEF*NtoN2O*kgtoGg</f>
        <v>0.13559055667593309</v>
      </c>
      <c r="V143" s="22">
        <f>'Activity data'!V85*FracLEACH*MSLeachEF*NtoN2O*kgtoGg</f>
        <v>0.12124985168858403</v>
      </c>
      <c r="W143" s="22">
        <f>'Activity data'!W85*FracLEACH*MSLeachEF*NtoN2O*kgtoGg</f>
        <v>0.12315983905833512</v>
      </c>
      <c r="X143" s="22">
        <f>'Activity data'!X85*FracLEACH*MSLeachEF*NtoN2O*kgtoGg</f>
        <v>8.2811567421668675E-2</v>
      </c>
      <c r="Y143" s="22">
        <f>'Activity data'!Y85*FracLEACH*MSLeachEF*NtoN2O*kgtoGg</f>
        <v>0.11226257751117734</v>
      </c>
      <c r="Z143" s="22">
        <f>'Activity data'!Z85*FracLEACH*MSLeachEF*NtoN2O*kgtoGg</f>
        <v>0.12821404968861716</v>
      </c>
      <c r="AA143" s="22">
        <f>'Activity data'!AA85*FracLEACH*MSLeachEF*NtoN2O*kgtoGg</f>
        <v>0.11391912245887616</v>
      </c>
      <c r="AB143" s="22">
        <f>'Activity data'!AB85*FracLEACH*MSLeachEF*NtoN2O*kgtoGg</f>
        <v>0.12438309112763533</v>
      </c>
      <c r="AC143" s="22">
        <f>'Activity data'!AC85*FracLEACH*MSLeachEF*NtoN2O*kgtoGg</f>
        <v>0.11517216759812599</v>
      </c>
      <c r="AD143" s="22">
        <f>'Activity data'!AD85*FracLEACH*MSLeachEF*NtoN2O*kgtoGg</f>
        <v>0.10175116378121943</v>
      </c>
      <c r="AE143" s="22">
        <f>'Activity data'!AE85*FracLEACH*MSLeachEF*NtoN2O*kgtoGg</f>
        <v>0.101921275547881</v>
      </c>
      <c r="AF143" s="22">
        <f>'Activity data'!AF85*FracLEACH*MSLeachEF*NtoN2O*kgtoGg</f>
        <v>0.10229356808412927</v>
      </c>
      <c r="AG143" s="22">
        <f>'Activity data'!AG85*FracLEACH*MSLeachEF*NtoN2O*kgtoGg</f>
        <v>0.10257834885518612</v>
      </c>
      <c r="AH143" s="22">
        <f>'Activity data'!AH85*FracLEACH*MSLeachEF*NtoN2O*kgtoGg</f>
        <v>0.10279766358311394</v>
      </c>
      <c r="AI143" s="22">
        <f>'Activity data'!AI85*FracLEACH*MSLeachEF*NtoN2O*kgtoGg</f>
        <v>0.10294855262658097</v>
      </c>
      <c r="AJ143" s="22">
        <f>'Activity data'!AJ85*FracLEACH*MSLeachEF*NtoN2O*kgtoGg</f>
        <v>0.1031834245412276</v>
      </c>
      <c r="AK143" s="22">
        <f>'Activity data'!AK85*FracLEACH*MSLeachEF*NtoN2O*kgtoGg</f>
        <v>0.10339855181684411</v>
      </c>
      <c r="AL143" s="22">
        <f>'Activity data'!AL85*FracLEACH*MSLeachEF*NtoN2O*kgtoGg</f>
        <v>0.10360564750739619</v>
      </c>
      <c r="AM143" s="22">
        <f>'Activity data'!AM85*FracLEACH*MSLeachEF*NtoN2O*kgtoGg</f>
        <v>0.10243380255995276</v>
      </c>
      <c r="AN143" s="22">
        <f>'Activity data'!AN85*FracLEACH*MSLeachEF*NtoN2O*kgtoGg</f>
        <v>0.10282730008476049</v>
      </c>
      <c r="AO143" s="22">
        <f>'Activity data'!AO85*FracLEACH*MSLeachEF*NtoN2O*kgtoGg</f>
        <v>0.10319869388682019</v>
      </c>
      <c r="AP143" s="22">
        <f>'Activity data'!AP85*FracLEACH*MSLeachEF*NtoN2O*kgtoGg</f>
        <v>0.10357292749747901</v>
      </c>
      <c r="AQ143" s="22">
        <f>'Activity data'!AQ85*FracLEACH*MSLeachEF*NtoN2O*kgtoGg</f>
        <v>0.10396720398001927</v>
      </c>
      <c r="AR143" s="22">
        <f>'Activity data'!AR85*FracLEACH*MSLeachEF*NtoN2O*kgtoGg</f>
        <v>0.10439285971679575</v>
      </c>
      <c r="AS143" s="22">
        <f>'Activity data'!AS85*FracLEACH*MSLeachEF*NtoN2O*kgtoGg</f>
        <v>0.10482525354204</v>
      </c>
      <c r="AT143" s="22">
        <f>'Activity data'!AT85*FracLEACH*MSLeachEF*NtoN2O*kgtoGg</f>
        <v>0.10527543594668372</v>
      </c>
      <c r="AU143" s="22">
        <f>'Activity data'!AU85*FracLEACH*MSLeachEF*NtoN2O*kgtoGg</f>
        <v>0.10574509084605778</v>
      </c>
      <c r="AV143" s="22">
        <f>'Activity data'!AV85*FracLEACH*MSLeachEF*NtoN2O*kgtoGg</f>
        <v>0.10625715630402084</v>
      </c>
      <c r="AW143" s="22">
        <f>'Activity data'!AW85*FracLEACH*MSLeachEF*NtoN2O*kgtoGg</f>
        <v>0.1067569304958129</v>
      </c>
      <c r="AX143" s="22">
        <f>'Activity data'!AX85*FracLEACH*MSLeachEF*NtoN2O*kgtoGg</f>
        <v>0.10731891031464513</v>
      </c>
      <c r="AY143" s="22">
        <f>'Activity data'!AY85*FracLEACH*MSLeachEF*NtoN2O*kgtoGg</f>
        <v>0.10788653865958074</v>
      </c>
      <c r="AZ143" s="22">
        <f>'Activity data'!AZ85*FracLEACH*MSLeachEF*NtoN2O*kgtoGg</f>
        <v>0.1084569914393374</v>
      </c>
      <c r="BA143" s="22">
        <f>'Activity data'!BA85*FracLEACH*MSLeachEF*NtoN2O*kgtoGg</f>
        <v>0.10902753160066112</v>
      </c>
      <c r="BB143" s="22">
        <f>'Activity data'!BB85*FracLEACH*MSLeachEF*NtoN2O*kgtoGg</f>
        <v>0.10955034319176571</v>
      </c>
      <c r="BC143" s="22">
        <f>'Activity data'!BC85*FracLEACH*MSLeachEF*NtoN2O*kgtoGg</f>
        <v>0.11008187593028793</v>
      </c>
      <c r="BD143" s="22">
        <f>'Activity data'!BD85*FracLEACH*MSLeachEF*NtoN2O*kgtoGg</f>
        <v>0.11063496698588959</v>
      </c>
      <c r="BE143" s="22">
        <f>'Activity data'!BE85*FracLEACH*MSLeachEF*NtoN2O*kgtoGg</f>
        <v>0.11119901967195536</v>
      </c>
      <c r="BF143" s="22">
        <f>'Activity data'!BF85*FracLEACH*MSLeachEF*NtoN2O*kgtoGg</f>
        <v>0.1117409697269324</v>
      </c>
      <c r="BG143" s="22">
        <f>'Activity data'!BG85*FracLEACH*MSLeachEF*NtoN2O*kgtoGg</f>
        <v>0.11227918056419008</v>
      </c>
      <c r="BH143" s="22">
        <f>'Activity data'!BH85*FracLEACH*MSLeachEF*NtoN2O*kgtoGg</f>
        <v>0.11282321963610915</v>
      </c>
      <c r="BI143" s="22">
        <f>'Activity data'!BI85*FracLEACH*MSLeachEF*NtoN2O*kgtoGg</f>
        <v>0.11337894563715897</v>
      </c>
      <c r="BJ143" s="22">
        <f>'Activity data'!BJ85*FracLEACH*MSLeachEF*NtoN2O*kgtoGg</f>
        <v>0.11395073476912788</v>
      </c>
      <c r="BK143" s="22">
        <f>'Activity data'!BK85*FracLEACH*MSLeachEF*NtoN2O*kgtoGg</f>
        <v>0.11453511127155165</v>
      </c>
      <c r="BL143" s="22">
        <f>'Activity data'!BL85*FracLEACH*MSLeachEF*NtoN2O*kgtoGg</f>
        <v>0.11514175555365974</v>
      </c>
      <c r="BM143" s="22">
        <f>'Activity data'!BM85*FracLEACH*MSLeachEF*NtoN2O*kgtoGg</f>
        <v>0.11576228432699723</v>
      </c>
      <c r="BN143" s="22">
        <f>'Activity data'!BN85*FracLEACH*MSLeachEF*NtoN2O*kgtoGg</f>
        <v>0.11639124430828816</v>
      </c>
      <c r="BO143" s="22">
        <f>'Activity data'!BO85*FracLEACH*MSLeachEF*NtoN2O*kgtoGg</f>
        <v>0.11700223151875033</v>
      </c>
      <c r="BP143" s="22">
        <f>'Activity data'!BP85*FracLEACH*MSLeachEF*NtoN2O*kgtoGg</f>
        <v>0.11762302195495644</v>
      </c>
    </row>
    <row r="144" spans="1:68" x14ac:dyDescent="0.25">
      <c r="A144" t="str">
        <f t="shared" si="52"/>
        <v>3C Aggregated and non-CO2 emissions on land</v>
      </c>
      <c r="B144" t="str">
        <f>'IPCC Categories'!B78</f>
        <v>3C5 Indirect N2O from managed soils (N2O)</v>
      </c>
      <c r="C144" t="str">
        <f t="shared" si="54"/>
        <v>Leaching/runoff</v>
      </c>
      <c r="D144" t="str">
        <f>" - FSOM - "&amp;'Activity data'!D87</f>
        <v xml:space="preserve"> - FSOM - Forest remaining forest land</v>
      </c>
      <c r="E144" t="str">
        <f t="shared" ref="E144" si="55">C144&amp;D144</f>
        <v>Leaching/runoff - FSOM - Forest remaining forest land</v>
      </c>
      <c r="F144" t="str">
        <f t="shared" si="47"/>
        <v>N2O</v>
      </c>
      <c r="G144" t="str">
        <f t="shared" si="48"/>
        <v>Gg N2O</v>
      </c>
      <c r="H144" s="22" t="str">
        <f>IFERROR(('Activity data'!H87*(1/Constants!$H$135))*ttokg*FracLEACH*MSLeachEF*NtoN2O*kgtoGg,"NO")</f>
        <v>NO</v>
      </c>
      <c r="I144" s="22" t="str">
        <f>IFERROR(('Activity data'!I87*(1/Constants!$H$135))*ttokg*FracLEACH*MSLeachEF*NtoN2O*kgtoGg,"NO")</f>
        <v>NO</v>
      </c>
      <c r="J144" s="22" t="str">
        <f>IFERROR(('Activity data'!J87*(1/Constants!$H$135))*ttokg*FracLEACH*MSLeachEF*NtoN2O*kgtoGg,"NO")</f>
        <v>NO</v>
      </c>
      <c r="K144" s="22" t="str">
        <f>IFERROR(('Activity data'!K87*(1/Constants!$H$135))*ttokg*FracLEACH*MSLeachEF*NtoN2O*kgtoGg,"NO")</f>
        <v>NO</v>
      </c>
      <c r="L144" s="22" t="str">
        <f>IFERROR(('Activity data'!L87*(1/Constants!$H$135))*ttokg*FracLEACH*MSLeachEF*NtoN2O*kgtoGg,"NO")</f>
        <v>NO</v>
      </c>
      <c r="M144" s="22" t="str">
        <f>IFERROR(('Activity data'!M87*(1/Constants!$H$135))*ttokg*FracLEACH*MSLeachEF*NtoN2O*kgtoGg,"NO")</f>
        <v>NO</v>
      </c>
      <c r="N144" s="22" t="str">
        <f>IFERROR(('Activity data'!N87*(1/Constants!$H$135))*ttokg*FracLEACH*MSLeachEF*NtoN2O*kgtoGg,"NO")</f>
        <v>NO</v>
      </c>
      <c r="O144" s="22" t="str">
        <f>IFERROR(('Activity data'!O87*(1/Constants!$H$135))*ttokg*FracLEACH*MSLeachEF*NtoN2O*kgtoGg,"NO")</f>
        <v>NO</v>
      </c>
      <c r="P144" s="22" t="str">
        <f>IFERROR(('Activity data'!P87*(1/Constants!$H$135))*ttokg*FracLEACH*MSLeachEF*NtoN2O*kgtoGg,"NO")</f>
        <v>NO</v>
      </c>
      <c r="Q144" s="22" t="str">
        <f>IFERROR(('Activity data'!Q87*(1/Constants!$H$135))*ttokg*FracLEACH*MSLeachEF*NtoN2O*kgtoGg,"NO")</f>
        <v>NO</v>
      </c>
      <c r="R144" s="22" t="str">
        <f>IFERROR(('Activity data'!R87*(1/Constants!$H$135))*ttokg*FracLEACH*MSLeachEF*NtoN2O*kgtoGg,"NO")</f>
        <v>NO</v>
      </c>
      <c r="S144" s="22" t="str">
        <f>IFERROR(('Activity data'!S87*(1/Constants!$H$135))*ttokg*FracLEACH*MSLeachEF*NtoN2O*kgtoGg,"NO")</f>
        <v>NO</v>
      </c>
      <c r="T144" s="22" t="str">
        <f>IFERROR(('Activity data'!T87*(1/Constants!$H$135))*ttokg*FracLEACH*MSLeachEF*NtoN2O*kgtoGg,"NO")</f>
        <v>NO</v>
      </c>
      <c r="U144" s="22" t="str">
        <f>IFERROR(('Activity data'!U87*(1/Constants!$H$135))*ttokg*FracLEACH*MSLeachEF*NtoN2O*kgtoGg,"NO")</f>
        <v>NO</v>
      </c>
      <c r="V144" s="22" t="str">
        <f>IFERROR(('Activity data'!V87*(1/Constants!$H$135))*ttokg*FracLEACH*MSLeachEF*NtoN2O*kgtoGg,"NO")</f>
        <v>NO</v>
      </c>
      <c r="W144" s="22" t="str">
        <f>IFERROR(('Activity data'!W87*(1/Constants!$H$135))*ttokg*FracLEACH*MSLeachEF*NtoN2O*kgtoGg,"NO")</f>
        <v>NO</v>
      </c>
      <c r="X144" s="22" t="str">
        <f>IFERROR(('Activity data'!X87*(1/Constants!$H$135))*ttokg*FracLEACH*MSLeachEF*NtoN2O*kgtoGg,"NO")</f>
        <v>NO</v>
      </c>
      <c r="Y144" s="22" t="str">
        <f>IFERROR(('Activity data'!Y87*(1/Constants!$H$135))*ttokg*FracLEACH*MSLeachEF*NtoN2O*kgtoGg,"NO")</f>
        <v>NO</v>
      </c>
      <c r="Z144" s="22" t="str">
        <f>IFERROR(('Activity data'!Z87*(1/Constants!$H$135))*ttokg*FracLEACH*MSLeachEF*NtoN2O*kgtoGg,"NO")</f>
        <v>NO</v>
      </c>
      <c r="AA144" s="22" t="str">
        <f>IFERROR(('Activity data'!AA87*(1/Constants!$H$135))*ttokg*FracLEACH*MSLeachEF*NtoN2O*kgtoGg,"NO")</f>
        <v>NO</v>
      </c>
      <c r="AB144" s="22" t="str">
        <f>IFERROR(('Activity data'!AB87*(1/Constants!$H$135))*ttokg*FracLEACH*MSLeachEF*NtoN2O*kgtoGg,"NO")</f>
        <v>NO</v>
      </c>
      <c r="AC144" s="22" t="str">
        <f>IFERROR(('Activity data'!AC87*(1/Constants!$H$135))*ttokg*FracLEACH*MSLeachEF*NtoN2O*kgtoGg,"NO")</f>
        <v>NO</v>
      </c>
      <c r="AD144" s="22" t="str">
        <f>IFERROR(('Activity data'!AD87*(1/Constants!$H$135))*ttokg*FracLEACH*MSLeachEF*NtoN2O*kgtoGg,"NO")</f>
        <v>NO</v>
      </c>
      <c r="AE144" s="22" t="str">
        <f>IFERROR(('Activity data'!AE87*(1/Constants!$H$135))*ttokg*FracLEACH*MSLeachEF*NtoN2O*kgtoGg,"NO")</f>
        <v>NO</v>
      </c>
      <c r="AF144" s="22" t="str">
        <f>IFERROR(('Activity data'!AF87*(1/Constants!$H$135))*ttokg*FracLEACH*MSLeachEF*NtoN2O*kgtoGg,"NO")</f>
        <v>NO</v>
      </c>
      <c r="AG144" s="22" t="str">
        <f>IFERROR(('Activity data'!AG87*(1/Constants!$H$135))*ttokg*FracLEACH*MSLeachEF*NtoN2O*kgtoGg,"NO")</f>
        <v>NO</v>
      </c>
      <c r="AH144" s="22" t="str">
        <f>IFERROR(('Activity data'!AH87*(1/Constants!$H$135))*ttokg*FracLEACH*MSLeachEF*NtoN2O*kgtoGg,"NO")</f>
        <v>NO</v>
      </c>
      <c r="AI144" s="22" t="str">
        <f>IFERROR(('Activity data'!AI87*(1/Constants!$H$135))*ttokg*FracLEACH*MSLeachEF*NtoN2O*kgtoGg,"NO")</f>
        <v>NO</v>
      </c>
      <c r="AJ144" s="22" t="str">
        <f>IFERROR(('Activity data'!AJ87*(1/Constants!$H$135))*ttokg*FracLEACH*MSLeachEF*NtoN2O*kgtoGg,"NO")</f>
        <v>NO</v>
      </c>
      <c r="AK144" s="22" t="str">
        <f>IFERROR(('Activity data'!AK87*(1/Constants!$H$135))*ttokg*FracLEACH*MSLeachEF*NtoN2O*kgtoGg,"NO")</f>
        <v>NO</v>
      </c>
      <c r="AL144" s="22" t="str">
        <f>IFERROR(('Activity data'!AL87*(1/Constants!$H$135))*ttokg*FracLEACH*MSLeachEF*NtoN2O*kgtoGg,"NO")</f>
        <v>NO</v>
      </c>
      <c r="AM144" s="22" t="str">
        <f>IFERROR(('Activity data'!AM87*(1/Constants!$H$135))*ttokg*FracLEACH*MSLeachEF*NtoN2O*kgtoGg,"NO")</f>
        <v>NO</v>
      </c>
      <c r="AN144" s="22" t="str">
        <f>IFERROR(('Activity data'!AN87*(1/Constants!$H$135))*ttokg*FracLEACH*MSLeachEF*NtoN2O*kgtoGg,"NO")</f>
        <v>NO</v>
      </c>
      <c r="AO144" s="22" t="str">
        <f>IFERROR(('Activity data'!AO87*(1/Constants!$H$135))*ttokg*FracLEACH*MSLeachEF*NtoN2O*kgtoGg,"NO")</f>
        <v>NO</v>
      </c>
      <c r="AP144" s="22" t="str">
        <f>IFERROR(('Activity data'!AP87*(1/Constants!$H$135))*ttokg*FracLEACH*MSLeachEF*NtoN2O*kgtoGg,"NO")</f>
        <v>NO</v>
      </c>
      <c r="AQ144" s="22" t="str">
        <f>IFERROR(('Activity data'!AQ87*(1/Constants!$H$135))*ttokg*FracLEACH*MSLeachEF*NtoN2O*kgtoGg,"NO")</f>
        <v>NO</v>
      </c>
      <c r="AR144" s="22" t="str">
        <f>IFERROR(('Activity data'!AR87*(1/Constants!$H$135))*ttokg*FracLEACH*MSLeachEF*NtoN2O*kgtoGg,"NO")</f>
        <v>NO</v>
      </c>
      <c r="AS144" s="22" t="str">
        <f>IFERROR(('Activity data'!AS87*(1/Constants!$H$135))*ttokg*FracLEACH*MSLeachEF*NtoN2O*kgtoGg,"NO")</f>
        <v>NO</v>
      </c>
      <c r="AT144" s="22" t="str">
        <f>IFERROR(('Activity data'!AT87*(1/Constants!$H$135))*ttokg*FracLEACH*MSLeachEF*NtoN2O*kgtoGg,"NO")</f>
        <v>NO</v>
      </c>
      <c r="AU144" s="22" t="str">
        <f>IFERROR(('Activity data'!AU87*(1/Constants!$H$135))*ttokg*FracLEACH*MSLeachEF*NtoN2O*kgtoGg,"NO")</f>
        <v>NO</v>
      </c>
      <c r="AV144" s="22" t="str">
        <f>IFERROR(('Activity data'!AV87*(1/Constants!$H$135))*ttokg*FracLEACH*MSLeachEF*NtoN2O*kgtoGg,"NO")</f>
        <v>NO</v>
      </c>
      <c r="AW144" s="22" t="str">
        <f>IFERROR(('Activity data'!AW87*(1/Constants!$H$135))*ttokg*FracLEACH*MSLeachEF*NtoN2O*kgtoGg,"NO")</f>
        <v>NO</v>
      </c>
      <c r="AX144" s="22" t="str">
        <f>IFERROR(('Activity data'!AX87*(1/Constants!$H$135))*ttokg*FracLEACH*MSLeachEF*NtoN2O*kgtoGg,"NO")</f>
        <v>NO</v>
      </c>
      <c r="AY144" s="22" t="str">
        <f>IFERROR(('Activity data'!AY87*(1/Constants!$H$135))*ttokg*FracLEACH*MSLeachEF*NtoN2O*kgtoGg,"NO")</f>
        <v>NO</v>
      </c>
      <c r="AZ144" s="22" t="str">
        <f>IFERROR(('Activity data'!AZ87*(1/Constants!$H$135))*ttokg*FracLEACH*MSLeachEF*NtoN2O*kgtoGg,"NO")</f>
        <v>NO</v>
      </c>
      <c r="BA144" s="22" t="str">
        <f>IFERROR(('Activity data'!BA87*(1/Constants!$H$135))*ttokg*FracLEACH*MSLeachEF*NtoN2O*kgtoGg,"NO")</f>
        <v>NO</v>
      </c>
      <c r="BB144" s="22" t="str">
        <f>IFERROR(('Activity data'!BB87*(1/Constants!$H$135))*ttokg*FracLEACH*MSLeachEF*NtoN2O*kgtoGg,"NO")</f>
        <v>NO</v>
      </c>
      <c r="BC144" s="22" t="str">
        <f>IFERROR(('Activity data'!BC87*(1/Constants!$H$135))*ttokg*FracLEACH*MSLeachEF*NtoN2O*kgtoGg,"NO")</f>
        <v>NO</v>
      </c>
      <c r="BD144" s="22" t="str">
        <f>IFERROR(('Activity data'!BD87*(1/Constants!$H$135))*ttokg*FracLEACH*MSLeachEF*NtoN2O*kgtoGg,"NO")</f>
        <v>NO</v>
      </c>
      <c r="BE144" s="22" t="str">
        <f>IFERROR(('Activity data'!BE87*(1/Constants!$H$135))*ttokg*FracLEACH*MSLeachEF*NtoN2O*kgtoGg,"NO")</f>
        <v>NO</v>
      </c>
      <c r="BF144" s="22" t="str">
        <f>IFERROR(('Activity data'!BF87*(1/Constants!$H$135))*ttokg*FracLEACH*MSLeachEF*NtoN2O*kgtoGg,"NO")</f>
        <v>NO</v>
      </c>
      <c r="BG144" s="22" t="str">
        <f>IFERROR(('Activity data'!BG87*(1/Constants!$H$135))*ttokg*FracLEACH*MSLeachEF*NtoN2O*kgtoGg,"NO")</f>
        <v>NO</v>
      </c>
      <c r="BH144" s="22" t="str">
        <f>IFERROR(('Activity data'!BH87*(1/Constants!$H$135))*ttokg*FracLEACH*MSLeachEF*NtoN2O*kgtoGg,"NO")</f>
        <v>NO</v>
      </c>
      <c r="BI144" s="22" t="str">
        <f>IFERROR(('Activity data'!BI87*(1/Constants!$H$135))*ttokg*FracLEACH*MSLeachEF*NtoN2O*kgtoGg,"NO")</f>
        <v>NO</v>
      </c>
      <c r="BJ144" s="22" t="str">
        <f>IFERROR(('Activity data'!BJ87*(1/Constants!$H$135))*ttokg*FracLEACH*MSLeachEF*NtoN2O*kgtoGg,"NO")</f>
        <v>NO</v>
      </c>
      <c r="BK144" s="22" t="str">
        <f>IFERROR(('Activity data'!BK87*(1/Constants!$H$135))*ttokg*FracLEACH*MSLeachEF*NtoN2O*kgtoGg,"NO")</f>
        <v>NO</v>
      </c>
      <c r="BL144" s="22" t="str">
        <f>IFERROR(('Activity data'!BL87*(1/Constants!$H$135))*ttokg*FracLEACH*MSLeachEF*NtoN2O*kgtoGg,"NO")</f>
        <v>NO</v>
      </c>
      <c r="BM144" s="22" t="str">
        <f>IFERROR(('Activity data'!BM87*(1/Constants!$H$135))*ttokg*FracLEACH*MSLeachEF*NtoN2O*kgtoGg,"NO")</f>
        <v>NO</v>
      </c>
      <c r="BN144" s="22" t="str">
        <f>IFERROR(('Activity data'!BN87*(1/Constants!$H$135))*ttokg*FracLEACH*MSLeachEF*NtoN2O*kgtoGg,"NO")</f>
        <v>NO</v>
      </c>
      <c r="BO144" s="22" t="str">
        <f>IFERROR(('Activity data'!BO87*(1/Constants!$H$135))*ttokg*FracLEACH*MSLeachEF*NtoN2O*kgtoGg,"NO")</f>
        <v>NO</v>
      </c>
      <c r="BP144" s="22" t="str">
        <f>IFERROR(('Activity data'!BP87*(1/Constants!$H$135))*ttokg*FracLEACH*MSLeachEF*NtoN2O*kgtoGg,"NO")</f>
        <v>NO</v>
      </c>
    </row>
    <row r="145" spans="1:68" x14ac:dyDescent="0.25">
      <c r="A145" t="str">
        <f>A144</f>
        <v>3C Aggregated and non-CO2 emissions on land</v>
      </c>
      <c r="B145" t="str">
        <f t="shared" ref="B145" si="56">B144</f>
        <v>3C5 Indirect N2O from managed soils (N2O)</v>
      </c>
      <c r="C145" t="str">
        <f t="shared" si="54"/>
        <v>Leaching/runoff</v>
      </c>
      <c r="D145" t="str">
        <f>" - FSOM - "&amp;'Activity data'!D88</f>
        <v xml:space="preserve"> - FSOM - Land converted to forest land</v>
      </c>
      <c r="E145" t="str">
        <f t="shared" ref="E145" si="57">C145&amp;D145</f>
        <v>Leaching/runoff - FSOM - Land converted to forest land</v>
      </c>
      <c r="F145" t="str">
        <f t="shared" si="47"/>
        <v>N2O</v>
      </c>
      <c r="G145" t="str">
        <f t="shared" si="48"/>
        <v>Gg N2O</v>
      </c>
      <c r="H145" s="22" t="str">
        <f>IFERROR(('Activity data'!H88*(1/Constants!$H$135))*ttokg*FracLEACH*MSLeachEF*NtoN2O*kgtoGg,"NO")</f>
        <v>NO</v>
      </c>
      <c r="I145" s="22" t="str">
        <f>IFERROR(('Activity data'!I88*(1/Constants!$H$135))*ttokg*FracLEACH*MSLeachEF*NtoN2O*kgtoGg,"NO")</f>
        <v>NO</v>
      </c>
      <c r="J145" s="22" t="str">
        <f>IFERROR(('Activity data'!J88*(1/Constants!$H$135))*ttokg*FracLEACH*MSLeachEF*NtoN2O*kgtoGg,"NO")</f>
        <v>NO</v>
      </c>
      <c r="K145" s="22" t="str">
        <f>IFERROR(('Activity data'!K88*(1/Constants!$H$135))*ttokg*FracLEACH*MSLeachEF*NtoN2O*kgtoGg,"NO")</f>
        <v>NO</v>
      </c>
      <c r="L145" s="22" t="str">
        <f>IFERROR(('Activity data'!L88*(1/Constants!$H$135))*ttokg*FracLEACH*MSLeachEF*NtoN2O*kgtoGg,"NO")</f>
        <v>NO</v>
      </c>
      <c r="M145" s="22" t="str">
        <f>IFERROR(('Activity data'!M88*(1/Constants!$H$135))*ttokg*FracLEACH*MSLeachEF*NtoN2O*kgtoGg,"NO")</f>
        <v>NO</v>
      </c>
      <c r="N145" s="22" t="str">
        <f>IFERROR(('Activity data'!N88*(1/Constants!$H$135))*ttokg*FracLEACH*MSLeachEF*NtoN2O*kgtoGg,"NO")</f>
        <v>NO</v>
      </c>
      <c r="O145" s="22" t="str">
        <f>IFERROR(('Activity data'!O88*(1/Constants!$H$135))*ttokg*FracLEACH*MSLeachEF*NtoN2O*kgtoGg,"NO")</f>
        <v>NO</v>
      </c>
      <c r="P145" s="22" t="str">
        <f>IFERROR(('Activity data'!P88*(1/Constants!$H$135))*ttokg*FracLEACH*MSLeachEF*NtoN2O*kgtoGg,"NO")</f>
        <v>NO</v>
      </c>
      <c r="Q145" s="22" t="str">
        <f>IFERROR(('Activity data'!Q88*(1/Constants!$H$135))*ttokg*FracLEACH*MSLeachEF*NtoN2O*kgtoGg,"NO")</f>
        <v>NO</v>
      </c>
      <c r="R145" s="22" t="str">
        <f>IFERROR(('Activity data'!R88*(1/Constants!$H$135))*ttokg*FracLEACH*MSLeachEF*NtoN2O*kgtoGg,"NO")</f>
        <v>NO</v>
      </c>
      <c r="S145" s="22" t="str">
        <f>IFERROR(('Activity data'!S88*(1/Constants!$H$135))*ttokg*FracLEACH*MSLeachEF*NtoN2O*kgtoGg,"NO")</f>
        <v>NO</v>
      </c>
      <c r="T145" s="22" t="str">
        <f>IFERROR(('Activity data'!T88*(1/Constants!$H$135))*ttokg*FracLEACH*MSLeachEF*NtoN2O*kgtoGg,"NO")</f>
        <v>NO</v>
      </c>
      <c r="U145" s="22" t="str">
        <f>IFERROR(('Activity data'!U88*(1/Constants!$H$135))*ttokg*FracLEACH*MSLeachEF*NtoN2O*kgtoGg,"NO")</f>
        <v>NO</v>
      </c>
      <c r="V145" s="22" t="str">
        <f>IFERROR(('Activity data'!V88*(1/Constants!$H$135))*ttokg*FracLEACH*MSLeachEF*NtoN2O*kgtoGg,"NO")</f>
        <v>NO</v>
      </c>
      <c r="W145" s="22" t="str">
        <f>IFERROR(('Activity data'!W88*(1/Constants!$H$135))*ttokg*FracLEACH*MSLeachEF*NtoN2O*kgtoGg,"NO")</f>
        <v>NO</v>
      </c>
      <c r="X145" s="22" t="str">
        <f>IFERROR(('Activity data'!X88*(1/Constants!$H$135))*ttokg*FracLEACH*MSLeachEF*NtoN2O*kgtoGg,"NO")</f>
        <v>NO</v>
      </c>
      <c r="Y145" s="22" t="str">
        <f>IFERROR(('Activity data'!Y88*(1/Constants!$H$135))*ttokg*FracLEACH*MSLeachEF*NtoN2O*kgtoGg,"NO")</f>
        <v>NO</v>
      </c>
      <c r="Z145" s="22" t="str">
        <f>IFERROR(('Activity data'!Z88*(1/Constants!$H$135))*ttokg*FracLEACH*MSLeachEF*NtoN2O*kgtoGg,"NO")</f>
        <v>NO</v>
      </c>
      <c r="AA145" s="22" t="str">
        <f>IFERROR(('Activity data'!AA88*(1/Constants!$H$135))*ttokg*FracLEACH*MSLeachEF*NtoN2O*kgtoGg,"NO")</f>
        <v>NO</v>
      </c>
      <c r="AB145" s="22" t="str">
        <f>IFERROR(('Activity data'!AB88*(1/Constants!$H$135))*ttokg*FracLEACH*MSLeachEF*NtoN2O*kgtoGg,"NO")</f>
        <v>NO</v>
      </c>
      <c r="AC145" s="22" t="str">
        <f>IFERROR(('Activity data'!AC88*(1/Constants!$H$135))*ttokg*FracLEACH*MSLeachEF*NtoN2O*kgtoGg,"NO")</f>
        <v>NO</v>
      </c>
      <c r="AD145" s="22" t="str">
        <f>IFERROR(('Activity data'!AD88*(1/Constants!$H$135))*ttokg*FracLEACH*MSLeachEF*NtoN2O*kgtoGg,"NO")</f>
        <v>NO</v>
      </c>
      <c r="AE145" s="22" t="str">
        <f>IFERROR(('Activity data'!AE88*(1/Constants!$H$135))*ttokg*FracLEACH*MSLeachEF*NtoN2O*kgtoGg,"NO")</f>
        <v>NO</v>
      </c>
      <c r="AF145" s="22" t="str">
        <f>IFERROR(('Activity data'!AF88*(1/Constants!$H$135))*ttokg*FracLEACH*MSLeachEF*NtoN2O*kgtoGg,"NO")</f>
        <v>NO</v>
      </c>
      <c r="AG145" s="22" t="str">
        <f>IFERROR(('Activity data'!AG88*(1/Constants!$H$135))*ttokg*FracLEACH*MSLeachEF*NtoN2O*kgtoGg,"NO")</f>
        <v>NO</v>
      </c>
      <c r="AH145" s="22" t="str">
        <f>IFERROR(('Activity data'!AH88*(1/Constants!$H$135))*ttokg*FracLEACH*MSLeachEF*NtoN2O*kgtoGg,"NO")</f>
        <v>NO</v>
      </c>
      <c r="AI145" s="22" t="str">
        <f>IFERROR(('Activity data'!AI88*(1/Constants!$H$135))*ttokg*FracLEACH*MSLeachEF*NtoN2O*kgtoGg,"NO")</f>
        <v>NO</v>
      </c>
      <c r="AJ145" s="22" t="str">
        <f>IFERROR(('Activity data'!AJ88*(1/Constants!$H$135))*ttokg*FracLEACH*MSLeachEF*NtoN2O*kgtoGg,"NO")</f>
        <v>NO</v>
      </c>
      <c r="AK145" s="22" t="str">
        <f>IFERROR(('Activity data'!AK88*(1/Constants!$H$135))*ttokg*FracLEACH*MSLeachEF*NtoN2O*kgtoGg,"NO")</f>
        <v>NO</v>
      </c>
      <c r="AL145" s="22" t="str">
        <f>IFERROR(('Activity data'!AL88*(1/Constants!$H$135))*ttokg*FracLEACH*MSLeachEF*NtoN2O*kgtoGg,"NO")</f>
        <v>NO</v>
      </c>
      <c r="AM145" s="22" t="str">
        <f>IFERROR(('Activity data'!AM88*(1/Constants!$H$135))*ttokg*FracLEACH*MSLeachEF*NtoN2O*kgtoGg,"NO")</f>
        <v>NO</v>
      </c>
      <c r="AN145" s="22" t="str">
        <f>IFERROR(('Activity data'!AN88*(1/Constants!$H$135))*ttokg*FracLEACH*MSLeachEF*NtoN2O*kgtoGg,"NO")</f>
        <v>NO</v>
      </c>
      <c r="AO145" s="22" t="str">
        <f>IFERROR(('Activity data'!AO88*(1/Constants!$H$135))*ttokg*FracLEACH*MSLeachEF*NtoN2O*kgtoGg,"NO")</f>
        <v>NO</v>
      </c>
      <c r="AP145" s="22" t="str">
        <f>IFERROR(('Activity data'!AP88*(1/Constants!$H$135))*ttokg*FracLEACH*MSLeachEF*NtoN2O*kgtoGg,"NO")</f>
        <v>NO</v>
      </c>
      <c r="AQ145" s="22" t="str">
        <f>IFERROR(('Activity data'!AQ88*(1/Constants!$H$135))*ttokg*FracLEACH*MSLeachEF*NtoN2O*kgtoGg,"NO")</f>
        <v>NO</v>
      </c>
      <c r="AR145" s="22" t="str">
        <f>IFERROR(('Activity data'!AR88*(1/Constants!$H$135))*ttokg*FracLEACH*MSLeachEF*NtoN2O*kgtoGg,"NO")</f>
        <v>NO</v>
      </c>
      <c r="AS145" s="22" t="str">
        <f>IFERROR(('Activity data'!AS88*(1/Constants!$H$135))*ttokg*FracLEACH*MSLeachEF*NtoN2O*kgtoGg,"NO")</f>
        <v>NO</v>
      </c>
      <c r="AT145" s="22" t="str">
        <f>IFERROR(('Activity data'!AT88*(1/Constants!$H$135))*ttokg*FracLEACH*MSLeachEF*NtoN2O*kgtoGg,"NO")</f>
        <v>NO</v>
      </c>
      <c r="AU145" s="22" t="str">
        <f>IFERROR(('Activity data'!AU88*(1/Constants!$H$135))*ttokg*FracLEACH*MSLeachEF*NtoN2O*kgtoGg,"NO")</f>
        <v>NO</v>
      </c>
      <c r="AV145" s="22" t="str">
        <f>IFERROR(('Activity data'!AV88*(1/Constants!$H$135))*ttokg*FracLEACH*MSLeachEF*NtoN2O*kgtoGg,"NO")</f>
        <v>NO</v>
      </c>
      <c r="AW145" s="22" t="str">
        <f>IFERROR(('Activity data'!AW88*(1/Constants!$H$135))*ttokg*FracLEACH*MSLeachEF*NtoN2O*kgtoGg,"NO")</f>
        <v>NO</v>
      </c>
      <c r="AX145" s="22" t="str">
        <f>IFERROR(('Activity data'!AX88*(1/Constants!$H$135))*ttokg*FracLEACH*MSLeachEF*NtoN2O*kgtoGg,"NO")</f>
        <v>NO</v>
      </c>
      <c r="AY145" s="22" t="str">
        <f>IFERROR(('Activity data'!AY88*(1/Constants!$H$135))*ttokg*FracLEACH*MSLeachEF*NtoN2O*kgtoGg,"NO")</f>
        <v>NO</v>
      </c>
      <c r="AZ145" s="22" t="str">
        <f>IFERROR(('Activity data'!AZ88*(1/Constants!$H$135))*ttokg*FracLEACH*MSLeachEF*NtoN2O*kgtoGg,"NO")</f>
        <v>NO</v>
      </c>
      <c r="BA145" s="22" t="str">
        <f>IFERROR(('Activity data'!BA88*(1/Constants!$H$135))*ttokg*FracLEACH*MSLeachEF*NtoN2O*kgtoGg,"NO")</f>
        <v>NO</v>
      </c>
      <c r="BB145" s="22" t="str">
        <f>IFERROR(('Activity data'!BB88*(1/Constants!$H$135))*ttokg*FracLEACH*MSLeachEF*NtoN2O*kgtoGg,"NO")</f>
        <v>NO</v>
      </c>
      <c r="BC145" s="22" t="str">
        <f>IFERROR(('Activity data'!BC88*(1/Constants!$H$135))*ttokg*FracLEACH*MSLeachEF*NtoN2O*kgtoGg,"NO")</f>
        <v>NO</v>
      </c>
      <c r="BD145" s="22" t="str">
        <f>IFERROR(('Activity data'!BD88*(1/Constants!$H$135))*ttokg*FracLEACH*MSLeachEF*NtoN2O*kgtoGg,"NO")</f>
        <v>NO</v>
      </c>
      <c r="BE145" s="22" t="str">
        <f>IFERROR(('Activity data'!BE88*(1/Constants!$H$135))*ttokg*FracLEACH*MSLeachEF*NtoN2O*kgtoGg,"NO")</f>
        <v>NO</v>
      </c>
      <c r="BF145" s="22" t="str">
        <f>IFERROR(('Activity data'!BF88*(1/Constants!$H$135))*ttokg*FracLEACH*MSLeachEF*NtoN2O*kgtoGg,"NO")</f>
        <v>NO</v>
      </c>
      <c r="BG145" s="22" t="str">
        <f>IFERROR(('Activity data'!BG88*(1/Constants!$H$135))*ttokg*FracLEACH*MSLeachEF*NtoN2O*kgtoGg,"NO")</f>
        <v>NO</v>
      </c>
      <c r="BH145" s="22" t="str">
        <f>IFERROR(('Activity data'!BH88*(1/Constants!$H$135))*ttokg*FracLEACH*MSLeachEF*NtoN2O*kgtoGg,"NO")</f>
        <v>NO</v>
      </c>
      <c r="BI145" s="22" t="str">
        <f>IFERROR(('Activity data'!BI88*(1/Constants!$H$135))*ttokg*FracLEACH*MSLeachEF*NtoN2O*kgtoGg,"NO")</f>
        <v>NO</v>
      </c>
      <c r="BJ145" s="22" t="str">
        <f>IFERROR(('Activity data'!BJ88*(1/Constants!$H$135))*ttokg*FracLEACH*MSLeachEF*NtoN2O*kgtoGg,"NO")</f>
        <v>NO</v>
      </c>
      <c r="BK145" s="22" t="str">
        <f>IFERROR(('Activity data'!BK88*(1/Constants!$H$135))*ttokg*FracLEACH*MSLeachEF*NtoN2O*kgtoGg,"NO")</f>
        <v>NO</v>
      </c>
      <c r="BL145" s="22" t="str">
        <f>IFERROR(('Activity data'!BL88*(1/Constants!$H$135))*ttokg*FracLEACH*MSLeachEF*NtoN2O*kgtoGg,"NO")</f>
        <v>NO</v>
      </c>
      <c r="BM145" s="22" t="str">
        <f>IFERROR(('Activity data'!BM88*(1/Constants!$H$135))*ttokg*FracLEACH*MSLeachEF*NtoN2O*kgtoGg,"NO")</f>
        <v>NO</v>
      </c>
      <c r="BN145" s="22" t="str">
        <f>IFERROR(('Activity data'!BN88*(1/Constants!$H$135))*ttokg*FracLEACH*MSLeachEF*NtoN2O*kgtoGg,"NO")</f>
        <v>NO</v>
      </c>
      <c r="BO145" s="22" t="str">
        <f>IFERROR(('Activity data'!BO88*(1/Constants!$H$135))*ttokg*FracLEACH*MSLeachEF*NtoN2O*kgtoGg,"NO")</f>
        <v>NO</v>
      </c>
      <c r="BP145" s="22" t="str">
        <f>IFERROR(('Activity data'!BP88*(1/Constants!$H$135))*ttokg*FracLEACH*MSLeachEF*NtoN2O*kgtoGg,"NO")</f>
        <v>NO</v>
      </c>
    </row>
    <row r="146" spans="1:68" x14ac:dyDescent="0.25">
      <c r="A146" t="str">
        <f t="shared" ref="A146:A187" si="58">A145</f>
        <v>3C Aggregated and non-CO2 emissions on land</v>
      </c>
      <c r="B146" t="str">
        <f t="shared" ref="B146:B155" si="59">B145</f>
        <v>3C5 Indirect N2O from managed soils (N2O)</v>
      </c>
      <c r="C146" t="str">
        <f t="shared" si="54"/>
        <v>Leaching/runoff</v>
      </c>
      <c r="D146" t="str">
        <f>" - FSOM - "&amp;'Activity data'!D89</f>
        <v xml:space="preserve"> - FSOM - Cropland remaining cropland</v>
      </c>
      <c r="E146" t="str">
        <f t="shared" ref="E146:E155" si="60">C146&amp;D146</f>
        <v>Leaching/runoff - FSOM - Cropland remaining cropland</v>
      </c>
      <c r="F146" t="str">
        <f t="shared" si="47"/>
        <v>N2O</v>
      </c>
      <c r="G146" t="str">
        <f t="shared" si="48"/>
        <v>Gg N2O</v>
      </c>
      <c r="H146" s="22" t="str">
        <f>IFERROR(('Activity data'!H89*(1/Constants!$H$135))*ttokg*FracLEACH*MSLeachEF*NtoN2O*kgtoGg,"NO")</f>
        <v>NO</v>
      </c>
      <c r="I146" s="22">
        <f>IFERROR(('Activity data'!I89*(1/Constants!$H$135))*ttokg*FracLEACH*MSLeachEF*NtoN2O*kgtoGg,"NO")</f>
        <v>1.5321378839843239E-5</v>
      </c>
      <c r="J146" s="22">
        <f>IFERROR(('Activity data'!J89*(1/Constants!$H$135))*ttokg*FracLEACH*MSLeachEF*NtoN2O*kgtoGg,"NO")</f>
        <v>1.5321378839843239E-5</v>
      </c>
      <c r="K146" s="22">
        <f>IFERROR(('Activity data'!K89*(1/Constants!$H$135))*ttokg*FracLEACH*MSLeachEF*NtoN2O*kgtoGg,"NO")</f>
        <v>1.5321378839843239E-5</v>
      </c>
      <c r="L146" s="22">
        <f>IFERROR(('Activity data'!L89*(1/Constants!$H$135))*ttokg*FracLEACH*MSLeachEF*NtoN2O*kgtoGg,"NO")</f>
        <v>1.5321378839843239E-5</v>
      </c>
      <c r="M146" s="22">
        <f>IFERROR(('Activity data'!M89*(1/Constants!$H$135))*ttokg*FracLEACH*MSLeachEF*NtoN2O*kgtoGg,"NO")</f>
        <v>1.5321378839843239E-5</v>
      </c>
      <c r="N146" s="22">
        <f>IFERROR(('Activity data'!N89*(1/Constants!$H$135))*ttokg*FracLEACH*MSLeachEF*NtoN2O*kgtoGg,"NO")</f>
        <v>1.5321378839843239E-5</v>
      </c>
      <c r="O146" s="22">
        <f>IFERROR(('Activity data'!O89*(1/Constants!$H$135))*ttokg*FracLEACH*MSLeachEF*NtoN2O*kgtoGg,"NO")</f>
        <v>1.5321378839843239E-5</v>
      </c>
      <c r="P146" s="22">
        <f>IFERROR(('Activity data'!P89*(1/Constants!$H$135))*ttokg*FracLEACH*MSLeachEF*NtoN2O*kgtoGg,"NO")</f>
        <v>1.5321378839843239E-5</v>
      </c>
      <c r="Q146" s="22">
        <f>IFERROR(('Activity data'!Q89*(1/Constants!$H$135))*ttokg*FracLEACH*MSLeachEF*NtoN2O*kgtoGg,"NO")</f>
        <v>1.5321378839843239E-5</v>
      </c>
      <c r="R146" s="22">
        <f>IFERROR(('Activity data'!R89*(1/Constants!$H$135))*ttokg*FracLEACH*MSLeachEF*NtoN2O*kgtoGg,"NO")</f>
        <v>1.5321378839843239E-5</v>
      </c>
      <c r="S146" s="22">
        <f>IFERROR(('Activity data'!S89*(1/Constants!$H$135))*ttokg*FracLEACH*MSLeachEF*NtoN2O*kgtoGg,"NO")</f>
        <v>1.5321378839843239E-5</v>
      </c>
      <c r="T146" s="22">
        <f>IFERROR(('Activity data'!T89*(1/Constants!$H$135))*ttokg*FracLEACH*MSLeachEF*NtoN2O*kgtoGg,"NO")</f>
        <v>1.5321378839843239E-5</v>
      </c>
      <c r="U146" s="22">
        <f>IFERROR(('Activity data'!U89*(1/Constants!$H$135))*ttokg*FracLEACH*MSLeachEF*NtoN2O*kgtoGg,"NO")</f>
        <v>1.5321378839843239E-5</v>
      </c>
      <c r="V146" s="22">
        <f>IFERROR(('Activity data'!V89*(1/Constants!$H$135))*ttokg*FracLEACH*MSLeachEF*NtoN2O*kgtoGg,"NO")</f>
        <v>1.5321378839843239E-5</v>
      </c>
      <c r="W146" s="22">
        <f>IFERROR(('Activity data'!W89*(1/Constants!$H$135))*ttokg*FracLEACH*MSLeachEF*NtoN2O*kgtoGg,"NO")</f>
        <v>1.5321378839843239E-5</v>
      </c>
      <c r="X146" s="22">
        <f>IFERROR(('Activity data'!X89*(1/Constants!$H$135))*ttokg*FracLEACH*MSLeachEF*NtoN2O*kgtoGg,"NO")</f>
        <v>1.5321378839843239E-5</v>
      </c>
      <c r="Y146" s="22">
        <f>IFERROR(('Activity data'!Y89*(1/Constants!$H$135))*ttokg*FracLEACH*MSLeachEF*NtoN2O*kgtoGg,"NO")</f>
        <v>1.5321378839843239E-5</v>
      </c>
      <c r="Z146" s="22">
        <f>IFERROR(('Activity data'!Z89*(1/Constants!$H$135))*ttokg*FracLEACH*MSLeachEF*NtoN2O*kgtoGg,"NO")</f>
        <v>1.5321378839843239E-5</v>
      </c>
      <c r="AA146" s="22">
        <f>IFERROR(('Activity data'!AA89*(1/Constants!$H$135))*ttokg*FracLEACH*MSLeachEF*NtoN2O*kgtoGg,"NO")</f>
        <v>1.5321378839843239E-5</v>
      </c>
      <c r="AB146" s="22">
        <f>IFERROR(('Activity data'!AB89*(1/Constants!$H$135))*ttokg*FracLEACH*MSLeachEF*NtoN2O*kgtoGg,"NO")</f>
        <v>1.5321378839843239E-5</v>
      </c>
      <c r="AC146" s="22">
        <f>IFERROR(('Activity data'!AC89*(1/Constants!$H$135))*ttokg*FracLEACH*MSLeachEF*NtoN2O*kgtoGg,"NO")</f>
        <v>1.5321378839843239E-5</v>
      </c>
      <c r="AD146" s="22">
        <f>IFERROR(('Activity data'!AD89*(1/Constants!$H$135))*ttokg*FracLEACH*MSLeachEF*NtoN2O*kgtoGg,"NO")</f>
        <v>1.1867590793806392E-4</v>
      </c>
      <c r="AE146" s="22">
        <f>IFERROR(('Activity data'!AE89*(1/Constants!$H$135))*ttokg*FracLEACH*MSLeachEF*NtoN2O*kgtoGg,"NO")</f>
        <v>1.1853617037070301E-4</v>
      </c>
      <c r="AF146" s="22">
        <f>IFERROR(('Activity data'!AF89*(1/Constants!$H$135))*ttokg*FracLEACH*MSLeachEF*NtoN2O*kgtoGg,"NO")</f>
        <v>1.1839643280334203E-4</v>
      </c>
      <c r="AG146" s="22">
        <f>IFERROR(('Activity data'!AG89*(1/Constants!$H$135))*ttokg*FracLEACH*MSLeachEF*NtoN2O*kgtoGg,"NO")</f>
        <v>1.1825669523598106E-4</v>
      </c>
      <c r="AH146" s="22">
        <f>IFERROR(('Activity data'!AH89*(1/Constants!$H$135))*ttokg*FracLEACH*MSLeachEF*NtoN2O*kgtoGg,"NO")</f>
        <v>1.1811695766862012E-4</v>
      </c>
      <c r="AI146" s="22">
        <f>IFERROR(('Activity data'!AI89*(1/Constants!$H$135))*ttokg*FracLEACH*MSLeachEF*NtoN2O*kgtoGg,"NO")</f>
        <v>1.1797722010125916E-4</v>
      </c>
      <c r="AJ146" s="22">
        <f>IFERROR(('Activity data'!AJ89*(1/Constants!$H$135))*ttokg*FracLEACH*MSLeachEF*NtoN2O*kgtoGg,"NO")</f>
        <v>1.178374825338982E-4</v>
      </c>
      <c r="AK146" s="22">
        <f>IFERROR(('Activity data'!AK89*(1/Constants!$H$135))*ttokg*FracLEACH*MSLeachEF*NtoN2O*kgtoGg,"NO")</f>
        <v>1.1769774496653728E-4</v>
      </c>
      <c r="AL146" s="22">
        <f>IFERROR(('Activity data'!AL89*(1/Constants!$H$135))*ttokg*FracLEACH*MSLeachEF*NtoN2O*kgtoGg,"NO")</f>
        <v>1.1755800739917633E-4</v>
      </c>
      <c r="AM146" s="22">
        <f>IFERROR(('Activity data'!AM89*(1/Constants!$H$135))*ttokg*FracLEACH*MSLeachEF*NtoN2O*kgtoGg,"NO")</f>
        <v>1.174182698318154E-4</v>
      </c>
      <c r="AN146" s="22">
        <f>IFERROR(('Activity data'!AN89*(1/Constants!$H$135))*ttokg*FracLEACH*MSLeachEF*NtoN2O*kgtoGg,"NO")</f>
        <v>1.1727853226445441E-4</v>
      </c>
      <c r="AO146" s="22">
        <f>IFERROR(('Activity data'!AO89*(1/Constants!$H$135))*ttokg*FracLEACH*MSLeachEF*NtoN2O*kgtoGg,"NO")</f>
        <v>1.1713879469709348E-4</v>
      </c>
      <c r="AP146" s="22">
        <f>IFERROR(('Activity data'!AP89*(1/Constants!$H$135))*ttokg*FracLEACH*MSLeachEF*NtoN2O*kgtoGg,"NO")</f>
        <v>1.1699905712973254E-4</v>
      </c>
      <c r="AQ146" s="22">
        <f>IFERROR(('Activity data'!AQ89*(1/Constants!$H$135))*ttokg*FracLEACH*MSLeachEF*NtoN2O*kgtoGg,"NO")</f>
        <v>1.168593195623716E-4</v>
      </c>
      <c r="AR146" s="22">
        <f>IFERROR(('Activity data'!AR89*(1/Constants!$H$135))*ttokg*FracLEACH*MSLeachEF*NtoN2O*kgtoGg,"NO")</f>
        <v>1.1671958199501069E-4</v>
      </c>
      <c r="AS146" s="22">
        <f>IFERROR(('Activity data'!AS89*(1/Constants!$H$135))*ttokg*FracLEACH*MSLeachEF*NtoN2O*kgtoGg,"NO")</f>
        <v>1.1657984442764968E-4</v>
      </c>
      <c r="AT146" s="22">
        <f>IFERROR(('Activity data'!AT89*(1/Constants!$H$135))*ttokg*FracLEACH*MSLeachEF*NtoN2O*kgtoGg,"NO")</f>
        <v>1.1644010686028878E-4</v>
      </c>
      <c r="AU146" s="22">
        <f>IFERROR(('Activity data'!AU89*(1/Constants!$H$135))*ttokg*FracLEACH*MSLeachEF*NtoN2O*kgtoGg,"NO")</f>
        <v>1.1630036929292779E-4</v>
      </c>
      <c r="AV146" s="22">
        <f>IFERROR(('Activity data'!AV89*(1/Constants!$H$135))*ttokg*FracLEACH*MSLeachEF*NtoN2O*kgtoGg,"NO")</f>
        <v>1.1616063172556689E-4</v>
      </c>
      <c r="AW146" s="22">
        <f>IFERROR(('Activity data'!AW89*(1/Constants!$H$135))*ttokg*FracLEACH*MSLeachEF*NtoN2O*kgtoGg,"NO")</f>
        <v>1.1602089415820588E-4</v>
      </c>
      <c r="AX146" s="22">
        <f>IFERROR(('Activity data'!AX89*(1/Constants!$H$135))*ttokg*FracLEACH*MSLeachEF*NtoN2O*kgtoGg,"NO")</f>
        <v>1.1588115659084502E-4</v>
      </c>
      <c r="AY146" s="22">
        <f>IFERROR(('Activity data'!AY89*(1/Constants!$H$135))*ttokg*FracLEACH*MSLeachEF*NtoN2O*kgtoGg,"NO")</f>
        <v>1.1574141902348403E-4</v>
      </c>
      <c r="AZ146" s="22">
        <f>IFERROR(('Activity data'!AZ89*(1/Constants!$H$135))*ttokg*FracLEACH*MSLeachEF*NtoN2O*kgtoGg,"NO")</f>
        <v>1.1560168145612309E-4</v>
      </c>
      <c r="BA146" s="22">
        <f>IFERROR(('Activity data'!BA89*(1/Constants!$H$135))*ttokg*FracLEACH*MSLeachEF*NtoN2O*kgtoGg,"NO")</f>
        <v>1.154619438887621E-4</v>
      </c>
      <c r="BB146" s="22">
        <f>IFERROR(('Activity data'!BB89*(1/Constants!$H$135))*ttokg*FracLEACH*MSLeachEF*NtoN2O*kgtoGg,"NO")</f>
        <v>1.1532220632140118E-4</v>
      </c>
      <c r="BC146" s="22">
        <f>IFERROR(('Activity data'!BC89*(1/Constants!$H$135))*ttokg*FracLEACH*MSLeachEF*NtoN2O*kgtoGg,"NO")</f>
        <v>1.1518246875404022E-4</v>
      </c>
      <c r="BD146" s="22">
        <f>IFERROR(('Activity data'!BD89*(1/Constants!$H$135))*ttokg*FracLEACH*MSLeachEF*NtoN2O*kgtoGg,"NO")</f>
        <v>1.1504273118667928E-4</v>
      </c>
      <c r="BE146" s="22">
        <f>IFERROR(('Activity data'!BE89*(1/Constants!$H$135))*ttokg*FracLEACH*MSLeachEF*NtoN2O*kgtoGg,"NO")</f>
        <v>1.1490299361931835E-4</v>
      </c>
      <c r="BF146" s="22">
        <f>IFERROR(('Activity data'!BF89*(1/Constants!$H$135))*ttokg*FracLEACH*MSLeachEF*NtoN2O*kgtoGg,"NO")</f>
        <v>1.1476325605195744E-4</v>
      </c>
      <c r="BG146" s="22">
        <f>IFERROR(('Activity data'!BG89*(1/Constants!$H$135))*ttokg*FracLEACH*MSLeachEF*NtoN2O*kgtoGg,"NO")</f>
        <v>1.1462351848459642E-4</v>
      </c>
      <c r="BH146" s="22">
        <f>IFERROR(('Activity data'!BH89*(1/Constants!$H$135))*ttokg*FracLEACH*MSLeachEF*NtoN2O*kgtoGg,"NO")</f>
        <v>1.1448378091723552E-4</v>
      </c>
      <c r="BI146" s="22">
        <f>IFERROR(('Activity data'!BI89*(1/Constants!$H$135))*ttokg*FracLEACH*MSLeachEF*NtoN2O*kgtoGg,"NO")</f>
        <v>1.1434404334987458E-4</v>
      </c>
      <c r="BJ146" s="22">
        <f>IFERROR(('Activity data'!BJ89*(1/Constants!$H$135))*ttokg*FracLEACH*MSLeachEF*NtoN2O*kgtoGg,"NO")</f>
        <v>1.1420430578251366E-4</v>
      </c>
      <c r="BK146" s="22">
        <f>IFERROR(('Activity data'!BK89*(1/Constants!$H$135))*ttokg*FracLEACH*MSLeachEF*NtoN2O*kgtoGg,"NO")</f>
        <v>1.1406456821515268E-4</v>
      </c>
      <c r="BL146" s="22">
        <f>IFERROR(('Activity data'!BL89*(1/Constants!$H$135))*ttokg*FracLEACH*MSLeachEF*NtoN2O*kgtoGg,"NO")</f>
        <v>1.1392483064779174E-4</v>
      </c>
      <c r="BM146" s="22">
        <f>IFERROR(('Activity data'!BM89*(1/Constants!$H$135))*ttokg*FracLEACH*MSLeachEF*NtoN2O*kgtoGg,"NO")</f>
        <v>1.1378509308043078E-4</v>
      </c>
      <c r="BN146" s="22">
        <f>IFERROR(('Activity data'!BN89*(1/Constants!$H$135))*ttokg*FracLEACH*MSLeachEF*NtoN2O*kgtoGg,"NO")</f>
        <v>1.136453555130698E-4</v>
      </c>
      <c r="BO146" s="22">
        <f>IFERROR(('Activity data'!BO89*(1/Constants!$H$135))*ttokg*FracLEACH*MSLeachEF*NtoN2O*kgtoGg,"NO")</f>
        <v>1.1350561794570888E-4</v>
      </c>
      <c r="BP146" s="22">
        <f>IFERROR(('Activity data'!BP89*(1/Constants!$H$135))*ttokg*FracLEACH*MSLeachEF*NtoN2O*kgtoGg,"NO")</f>
        <v>1.1336588037834792E-4</v>
      </c>
    </row>
    <row r="147" spans="1:68" x14ac:dyDescent="0.25">
      <c r="A147" t="str">
        <f t="shared" si="58"/>
        <v>3C Aggregated and non-CO2 emissions on land</v>
      </c>
      <c r="B147" t="str">
        <f t="shared" si="59"/>
        <v>3C5 Indirect N2O from managed soils (N2O)</v>
      </c>
      <c r="C147" t="str">
        <f t="shared" si="54"/>
        <v>Leaching/runoff</v>
      </c>
      <c r="D147" t="str">
        <f>" - FSOM - "&amp;'Activity data'!D90</f>
        <v xml:space="preserve"> - FSOM - Land converted to cropland</v>
      </c>
      <c r="E147" t="str">
        <f t="shared" si="60"/>
        <v>Leaching/runoff - FSOM - Land converted to cropland</v>
      </c>
      <c r="F147" t="str">
        <f t="shared" si="47"/>
        <v>N2O</v>
      </c>
      <c r="G147" t="str">
        <f t="shared" si="48"/>
        <v>Gg N2O</v>
      </c>
      <c r="H147" s="22" t="str">
        <f>IFERROR(('Activity data'!H90*(1/Constants!$H$135))*ttokg*FracLEACH*MSLeachEF*NtoN2O*kgtoGg,"NO")</f>
        <v>NO</v>
      </c>
      <c r="I147" s="22">
        <f>IFERROR(('Activity data'!I90*(1/Constants!$H$135))*ttokg*FracLEACH*MSLeachEF*NtoN2O*kgtoGg,"NO")</f>
        <v>1.598450121782432E-3</v>
      </c>
      <c r="J147" s="22">
        <f>IFERROR(('Activity data'!J90*(1/Constants!$H$135))*ttokg*FracLEACH*MSLeachEF*NtoN2O*kgtoGg,"NO")</f>
        <v>1.598450121782432E-3</v>
      </c>
      <c r="K147" s="22">
        <f>IFERROR(('Activity data'!K90*(1/Constants!$H$135))*ttokg*FracLEACH*MSLeachEF*NtoN2O*kgtoGg,"NO")</f>
        <v>1.598450121782432E-3</v>
      </c>
      <c r="L147" s="22">
        <f>IFERROR(('Activity data'!L90*(1/Constants!$H$135))*ttokg*FracLEACH*MSLeachEF*NtoN2O*kgtoGg,"NO")</f>
        <v>1.598450121782432E-3</v>
      </c>
      <c r="M147" s="22">
        <f>IFERROR(('Activity data'!M90*(1/Constants!$H$135))*ttokg*FracLEACH*MSLeachEF*NtoN2O*kgtoGg,"NO")</f>
        <v>1.598450121782432E-3</v>
      </c>
      <c r="N147" s="22">
        <f>IFERROR(('Activity data'!N90*(1/Constants!$H$135))*ttokg*FracLEACH*MSLeachEF*NtoN2O*kgtoGg,"NO")</f>
        <v>1.598450121782432E-3</v>
      </c>
      <c r="O147" s="22">
        <f>IFERROR(('Activity data'!O90*(1/Constants!$H$135))*ttokg*FracLEACH*MSLeachEF*NtoN2O*kgtoGg,"NO")</f>
        <v>1.598450121782432E-3</v>
      </c>
      <c r="P147" s="22">
        <f>IFERROR(('Activity data'!P90*(1/Constants!$H$135))*ttokg*FracLEACH*MSLeachEF*NtoN2O*kgtoGg,"NO")</f>
        <v>1.598450121782432E-3</v>
      </c>
      <c r="Q147" s="22">
        <f>IFERROR(('Activity data'!Q90*(1/Constants!$H$135))*ttokg*FracLEACH*MSLeachEF*NtoN2O*kgtoGg,"NO")</f>
        <v>1.598450121782432E-3</v>
      </c>
      <c r="R147" s="22">
        <f>IFERROR(('Activity data'!R90*(1/Constants!$H$135))*ttokg*FracLEACH*MSLeachEF*NtoN2O*kgtoGg,"NO")</f>
        <v>1.598450121782432E-3</v>
      </c>
      <c r="S147" s="22">
        <f>IFERROR(('Activity data'!S90*(1/Constants!$H$135))*ttokg*FracLEACH*MSLeachEF*NtoN2O*kgtoGg,"NO")</f>
        <v>1.598450121782432E-3</v>
      </c>
      <c r="T147" s="22">
        <f>IFERROR(('Activity data'!T90*(1/Constants!$H$135))*ttokg*FracLEACH*MSLeachEF*NtoN2O*kgtoGg,"NO")</f>
        <v>1.598450121782432E-3</v>
      </c>
      <c r="U147" s="22">
        <f>IFERROR(('Activity data'!U90*(1/Constants!$H$135))*ttokg*FracLEACH*MSLeachEF*NtoN2O*kgtoGg,"NO")</f>
        <v>1.598450121782432E-3</v>
      </c>
      <c r="V147" s="22">
        <f>IFERROR(('Activity data'!V90*(1/Constants!$H$135))*ttokg*FracLEACH*MSLeachEF*NtoN2O*kgtoGg,"NO")</f>
        <v>1.598450121782432E-3</v>
      </c>
      <c r="W147" s="22">
        <f>IFERROR(('Activity data'!W90*(1/Constants!$H$135))*ttokg*FracLEACH*MSLeachEF*NtoN2O*kgtoGg,"NO")</f>
        <v>1.598450121782432E-3</v>
      </c>
      <c r="X147" s="22">
        <f>IFERROR(('Activity data'!X90*(1/Constants!$H$135))*ttokg*FracLEACH*MSLeachEF*NtoN2O*kgtoGg,"NO")</f>
        <v>1.598450121782432E-3</v>
      </c>
      <c r="Y147" s="22">
        <f>IFERROR(('Activity data'!Y90*(1/Constants!$H$135))*ttokg*FracLEACH*MSLeachEF*NtoN2O*kgtoGg,"NO")</f>
        <v>1.598450121782432E-3</v>
      </c>
      <c r="Z147" s="22">
        <f>IFERROR(('Activity data'!Z90*(1/Constants!$H$135))*ttokg*FracLEACH*MSLeachEF*NtoN2O*kgtoGg,"NO")</f>
        <v>1.598450121782432E-3</v>
      </c>
      <c r="AA147" s="22">
        <f>IFERROR(('Activity data'!AA90*(1/Constants!$H$135))*ttokg*FracLEACH*MSLeachEF*NtoN2O*kgtoGg,"NO")</f>
        <v>1.598450121782432E-3</v>
      </c>
      <c r="AB147" s="22">
        <f>IFERROR(('Activity data'!AB90*(1/Constants!$H$135))*ttokg*FracLEACH*MSLeachEF*NtoN2O*kgtoGg,"NO")</f>
        <v>1.598450121782432E-3</v>
      </c>
      <c r="AC147" s="22">
        <f>IFERROR(('Activity data'!AC90*(1/Constants!$H$135))*ttokg*FracLEACH*MSLeachEF*NtoN2O*kgtoGg,"NO")</f>
        <v>1.598450121782432E-3</v>
      </c>
      <c r="AD147" s="22">
        <f>IFERROR(('Activity data'!AD90*(1/Constants!$H$135))*ttokg*FracLEACH*MSLeachEF*NtoN2O*kgtoGg,"NO")</f>
        <v>1.6912231388729011E-2</v>
      </c>
      <c r="AE147" s="22">
        <f>IFERROR(('Activity data'!AE90*(1/Constants!$H$135))*ttokg*FracLEACH*MSLeachEF*NtoN2O*kgtoGg,"NO")</f>
        <v>1.6951420148247919E-2</v>
      </c>
      <c r="AF147" s="22">
        <f>IFERROR(('Activity data'!AF90*(1/Constants!$H$135))*ttokg*FracLEACH*MSLeachEF*NtoN2O*kgtoGg,"NO")</f>
        <v>1.6990608907766828E-2</v>
      </c>
      <c r="AG147" s="22">
        <f>IFERROR(('Activity data'!AG90*(1/Constants!$H$135))*ttokg*FracLEACH*MSLeachEF*NtoN2O*kgtoGg,"NO")</f>
        <v>1.702979766728574E-2</v>
      </c>
      <c r="AH147" s="22">
        <f>IFERROR(('Activity data'!AH90*(1/Constants!$H$135))*ttokg*FracLEACH*MSLeachEF*NtoN2O*kgtoGg,"NO")</f>
        <v>1.7068986426804648E-2</v>
      </c>
      <c r="AI147" s="22">
        <f>IFERROR(('Activity data'!AI90*(1/Constants!$H$135))*ttokg*FracLEACH*MSLeachEF*NtoN2O*kgtoGg,"NO")</f>
        <v>1.7108175186323554E-2</v>
      </c>
      <c r="AJ147" s="22">
        <f>IFERROR(('Activity data'!AJ90*(1/Constants!$H$135))*ttokg*FracLEACH*MSLeachEF*NtoN2O*kgtoGg,"NO")</f>
        <v>1.7147363945842466E-2</v>
      </c>
      <c r="AK147" s="22">
        <f>IFERROR(('Activity data'!AK90*(1/Constants!$H$135))*ttokg*FracLEACH*MSLeachEF*NtoN2O*kgtoGg,"NO")</f>
        <v>1.7186552705361371E-2</v>
      </c>
      <c r="AL147" s="22">
        <f>IFERROR(('Activity data'!AL90*(1/Constants!$H$135))*ttokg*FracLEACH*MSLeachEF*NtoN2O*kgtoGg,"NO")</f>
        <v>1.7225741464880276E-2</v>
      </c>
      <c r="AM147" s="22">
        <f>IFERROR(('Activity data'!AM90*(1/Constants!$H$135))*ttokg*FracLEACH*MSLeachEF*NtoN2O*kgtoGg,"NO")</f>
        <v>1.7264930224399191E-2</v>
      </c>
      <c r="AN147" s="22">
        <f>IFERROR(('Activity data'!AN90*(1/Constants!$H$135))*ttokg*FracLEACH*MSLeachEF*NtoN2O*kgtoGg,"NO")</f>
        <v>1.7304118983918097E-2</v>
      </c>
      <c r="AO147" s="22">
        <f>IFERROR(('Activity data'!AO90*(1/Constants!$H$135))*ttokg*FracLEACH*MSLeachEF*NtoN2O*kgtoGg,"NO")</f>
        <v>1.7343307743437009E-2</v>
      </c>
      <c r="AP147" s="22">
        <f>IFERROR(('Activity data'!AP90*(1/Constants!$H$135))*ttokg*FracLEACH*MSLeachEF*NtoN2O*kgtoGg,"NO")</f>
        <v>1.7382496502955917E-2</v>
      </c>
      <c r="AQ147" s="22">
        <f>IFERROR(('Activity data'!AQ90*(1/Constants!$H$135))*ttokg*FracLEACH*MSLeachEF*NtoN2O*kgtoGg,"NO")</f>
        <v>1.7421685262474829E-2</v>
      </c>
      <c r="AR147" s="22">
        <f>IFERROR(('Activity data'!AR90*(1/Constants!$H$135))*ttokg*FracLEACH*MSLeachEF*NtoN2O*kgtoGg,"NO")</f>
        <v>1.7460874021993734E-2</v>
      </c>
      <c r="AS147" s="22">
        <f>IFERROR(('Activity data'!AS90*(1/Constants!$H$135))*ttokg*FracLEACH*MSLeachEF*NtoN2O*kgtoGg,"NO")</f>
        <v>1.750006278151265E-2</v>
      </c>
      <c r="AT147" s="22">
        <f>IFERROR(('Activity data'!AT90*(1/Constants!$H$135))*ttokg*FracLEACH*MSLeachEF*NtoN2O*kgtoGg,"NO")</f>
        <v>1.7539251541031548E-2</v>
      </c>
      <c r="AU147" s="22">
        <f>IFERROR(('Activity data'!AU90*(1/Constants!$H$135))*ttokg*FracLEACH*MSLeachEF*NtoN2O*kgtoGg,"NO")</f>
        <v>1.7578440300550464E-2</v>
      </c>
      <c r="AV147" s="22">
        <f>IFERROR(('Activity data'!AV90*(1/Constants!$H$135))*ttokg*FracLEACH*MSLeachEF*NtoN2O*kgtoGg,"NO")</f>
        <v>1.7617629060069376E-2</v>
      </c>
      <c r="AW147" s="22">
        <f>IFERROR(('Activity data'!AW90*(1/Constants!$H$135))*ttokg*FracLEACH*MSLeachEF*NtoN2O*kgtoGg,"NO")</f>
        <v>1.7656817819588281E-2</v>
      </c>
      <c r="AX147" s="22">
        <f>IFERROR(('Activity data'!AX90*(1/Constants!$H$135))*ttokg*FracLEACH*MSLeachEF*NtoN2O*kgtoGg,"NO")</f>
        <v>1.769600657910719E-2</v>
      </c>
      <c r="AY147" s="22">
        <f>IFERROR(('Activity data'!AY90*(1/Constants!$H$135))*ttokg*FracLEACH*MSLeachEF*NtoN2O*kgtoGg,"NO")</f>
        <v>1.7735195338626102E-2</v>
      </c>
      <c r="AZ147" s="22">
        <f>IFERROR(('Activity data'!AZ90*(1/Constants!$H$135))*ttokg*FracLEACH*MSLeachEF*NtoN2O*kgtoGg,"NO")</f>
        <v>1.777438409814501E-2</v>
      </c>
      <c r="BA147" s="22">
        <f>IFERROR(('Activity data'!BA90*(1/Constants!$H$135))*ttokg*FracLEACH*MSLeachEF*NtoN2O*kgtoGg,"NO")</f>
        <v>1.7813572857663919E-2</v>
      </c>
      <c r="BB147" s="22">
        <f>IFERROR(('Activity data'!BB90*(1/Constants!$H$135))*ttokg*FracLEACH*MSLeachEF*NtoN2O*kgtoGg,"NO")</f>
        <v>1.7852761617182831E-2</v>
      </c>
      <c r="BC147" s="22">
        <f>IFERROR(('Activity data'!BC90*(1/Constants!$H$135))*ttokg*FracLEACH*MSLeachEF*NtoN2O*kgtoGg,"NO")</f>
        <v>1.7891950376701736E-2</v>
      </c>
      <c r="BD147" s="22">
        <f>IFERROR(('Activity data'!BD90*(1/Constants!$H$135))*ttokg*FracLEACH*MSLeachEF*NtoN2O*kgtoGg,"NO")</f>
        <v>1.7931139136220645E-2</v>
      </c>
      <c r="BE147" s="22">
        <f>IFERROR(('Activity data'!BE90*(1/Constants!$H$135))*ttokg*FracLEACH*MSLeachEF*NtoN2O*kgtoGg,"NO")</f>
        <v>1.7970327895739557E-2</v>
      </c>
      <c r="BF147" s="22">
        <f>IFERROR(('Activity data'!BF90*(1/Constants!$H$135))*ttokg*FracLEACH*MSLeachEF*NtoN2O*kgtoGg,"NO")</f>
        <v>1.8009516655258465E-2</v>
      </c>
      <c r="BG147" s="22">
        <f>IFERROR(('Activity data'!BG90*(1/Constants!$H$135))*ttokg*FracLEACH*MSLeachEF*NtoN2O*kgtoGg,"NO")</f>
        <v>1.8048705414777374E-2</v>
      </c>
      <c r="BH147" s="22">
        <f>IFERROR(('Activity data'!BH90*(1/Constants!$H$135))*ttokg*FracLEACH*MSLeachEF*NtoN2O*kgtoGg,"NO")</f>
        <v>1.8087894174296286E-2</v>
      </c>
      <c r="BI147" s="22">
        <f>IFERROR(('Activity data'!BI90*(1/Constants!$H$135))*ttokg*FracLEACH*MSLeachEF*NtoN2O*kgtoGg,"NO")</f>
        <v>1.8127082933815188E-2</v>
      </c>
      <c r="BJ147" s="22">
        <f>IFERROR(('Activity data'!BJ90*(1/Constants!$H$135))*ttokg*FracLEACH*MSLeachEF*NtoN2O*kgtoGg,"NO")</f>
        <v>1.8166271693334096E-2</v>
      </c>
      <c r="BK147" s="22">
        <f>IFERROR(('Activity data'!BK90*(1/Constants!$H$135))*ttokg*FracLEACH*MSLeachEF*NtoN2O*kgtoGg,"NO")</f>
        <v>1.8205460452853015E-2</v>
      </c>
      <c r="BL147" s="22">
        <f>IFERROR(('Activity data'!BL90*(1/Constants!$H$135))*ttokg*FracLEACH*MSLeachEF*NtoN2O*kgtoGg,"NO")</f>
        <v>1.8244649212371917E-2</v>
      </c>
      <c r="BM147" s="22">
        <f>IFERROR(('Activity data'!BM90*(1/Constants!$H$135))*ttokg*FracLEACH*MSLeachEF*NtoN2O*kgtoGg,"NO")</f>
        <v>1.8283837971890825E-2</v>
      </c>
      <c r="BN147" s="22">
        <f>IFERROR(('Activity data'!BN90*(1/Constants!$H$135))*ttokg*FracLEACH*MSLeachEF*NtoN2O*kgtoGg,"NO")</f>
        <v>1.8323026731409734E-2</v>
      </c>
      <c r="BO147" s="22">
        <f>IFERROR(('Activity data'!BO90*(1/Constants!$H$135))*ttokg*FracLEACH*MSLeachEF*NtoN2O*kgtoGg,"NO")</f>
        <v>1.8362215490928643E-2</v>
      </c>
      <c r="BP147" s="22">
        <f>IFERROR(('Activity data'!BP90*(1/Constants!$H$135))*ttokg*FracLEACH*MSLeachEF*NtoN2O*kgtoGg,"NO")</f>
        <v>1.8401404250447555E-2</v>
      </c>
    </row>
    <row r="148" spans="1:68" x14ac:dyDescent="0.25">
      <c r="A148" t="str">
        <f t="shared" si="58"/>
        <v>3C Aggregated and non-CO2 emissions on land</v>
      </c>
      <c r="B148" t="str">
        <f t="shared" si="59"/>
        <v>3C5 Indirect N2O from managed soils (N2O)</v>
      </c>
      <c r="C148" t="str">
        <f t="shared" si="54"/>
        <v>Leaching/runoff</v>
      </c>
      <c r="D148" t="str">
        <f>" - FSOM - "&amp;'Activity data'!D91</f>
        <v xml:space="preserve"> - FSOM - Grassland remaining grassland</v>
      </c>
      <c r="E148" t="str">
        <f t="shared" si="60"/>
        <v>Leaching/runoff - FSOM - Grassland remaining grassland</v>
      </c>
      <c r="F148" t="str">
        <f t="shared" si="47"/>
        <v>N2O</v>
      </c>
      <c r="G148" t="str">
        <f t="shared" si="48"/>
        <v>Gg N2O</v>
      </c>
      <c r="H148" s="22" t="str">
        <f>IFERROR(('Activity data'!H91*(1/Constants!$H$135))*ttokg*FracLEACH*MSLeachEF*NtoN2O*kgtoGg,"NO")</f>
        <v>NO</v>
      </c>
      <c r="I148" s="22">
        <f>IFERROR(('Activity data'!I91*(1/Constants!$H$135))*ttokg*FracLEACH*MSLeachEF*NtoN2O*kgtoGg,"NO")</f>
        <v>1.7600065075023016E-3</v>
      </c>
      <c r="J148" s="22">
        <f>IFERROR(('Activity data'!J91*(1/Constants!$H$135))*ttokg*FracLEACH*MSLeachEF*NtoN2O*kgtoGg,"NO")</f>
        <v>1.7600065075023016E-3</v>
      </c>
      <c r="K148" s="22">
        <f>IFERROR(('Activity data'!K91*(1/Constants!$H$135))*ttokg*FracLEACH*MSLeachEF*NtoN2O*kgtoGg,"NO")</f>
        <v>1.7600065075023016E-3</v>
      </c>
      <c r="L148" s="22">
        <f>IFERROR(('Activity data'!L91*(1/Constants!$H$135))*ttokg*FracLEACH*MSLeachEF*NtoN2O*kgtoGg,"NO")</f>
        <v>1.7600065075023016E-3</v>
      </c>
      <c r="M148" s="22">
        <f>IFERROR(('Activity data'!M91*(1/Constants!$H$135))*ttokg*FracLEACH*MSLeachEF*NtoN2O*kgtoGg,"NO")</f>
        <v>1.7600065075023016E-3</v>
      </c>
      <c r="N148" s="22">
        <f>IFERROR(('Activity data'!N91*(1/Constants!$H$135))*ttokg*FracLEACH*MSLeachEF*NtoN2O*kgtoGg,"NO")</f>
        <v>1.7600065075023016E-3</v>
      </c>
      <c r="O148" s="22">
        <f>IFERROR(('Activity data'!O91*(1/Constants!$H$135))*ttokg*FracLEACH*MSLeachEF*NtoN2O*kgtoGg,"NO")</f>
        <v>1.7600065075023016E-3</v>
      </c>
      <c r="P148" s="22">
        <f>IFERROR(('Activity data'!P91*(1/Constants!$H$135))*ttokg*FracLEACH*MSLeachEF*NtoN2O*kgtoGg,"NO")</f>
        <v>1.7600065075023016E-3</v>
      </c>
      <c r="Q148" s="22">
        <f>IFERROR(('Activity data'!Q91*(1/Constants!$H$135))*ttokg*FracLEACH*MSLeachEF*NtoN2O*kgtoGg,"NO")</f>
        <v>1.7600065075023016E-3</v>
      </c>
      <c r="R148" s="22">
        <f>IFERROR(('Activity data'!R91*(1/Constants!$H$135))*ttokg*FracLEACH*MSLeachEF*NtoN2O*kgtoGg,"NO")</f>
        <v>1.7600065075023016E-3</v>
      </c>
      <c r="S148" s="22">
        <f>IFERROR(('Activity data'!S91*(1/Constants!$H$135))*ttokg*FracLEACH*MSLeachEF*NtoN2O*kgtoGg,"NO")</f>
        <v>1.7600065075023016E-3</v>
      </c>
      <c r="T148" s="22">
        <f>IFERROR(('Activity data'!T91*(1/Constants!$H$135))*ttokg*FracLEACH*MSLeachEF*NtoN2O*kgtoGg,"NO")</f>
        <v>1.7600065075023016E-3</v>
      </c>
      <c r="U148" s="22">
        <f>IFERROR(('Activity data'!U91*(1/Constants!$H$135))*ttokg*FracLEACH*MSLeachEF*NtoN2O*kgtoGg,"NO")</f>
        <v>1.7600065075023016E-3</v>
      </c>
      <c r="V148" s="22">
        <f>IFERROR(('Activity data'!V91*(1/Constants!$H$135))*ttokg*FracLEACH*MSLeachEF*NtoN2O*kgtoGg,"NO")</f>
        <v>1.7600065075023016E-3</v>
      </c>
      <c r="W148" s="22">
        <f>IFERROR(('Activity data'!W91*(1/Constants!$H$135))*ttokg*FracLEACH*MSLeachEF*NtoN2O*kgtoGg,"NO")</f>
        <v>1.7600065075023016E-3</v>
      </c>
      <c r="X148" s="22">
        <f>IFERROR(('Activity data'!X91*(1/Constants!$H$135))*ttokg*FracLEACH*MSLeachEF*NtoN2O*kgtoGg,"NO")</f>
        <v>1.7600065075023016E-3</v>
      </c>
      <c r="Y148" s="22">
        <f>IFERROR(('Activity data'!Y91*(1/Constants!$H$135))*ttokg*FracLEACH*MSLeachEF*NtoN2O*kgtoGg,"NO")</f>
        <v>1.7600065075023016E-3</v>
      </c>
      <c r="Z148" s="22">
        <f>IFERROR(('Activity data'!Z91*(1/Constants!$H$135))*ttokg*FracLEACH*MSLeachEF*NtoN2O*kgtoGg,"NO")</f>
        <v>1.7600065075023016E-3</v>
      </c>
      <c r="AA148" s="22">
        <f>IFERROR(('Activity data'!AA91*(1/Constants!$H$135))*ttokg*FracLEACH*MSLeachEF*NtoN2O*kgtoGg,"NO")</f>
        <v>1.7600065075023016E-3</v>
      </c>
      <c r="AB148" s="22">
        <f>IFERROR(('Activity data'!AB91*(1/Constants!$H$135))*ttokg*FracLEACH*MSLeachEF*NtoN2O*kgtoGg,"NO")</f>
        <v>1.7600065075023016E-3</v>
      </c>
      <c r="AC148" s="22">
        <f>IFERROR(('Activity data'!AC91*(1/Constants!$H$135))*ttokg*FracLEACH*MSLeachEF*NtoN2O*kgtoGg,"NO")</f>
        <v>1.7600065075023016E-3</v>
      </c>
      <c r="AD148" s="22">
        <f>IFERROR(('Activity data'!AD91*(1/Constants!$H$135))*ttokg*FracLEACH*MSLeachEF*NtoN2O*kgtoGg,"NO")</f>
        <v>1.9871041213735664E-2</v>
      </c>
      <c r="AE148" s="22">
        <f>IFERROR(('Activity data'!AE91*(1/Constants!$H$135))*ttokg*FracLEACH*MSLeachEF*NtoN2O*kgtoGg,"NO")</f>
        <v>1.9871041213735664E-2</v>
      </c>
      <c r="AF148" s="22">
        <f>IFERROR(('Activity data'!AF91*(1/Constants!$H$135))*ttokg*FracLEACH*MSLeachEF*NtoN2O*kgtoGg,"NO")</f>
        <v>1.9871041213735664E-2</v>
      </c>
      <c r="AG148" s="22">
        <f>IFERROR(('Activity data'!AG91*(1/Constants!$H$135))*ttokg*FracLEACH*MSLeachEF*NtoN2O*kgtoGg,"NO")</f>
        <v>1.9871041213735664E-2</v>
      </c>
      <c r="AH148" s="22">
        <f>IFERROR(('Activity data'!AH91*(1/Constants!$H$135))*ttokg*FracLEACH*MSLeachEF*NtoN2O*kgtoGg,"NO")</f>
        <v>1.9871041213735664E-2</v>
      </c>
      <c r="AI148" s="22">
        <f>IFERROR(('Activity data'!AI91*(1/Constants!$H$135))*ttokg*FracLEACH*MSLeachEF*NtoN2O*kgtoGg,"NO")</f>
        <v>1.9871041213735664E-2</v>
      </c>
      <c r="AJ148" s="22">
        <f>IFERROR(('Activity data'!AJ91*(1/Constants!$H$135))*ttokg*FracLEACH*MSLeachEF*NtoN2O*kgtoGg,"NO")</f>
        <v>1.9871041213735664E-2</v>
      </c>
      <c r="AK148" s="22">
        <f>IFERROR(('Activity data'!AK91*(1/Constants!$H$135))*ttokg*FracLEACH*MSLeachEF*NtoN2O*kgtoGg,"NO")</f>
        <v>1.9871041213735664E-2</v>
      </c>
      <c r="AL148" s="22">
        <f>IFERROR(('Activity data'!AL91*(1/Constants!$H$135))*ttokg*FracLEACH*MSLeachEF*NtoN2O*kgtoGg,"NO")</f>
        <v>1.9871041213735664E-2</v>
      </c>
      <c r="AM148" s="22">
        <f>IFERROR(('Activity data'!AM91*(1/Constants!$H$135))*ttokg*FracLEACH*MSLeachEF*NtoN2O*kgtoGg,"NO")</f>
        <v>1.9871041213735664E-2</v>
      </c>
      <c r="AN148" s="22">
        <f>IFERROR(('Activity data'!AN91*(1/Constants!$H$135))*ttokg*FracLEACH*MSLeachEF*NtoN2O*kgtoGg,"NO")</f>
        <v>1.9871041213735664E-2</v>
      </c>
      <c r="AO148" s="22">
        <f>IFERROR(('Activity data'!AO91*(1/Constants!$H$135))*ttokg*FracLEACH*MSLeachEF*NtoN2O*kgtoGg,"NO")</f>
        <v>1.9871041213735664E-2</v>
      </c>
      <c r="AP148" s="22">
        <f>IFERROR(('Activity data'!AP91*(1/Constants!$H$135))*ttokg*FracLEACH*MSLeachEF*NtoN2O*kgtoGg,"NO")</f>
        <v>1.9871041213735664E-2</v>
      </c>
      <c r="AQ148" s="22">
        <f>IFERROR(('Activity data'!AQ91*(1/Constants!$H$135))*ttokg*FracLEACH*MSLeachEF*NtoN2O*kgtoGg,"NO")</f>
        <v>1.9871041213735664E-2</v>
      </c>
      <c r="AR148" s="22">
        <f>IFERROR(('Activity data'!AR91*(1/Constants!$H$135))*ttokg*FracLEACH*MSLeachEF*NtoN2O*kgtoGg,"NO")</f>
        <v>1.9871041213735664E-2</v>
      </c>
      <c r="AS148" s="22">
        <f>IFERROR(('Activity data'!AS91*(1/Constants!$H$135))*ttokg*FracLEACH*MSLeachEF*NtoN2O*kgtoGg,"NO")</f>
        <v>1.9871041213735664E-2</v>
      </c>
      <c r="AT148" s="22">
        <f>IFERROR(('Activity data'!AT91*(1/Constants!$H$135))*ttokg*FracLEACH*MSLeachEF*NtoN2O*kgtoGg,"NO")</f>
        <v>1.9871041213735664E-2</v>
      </c>
      <c r="AU148" s="22">
        <f>IFERROR(('Activity data'!AU91*(1/Constants!$H$135))*ttokg*FracLEACH*MSLeachEF*NtoN2O*kgtoGg,"NO")</f>
        <v>1.9871041213735664E-2</v>
      </c>
      <c r="AV148" s="22">
        <f>IFERROR(('Activity data'!AV91*(1/Constants!$H$135))*ttokg*FracLEACH*MSLeachEF*NtoN2O*kgtoGg,"NO")</f>
        <v>1.9871041213735664E-2</v>
      </c>
      <c r="AW148" s="22">
        <f>IFERROR(('Activity data'!AW91*(1/Constants!$H$135))*ttokg*FracLEACH*MSLeachEF*NtoN2O*kgtoGg,"NO")</f>
        <v>1.9871041213735664E-2</v>
      </c>
      <c r="AX148" s="22">
        <f>IFERROR(('Activity data'!AX91*(1/Constants!$H$135))*ttokg*FracLEACH*MSLeachEF*NtoN2O*kgtoGg,"NO")</f>
        <v>1.9871041213735664E-2</v>
      </c>
      <c r="AY148" s="22">
        <f>IFERROR(('Activity data'!AY91*(1/Constants!$H$135))*ttokg*FracLEACH*MSLeachEF*NtoN2O*kgtoGg,"NO")</f>
        <v>1.9871041213735664E-2</v>
      </c>
      <c r="AZ148" s="22">
        <f>IFERROR(('Activity data'!AZ91*(1/Constants!$H$135))*ttokg*FracLEACH*MSLeachEF*NtoN2O*kgtoGg,"NO")</f>
        <v>1.9871041213735664E-2</v>
      </c>
      <c r="BA148" s="22">
        <f>IFERROR(('Activity data'!BA91*(1/Constants!$H$135))*ttokg*FracLEACH*MSLeachEF*NtoN2O*kgtoGg,"NO")</f>
        <v>1.9871041213735664E-2</v>
      </c>
      <c r="BB148" s="22">
        <f>IFERROR(('Activity data'!BB91*(1/Constants!$H$135))*ttokg*FracLEACH*MSLeachEF*NtoN2O*kgtoGg,"NO")</f>
        <v>1.9871041213735664E-2</v>
      </c>
      <c r="BC148" s="22">
        <f>IFERROR(('Activity data'!BC91*(1/Constants!$H$135))*ttokg*FracLEACH*MSLeachEF*NtoN2O*kgtoGg,"NO")</f>
        <v>1.9871041213735664E-2</v>
      </c>
      <c r="BD148" s="22">
        <f>IFERROR(('Activity data'!BD91*(1/Constants!$H$135))*ttokg*FracLEACH*MSLeachEF*NtoN2O*kgtoGg,"NO")</f>
        <v>1.9871041213735664E-2</v>
      </c>
      <c r="BE148" s="22">
        <f>IFERROR(('Activity data'!BE91*(1/Constants!$H$135))*ttokg*FracLEACH*MSLeachEF*NtoN2O*kgtoGg,"NO")</f>
        <v>1.9871041213735664E-2</v>
      </c>
      <c r="BF148" s="22">
        <f>IFERROR(('Activity data'!BF91*(1/Constants!$H$135))*ttokg*FracLEACH*MSLeachEF*NtoN2O*kgtoGg,"NO")</f>
        <v>1.9871041213735664E-2</v>
      </c>
      <c r="BG148" s="22">
        <f>IFERROR(('Activity data'!BG91*(1/Constants!$H$135))*ttokg*FracLEACH*MSLeachEF*NtoN2O*kgtoGg,"NO")</f>
        <v>1.9871041213735664E-2</v>
      </c>
      <c r="BH148" s="22">
        <f>IFERROR(('Activity data'!BH91*(1/Constants!$H$135))*ttokg*FracLEACH*MSLeachEF*NtoN2O*kgtoGg,"NO")</f>
        <v>1.9871041213735664E-2</v>
      </c>
      <c r="BI148" s="22">
        <f>IFERROR(('Activity data'!BI91*(1/Constants!$H$135))*ttokg*FracLEACH*MSLeachEF*NtoN2O*kgtoGg,"NO")</f>
        <v>1.9871041213735664E-2</v>
      </c>
      <c r="BJ148" s="22">
        <f>IFERROR(('Activity data'!BJ91*(1/Constants!$H$135))*ttokg*FracLEACH*MSLeachEF*NtoN2O*kgtoGg,"NO")</f>
        <v>1.9871041213735664E-2</v>
      </c>
      <c r="BK148" s="22">
        <f>IFERROR(('Activity data'!BK91*(1/Constants!$H$135))*ttokg*FracLEACH*MSLeachEF*NtoN2O*kgtoGg,"NO")</f>
        <v>1.9871041213735664E-2</v>
      </c>
      <c r="BL148" s="22">
        <f>IFERROR(('Activity data'!BL91*(1/Constants!$H$135))*ttokg*FracLEACH*MSLeachEF*NtoN2O*kgtoGg,"NO")</f>
        <v>1.9871041213735664E-2</v>
      </c>
      <c r="BM148" s="22">
        <f>IFERROR(('Activity data'!BM91*(1/Constants!$H$135))*ttokg*FracLEACH*MSLeachEF*NtoN2O*kgtoGg,"NO")</f>
        <v>1.9871041213735664E-2</v>
      </c>
      <c r="BN148" s="22">
        <f>IFERROR(('Activity data'!BN91*(1/Constants!$H$135))*ttokg*FracLEACH*MSLeachEF*NtoN2O*kgtoGg,"NO")</f>
        <v>1.9871041213735664E-2</v>
      </c>
      <c r="BO148" s="22">
        <f>IFERROR(('Activity data'!BO91*(1/Constants!$H$135))*ttokg*FracLEACH*MSLeachEF*NtoN2O*kgtoGg,"NO")</f>
        <v>1.9871041213735664E-2</v>
      </c>
      <c r="BP148" s="22">
        <f>IFERROR(('Activity data'!BP91*(1/Constants!$H$135))*ttokg*FracLEACH*MSLeachEF*NtoN2O*kgtoGg,"NO")</f>
        <v>1.9871041213735664E-2</v>
      </c>
    </row>
    <row r="149" spans="1:68" x14ac:dyDescent="0.25">
      <c r="A149" t="str">
        <f t="shared" si="58"/>
        <v>3C Aggregated and non-CO2 emissions on land</v>
      </c>
      <c r="B149" t="str">
        <f t="shared" si="59"/>
        <v>3C5 Indirect N2O from managed soils (N2O)</v>
      </c>
      <c r="C149" t="str">
        <f t="shared" si="54"/>
        <v>Leaching/runoff</v>
      </c>
      <c r="D149" t="str">
        <f>" - FSOM - "&amp;'Activity data'!D92</f>
        <v xml:space="preserve"> - FSOM - Land converted to grassland</v>
      </c>
      <c r="E149" t="str">
        <f t="shared" si="60"/>
        <v>Leaching/runoff - FSOM - Land converted to grassland</v>
      </c>
      <c r="F149" t="str">
        <f t="shared" si="47"/>
        <v>N2O</v>
      </c>
      <c r="G149" t="str">
        <f t="shared" si="48"/>
        <v>Gg N2O</v>
      </c>
      <c r="H149" s="22">
        <f>IFERROR(('Activity data'!H92*(1/Constants!$H$135))*ttokg*FracLEACH*MSLeachEF*NtoN2O*kgtoGg,"NO")</f>
        <v>0</v>
      </c>
      <c r="I149" s="22">
        <f>IFERROR(('Activity data'!I92*(1/Constants!$H$135))*ttokg*FracLEACH*MSLeachEF*NtoN2O*kgtoGg,"NO")</f>
        <v>1.9650467560735459E-5</v>
      </c>
      <c r="J149" s="22">
        <f>IFERROR(('Activity data'!J92*(1/Constants!$H$135))*ttokg*FracLEACH*MSLeachEF*NtoN2O*kgtoGg,"NO")</f>
        <v>1.9650467560735459E-5</v>
      </c>
      <c r="K149" s="22">
        <f>IFERROR(('Activity data'!K92*(1/Constants!$H$135))*ttokg*FracLEACH*MSLeachEF*NtoN2O*kgtoGg,"NO")</f>
        <v>1.9650467560735459E-5</v>
      </c>
      <c r="L149" s="22">
        <f>IFERROR(('Activity data'!L92*(1/Constants!$H$135))*ttokg*FracLEACH*MSLeachEF*NtoN2O*kgtoGg,"NO")</f>
        <v>1.9650467560735459E-5</v>
      </c>
      <c r="M149" s="22">
        <f>IFERROR(('Activity data'!M92*(1/Constants!$H$135))*ttokg*FracLEACH*MSLeachEF*NtoN2O*kgtoGg,"NO")</f>
        <v>1.9650467560735459E-5</v>
      </c>
      <c r="N149" s="22">
        <f>IFERROR(('Activity data'!N92*(1/Constants!$H$135))*ttokg*FracLEACH*MSLeachEF*NtoN2O*kgtoGg,"NO")</f>
        <v>1.9650467560735459E-5</v>
      </c>
      <c r="O149" s="22">
        <f>IFERROR(('Activity data'!O92*(1/Constants!$H$135))*ttokg*FracLEACH*MSLeachEF*NtoN2O*kgtoGg,"NO")</f>
        <v>1.9650467560735459E-5</v>
      </c>
      <c r="P149" s="22">
        <f>IFERROR(('Activity data'!P92*(1/Constants!$H$135))*ttokg*FracLEACH*MSLeachEF*NtoN2O*kgtoGg,"NO")</f>
        <v>1.9650467560735459E-5</v>
      </c>
      <c r="Q149" s="22">
        <f>IFERROR(('Activity data'!Q92*(1/Constants!$H$135))*ttokg*FracLEACH*MSLeachEF*NtoN2O*kgtoGg,"NO")</f>
        <v>1.9650467560735459E-5</v>
      </c>
      <c r="R149" s="22">
        <f>IFERROR(('Activity data'!R92*(1/Constants!$H$135))*ttokg*FracLEACH*MSLeachEF*NtoN2O*kgtoGg,"NO")</f>
        <v>1.9650467560735459E-5</v>
      </c>
      <c r="S149" s="22">
        <f>IFERROR(('Activity data'!S92*(1/Constants!$H$135))*ttokg*FracLEACH*MSLeachEF*NtoN2O*kgtoGg,"NO")</f>
        <v>1.9650467560735459E-5</v>
      </c>
      <c r="T149" s="22">
        <f>IFERROR(('Activity data'!T92*(1/Constants!$H$135))*ttokg*FracLEACH*MSLeachEF*NtoN2O*kgtoGg,"NO")</f>
        <v>1.9650467560735459E-5</v>
      </c>
      <c r="U149" s="22">
        <f>IFERROR(('Activity data'!U92*(1/Constants!$H$135))*ttokg*FracLEACH*MSLeachEF*NtoN2O*kgtoGg,"NO")</f>
        <v>1.9650467560735459E-5</v>
      </c>
      <c r="V149" s="22">
        <f>IFERROR(('Activity data'!V92*(1/Constants!$H$135))*ttokg*FracLEACH*MSLeachEF*NtoN2O*kgtoGg,"NO")</f>
        <v>1.9650467560735459E-5</v>
      </c>
      <c r="W149" s="22">
        <f>IFERROR(('Activity data'!W92*(1/Constants!$H$135))*ttokg*FracLEACH*MSLeachEF*NtoN2O*kgtoGg,"NO")</f>
        <v>1.9650467560735459E-5</v>
      </c>
      <c r="X149" s="22">
        <f>IFERROR(('Activity data'!X92*(1/Constants!$H$135))*ttokg*FracLEACH*MSLeachEF*NtoN2O*kgtoGg,"NO")</f>
        <v>1.9650467560735459E-5</v>
      </c>
      <c r="Y149" s="22">
        <f>IFERROR(('Activity data'!Y92*(1/Constants!$H$135))*ttokg*FracLEACH*MSLeachEF*NtoN2O*kgtoGg,"NO")</f>
        <v>1.9650467560735459E-5</v>
      </c>
      <c r="Z149" s="22">
        <f>IFERROR(('Activity data'!Z92*(1/Constants!$H$135))*ttokg*FracLEACH*MSLeachEF*NtoN2O*kgtoGg,"NO")</f>
        <v>1.9650467560735459E-5</v>
      </c>
      <c r="AA149" s="22">
        <f>IFERROR(('Activity data'!AA92*(1/Constants!$H$135))*ttokg*FracLEACH*MSLeachEF*NtoN2O*kgtoGg,"NO")</f>
        <v>1.9650467560735459E-5</v>
      </c>
      <c r="AB149" s="22">
        <f>IFERROR(('Activity data'!AB92*(1/Constants!$H$135))*ttokg*FracLEACH*MSLeachEF*NtoN2O*kgtoGg,"NO")</f>
        <v>1.9650467560735459E-5</v>
      </c>
      <c r="AC149" s="22">
        <f>IFERROR(('Activity data'!AC92*(1/Constants!$H$135))*ttokg*FracLEACH*MSLeachEF*NtoN2O*kgtoGg,"NO")</f>
        <v>1.9650467560735459E-5</v>
      </c>
      <c r="AD149" s="22" t="str">
        <f>IFERROR(('Activity data'!AD92*(1/Constants!$H$135))*ttokg*FracLEACH*MSLeachEF*NtoN2O*kgtoGg,"NO")</f>
        <v>NO</v>
      </c>
      <c r="AE149" s="22" t="str">
        <f>IFERROR(('Activity data'!AE92*(1/Constants!$H$135))*ttokg*FracLEACH*MSLeachEF*NtoN2O*kgtoGg,"NO")</f>
        <v>NO</v>
      </c>
      <c r="AF149" s="22" t="str">
        <f>IFERROR(('Activity data'!AF92*(1/Constants!$H$135))*ttokg*FracLEACH*MSLeachEF*NtoN2O*kgtoGg,"NO")</f>
        <v>NO</v>
      </c>
      <c r="AG149" s="22" t="str">
        <f>IFERROR(('Activity data'!AG92*(1/Constants!$H$135))*ttokg*FracLEACH*MSLeachEF*NtoN2O*kgtoGg,"NO")</f>
        <v>NO</v>
      </c>
      <c r="AH149" s="22" t="str">
        <f>IFERROR(('Activity data'!AH92*(1/Constants!$H$135))*ttokg*FracLEACH*MSLeachEF*NtoN2O*kgtoGg,"NO")</f>
        <v>NO</v>
      </c>
      <c r="AI149" s="22" t="str">
        <f>IFERROR(('Activity data'!AI92*(1/Constants!$H$135))*ttokg*FracLEACH*MSLeachEF*NtoN2O*kgtoGg,"NO")</f>
        <v>NO</v>
      </c>
      <c r="AJ149" s="22" t="str">
        <f>IFERROR(('Activity data'!AJ92*(1/Constants!$H$135))*ttokg*FracLEACH*MSLeachEF*NtoN2O*kgtoGg,"NO")</f>
        <v>NO</v>
      </c>
      <c r="AK149" s="22" t="str">
        <f>IFERROR(('Activity data'!AK92*(1/Constants!$H$135))*ttokg*FracLEACH*MSLeachEF*NtoN2O*kgtoGg,"NO")</f>
        <v>NO</v>
      </c>
      <c r="AL149" s="22" t="str">
        <f>IFERROR(('Activity data'!AL92*(1/Constants!$H$135))*ttokg*FracLEACH*MSLeachEF*NtoN2O*kgtoGg,"NO")</f>
        <v>NO</v>
      </c>
      <c r="AM149" s="22" t="str">
        <f>IFERROR(('Activity data'!AM92*(1/Constants!$H$135))*ttokg*FracLEACH*MSLeachEF*NtoN2O*kgtoGg,"NO")</f>
        <v>NO</v>
      </c>
      <c r="AN149" s="22" t="str">
        <f>IFERROR(('Activity data'!AN92*(1/Constants!$H$135))*ttokg*FracLEACH*MSLeachEF*NtoN2O*kgtoGg,"NO")</f>
        <v>NO</v>
      </c>
      <c r="AO149" s="22" t="str">
        <f>IFERROR(('Activity data'!AO92*(1/Constants!$H$135))*ttokg*FracLEACH*MSLeachEF*NtoN2O*kgtoGg,"NO")</f>
        <v>NO</v>
      </c>
      <c r="AP149" s="22" t="str">
        <f>IFERROR(('Activity data'!AP92*(1/Constants!$H$135))*ttokg*FracLEACH*MSLeachEF*NtoN2O*kgtoGg,"NO")</f>
        <v>NO</v>
      </c>
      <c r="AQ149" s="22" t="str">
        <f>IFERROR(('Activity data'!AQ92*(1/Constants!$H$135))*ttokg*FracLEACH*MSLeachEF*NtoN2O*kgtoGg,"NO")</f>
        <v>NO</v>
      </c>
      <c r="AR149" s="22" t="str">
        <f>IFERROR(('Activity data'!AR92*(1/Constants!$H$135))*ttokg*FracLEACH*MSLeachEF*NtoN2O*kgtoGg,"NO")</f>
        <v>NO</v>
      </c>
      <c r="AS149" s="22" t="str">
        <f>IFERROR(('Activity data'!AS92*(1/Constants!$H$135))*ttokg*FracLEACH*MSLeachEF*NtoN2O*kgtoGg,"NO")</f>
        <v>NO</v>
      </c>
      <c r="AT149" s="22" t="str">
        <f>IFERROR(('Activity data'!AT92*(1/Constants!$H$135))*ttokg*FracLEACH*MSLeachEF*NtoN2O*kgtoGg,"NO")</f>
        <v>NO</v>
      </c>
      <c r="AU149" s="22" t="str">
        <f>IFERROR(('Activity data'!AU92*(1/Constants!$H$135))*ttokg*FracLEACH*MSLeachEF*NtoN2O*kgtoGg,"NO")</f>
        <v>NO</v>
      </c>
      <c r="AV149" s="22" t="str">
        <f>IFERROR(('Activity data'!AV92*(1/Constants!$H$135))*ttokg*FracLEACH*MSLeachEF*NtoN2O*kgtoGg,"NO")</f>
        <v>NO</v>
      </c>
      <c r="AW149" s="22" t="str">
        <f>IFERROR(('Activity data'!AW92*(1/Constants!$H$135))*ttokg*FracLEACH*MSLeachEF*NtoN2O*kgtoGg,"NO")</f>
        <v>NO</v>
      </c>
      <c r="AX149" s="22" t="str">
        <f>IFERROR(('Activity data'!AX92*(1/Constants!$H$135))*ttokg*FracLEACH*MSLeachEF*NtoN2O*kgtoGg,"NO")</f>
        <v>NO</v>
      </c>
      <c r="AY149" s="22" t="str">
        <f>IFERROR(('Activity data'!AY92*(1/Constants!$H$135))*ttokg*FracLEACH*MSLeachEF*NtoN2O*kgtoGg,"NO")</f>
        <v>NO</v>
      </c>
      <c r="AZ149" s="22" t="str">
        <f>IFERROR(('Activity data'!AZ92*(1/Constants!$H$135))*ttokg*FracLEACH*MSLeachEF*NtoN2O*kgtoGg,"NO")</f>
        <v>NO</v>
      </c>
      <c r="BA149" s="22" t="str">
        <f>IFERROR(('Activity data'!BA92*(1/Constants!$H$135))*ttokg*FracLEACH*MSLeachEF*NtoN2O*kgtoGg,"NO")</f>
        <v>NO</v>
      </c>
      <c r="BB149" s="22" t="str">
        <f>IFERROR(('Activity data'!BB92*(1/Constants!$H$135))*ttokg*FracLEACH*MSLeachEF*NtoN2O*kgtoGg,"NO")</f>
        <v>NO</v>
      </c>
      <c r="BC149" s="22" t="str">
        <f>IFERROR(('Activity data'!BC92*(1/Constants!$H$135))*ttokg*FracLEACH*MSLeachEF*NtoN2O*kgtoGg,"NO")</f>
        <v>NO</v>
      </c>
      <c r="BD149" s="22" t="str">
        <f>IFERROR(('Activity data'!BD92*(1/Constants!$H$135))*ttokg*FracLEACH*MSLeachEF*NtoN2O*kgtoGg,"NO")</f>
        <v>NO</v>
      </c>
      <c r="BE149" s="22" t="str">
        <f>IFERROR(('Activity data'!BE92*(1/Constants!$H$135))*ttokg*FracLEACH*MSLeachEF*NtoN2O*kgtoGg,"NO")</f>
        <v>NO</v>
      </c>
      <c r="BF149" s="22" t="str">
        <f>IFERROR(('Activity data'!BF92*(1/Constants!$H$135))*ttokg*FracLEACH*MSLeachEF*NtoN2O*kgtoGg,"NO")</f>
        <v>NO</v>
      </c>
      <c r="BG149" s="22" t="str">
        <f>IFERROR(('Activity data'!BG92*(1/Constants!$H$135))*ttokg*FracLEACH*MSLeachEF*NtoN2O*kgtoGg,"NO")</f>
        <v>NO</v>
      </c>
      <c r="BH149" s="22" t="str">
        <f>IFERROR(('Activity data'!BH92*(1/Constants!$H$135))*ttokg*FracLEACH*MSLeachEF*NtoN2O*kgtoGg,"NO")</f>
        <v>NO</v>
      </c>
      <c r="BI149" s="22" t="str">
        <f>IFERROR(('Activity data'!BI92*(1/Constants!$H$135))*ttokg*FracLEACH*MSLeachEF*NtoN2O*kgtoGg,"NO")</f>
        <v>NO</v>
      </c>
      <c r="BJ149" s="22" t="str">
        <f>IFERROR(('Activity data'!BJ92*(1/Constants!$H$135))*ttokg*FracLEACH*MSLeachEF*NtoN2O*kgtoGg,"NO")</f>
        <v>NO</v>
      </c>
      <c r="BK149" s="22" t="str">
        <f>IFERROR(('Activity data'!BK92*(1/Constants!$H$135))*ttokg*FracLEACH*MSLeachEF*NtoN2O*kgtoGg,"NO")</f>
        <v>NO</v>
      </c>
      <c r="BL149" s="22" t="str">
        <f>IFERROR(('Activity data'!BL92*(1/Constants!$H$135))*ttokg*FracLEACH*MSLeachEF*NtoN2O*kgtoGg,"NO")</f>
        <v>NO</v>
      </c>
      <c r="BM149" s="22" t="str">
        <f>IFERROR(('Activity data'!BM92*(1/Constants!$H$135))*ttokg*FracLEACH*MSLeachEF*NtoN2O*kgtoGg,"NO")</f>
        <v>NO</v>
      </c>
      <c r="BN149" s="22" t="str">
        <f>IFERROR(('Activity data'!BN92*(1/Constants!$H$135))*ttokg*FracLEACH*MSLeachEF*NtoN2O*kgtoGg,"NO")</f>
        <v>NO</v>
      </c>
      <c r="BO149" s="22" t="str">
        <f>IFERROR(('Activity data'!BO92*(1/Constants!$H$135))*ttokg*FracLEACH*MSLeachEF*NtoN2O*kgtoGg,"NO")</f>
        <v>NO</v>
      </c>
      <c r="BP149" s="22" t="str">
        <f>IFERROR(('Activity data'!BP92*(1/Constants!$H$135))*ttokg*FracLEACH*MSLeachEF*NtoN2O*kgtoGg,"NO")</f>
        <v>NO</v>
      </c>
    </row>
    <row r="150" spans="1:68" x14ac:dyDescent="0.25">
      <c r="A150" t="str">
        <f t="shared" si="58"/>
        <v>3C Aggregated and non-CO2 emissions on land</v>
      </c>
      <c r="B150" t="str">
        <f t="shared" si="59"/>
        <v>3C5 Indirect N2O from managed soils (N2O)</v>
      </c>
      <c r="C150" t="str">
        <f t="shared" si="54"/>
        <v>Leaching/runoff</v>
      </c>
      <c r="D150" t="str">
        <f>" - FSOM - "&amp;'Activity data'!D93</f>
        <v xml:space="preserve"> - FSOM - Wetland remaining wetland</v>
      </c>
      <c r="E150" t="str">
        <f t="shared" si="60"/>
        <v>Leaching/runoff - FSOM - Wetland remaining wetland</v>
      </c>
      <c r="F150" t="str">
        <f t="shared" si="47"/>
        <v>N2O</v>
      </c>
      <c r="G150" t="str">
        <f t="shared" si="48"/>
        <v>Gg N2O</v>
      </c>
      <c r="H150" s="22" t="str">
        <f>IFERROR(('Activity data'!H93*(1/Constants!$H$135))*ttokg*FracLEACH*MSLeachEF*NtoN2O*kgtoGg,"NO")</f>
        <v>NO</v>
      </c>
      <c r="I150" s="22" t="str">
        <f>IFERROR(('Activity data'!I93*(1/Constants!$H$135))*ttokg*FracLEACH*MSLeachEF*NtoN2O*kgtoGg,"NO")</f>
        <v>NO</v>
      </c>
      <c r="J150" s="22" t="str">
        <f>IFERROR(('Activity data'!J93*(1/Constants!$H$135))*ttokg*FracLEACH*MSLeachEF*NtoN2O*kgtoGg,"NO")</f>
        <v>NO</v>
      </c>
      <c r="K150" s="22" t="str">
        <f>IFERROR(('Activity data'!K93*(1/Constants!$H$135))*ttokg*FracLEACH*MSLeachEF*NtoN2O*kgtoGg,"NO")</f>
        <v>NO</v>
      </c>
      <c r="L150" s="22" t="str">
        <f>IFERROR(('Activity data'!L93*(1/Constants!$H$135))*ttokg*FracLEACH*MSLeachEF*NtoN2O*kgtoGg,"NO")</f>
        <v>NO</v>
      </c>
      <c r="M150" s="22" t="str">
        <f>IFERROR(('Activity data'!M93*(1/Constants!$H$135))*ttokg*FracLEACH*MSLeachEF*NtoN2O*kgtoGg,"NO")</f>
        <v>NO</v>
      </c>
      <c r="N150" s="22" t="str">
        <f>IFERROR(('Activity data'!N93*(1/Constants!$H$135))*ttokg*FracLEACH*MSLeachEF*NtoN2O*kgtoGg,"NO")</f>
        <v>NO</v>
      </c>
      <c r="O150" s="22" t="str">
        <f>IFERROR(('Activity data'!O93*(1/Constants!$H$135))*ttokg*FracLEACH*MSLeachEF*NtoN2O*kgtoGg,"NO")</f>
        <v>NO</v>
      </c>
      <c r="P150" s="22" t="str">
        <f>IFERROR(('Activity data'!P93*(1/Constants!$H$135))*ttokg*FracLEACH*MSLeachEF*NtoN2O*kgtoGg,"NO")</f>
        <v>NO</v>
      </c>
      <c r="Q150" s="22" t="str">
        <f>IFERROR(('Activity data'!Q93*(1/Constants!$H$135))*ttokg*FracLEACH*MSLeachEF*NtoN2O*kgtoGg,"NO")</f>
        <v>NO</v>
      </c>
      <c r="R150" s="22" t="str">
        <f>IFERROR(('Activity data'!R93*(1/Constants!$H$135))*ttokg*FracLEACH*MSLeachEF*NtoN2O*kgtoGg,"NO")</f>
        <v>NO</v>
      </c>
      <c r="S150" s="22" t="str">
        <f>IFERROR(('Activity data'!S93*(1/Constants!$H$135))*ttokg*FracLEACH*MSLeachEF*NtoN2O*kgtoGg,"NO")</f>
        <v>NO</v>
      </c>
      <c r="T150" s="22" t="str">
        <f>IFERROR(('Activity data'!T93*(1/Constants!$H$135))*ttokg*FracLEACH*MSLeachEF*NtoN2O*kgtoGg,"NO")</f>
        <v>NO</v>
      </c>
      <c r="U150" s="22" t="str">
        <f>IFERROR(('Activity data'!U93*(1/Constants!$H$135))*ttokg*FracLEACH*MSLeachEF*NtoN2O*kgtoGg,"NO")</f>
        <v>NO</v>
      </c>
      <c r="V150" s="22" t="str">
        <f>IFERROR(('Activity data'!V93*(1/Constants!$H$135))*ttokg*FracLEACH*MSLeachEF*NtoN2O*kgtoGg,"NO")</f>
        <v>NO</v>
      </c>
      <c r="W150" s="22" t="str">
        <f>IFERROR(('Activity data'!W93*(1/Constants!$H$135))*ttokg*FracLEACH*MSLeachEF*NtoN2O*kgtoGg,"NO")</f>
        <v>NO</v>
      </c>
      <c r="X150" s="22" t="str">
        <f>IFERROR(('Activity data'!X93*(1/Constants!$H$135))*ttokg*FracLEACH*MSLeachEF*NtoN2O*kgtoGg,"NO")</f>
        <v>NO</v>
      </c>
      <c r="Y150" s="22" t="str">
        <f>IFERROR(('Activity data'!Y93*(1/Constants!$H$135))*ttokg*FracLEACH*MSLeachEF*NtoN2O*kgtoGg,"NO")</f>
        <v>NO</v>
      </c>
      <c r="Z150" s="22" t="str">
        <f>IFERROR(('Activity data'!Z93*(1/Constants!$H$135))*ttokg*FracLEACH*MSLeachEF*NtoN2O*kgtoGg,"NO")</f>
        <v>NO</v>
      </c>
      <c r="AA150" s="22" t="str">
        <f>IFERROR(('Activity data'!AA93*(1/Constants!$H$135))*ttokg*FracLEACH*MSLeachEF*NtoN2O*kgtoGg,"NO")</f>
        <v>NO</v>
      </c>
      <c r="AB150" s="22" t="str">
        <f>IFERROR(('Activity data'!AB93*(1/Constants!$H$135))*ttokg*FracLEACH*MSLeachEF*NtoN2O*kgtoGg,"NO")</f>
        <v>NO</v>
      </c>
      <c r="AC150" s="22" t="str">
        <f>IFERROR(('Activity data'!AC93*(1/Constants!$H$135))*ttokg*FracLEACH*MSLeachEF*NtoN2O*kgtoGg,"NO")</f>
        <v>NO</v>
      </c>
      <c r="AD150" s="22" t="str">
        <f>IFERROR(('Activity data'!AD93*(1/Constants!$H$135))*ttokg*FracLEACH*MSLeachEF*NtoN2O*kgtoGg,"NO")</f>
        <v>NO</v>
      </c>
      <c r="AE150" s="22" t="str">
        <f>IFERROR(('Activity data'!AE93*(1/Constants!$H$135))*ttokg*FracLEACH*MSLeachEF*NtoN2O*kgtoGg,"NO")</f>
        <v>NO</v>
      </c>
      <c r="AF150" s="22" t="str">
        <f>IFERROR(('Activity data'!AF93*(1/Constants!$H$135))*ttokg*FracLEACH*MSLeachEF*NtoN2O*kgtoGg,"NO")</f>
        <v>NO</v>
      </c>
      <c r="AG150" s="22" t="str">
        <f>IFERROR(('Activity data'!AG93*(1/Constants!$H$135))*ttokg*FracLEACH*MSLeachEF*NtoN2O*kgtoGg,"NO")</f>
        <v>NO</v>
      </c>
      <c r="AH150" s="22" t="str">
        <f>IFERROR(('Activity data'!AH93*(1/Constants!$H$135))*ttokg*FracLEACH*MSLeachEF*NtoN2O*kgtoGg,"NO")</f>
        <v>NO</v>
      </c>
      <c r="AI150" s="22" t="str">
        <f>IFERROR(('Activity data'!AI93*(1/Constants!$H$135))*ttokg*FracLEACH*MSLeachEF*NtoN2O*kgtoGg,"NO")</f>
        <v>NO</v>
      </c>
      <c r="AJ150" s="22" t="str">
        <f>IFERROR(('Activity data'!AJ93*(1/Constants!$H$135))*ttokg*FracLEACH*MSLeachEF*NtoN2O*kgtoGg,"NO")</f>
        <v>NO</v>
      </c>
      <c r="AK150" s="22" t="str">
        <f>IFERROR(('Activity data'!AK93*(1/Constants!$H$135))*ttokg*FracLEACH*MSLeachEF*NtoN2O*kgtoGg,"NO")</f>
        <v>NO</v>
      </c>
      <c r="AL150" s="22" t="str">
        <f>IFERROR(('Activity data'!AL93*(1/Constants!$H$135))*ttokg*FracLEACH*MSLeachEF*NtoN2O*kgtoGg,"NO")</f>
        <v>NO</v>
      </c>
      <c r="AM150" s="22" t="str">
        <f>IFERROR(('Activity data'!AM93*(1/Constants!$H$135))*ttokg*FracLEACH*MSLeachEF*NtoN2O*kgtoGg,"NO")</f>
        <v>NO</v>
      </c>
      <c r="AN150" s="22" t="str">
        <f>IFERROR(('Activity data'!AN93*(1/Constants!$H$135))*ttokg*FracLEACH*MSLeachEF*NtoN2O*kgtoGg,"NO")</f>
        <v>NO</v>
      </c>
      <c r="AO150" s="22" t="str">
        <f>IFERROR(('Activity data'!AO93*(1/Constants!$H$135))*ttokg*FracLEACH*MSLeachEF*NtoN2O*kgtoGg,"NO")</f>
        <v>NO</v>
      </c>
      <c r="AP150" s="22" t="str">
        <f>IFERROR(('Activity data'!AP93*(1/Constants!$H$135))*ttokg*FracLEACH*MSLeachEF*NtoN2O*kgtoGg,"NO")</f>
        <v>NO</v>
      </c>
      <c r="AQ150" s="22" t="str">
        <f>IFERROR(('Activity data'!AQ93*(1/Constants!$H$135))*ttokg*FracLEACH*MSLeachEF*NtoN2O*kgtoGg,"NO")</f>
        <v>NO</v>
      </c>
      <c r="AR150" s="22" t="str">
        <f>IFERROR(('Activity data'!AR93*(1/Constants!$H$135))*ttokg*FracLEACH*MSLeachEF*NtoN2O*kgtoGg,"NO")</f>
        <v>NO</v>
      </c>
      <c r="AS150" s="22" t="str">
        <f>IFERROR(('Activity data'!AS93*(1/Constants!$H$135))*ttokg*FracLEACH*MSLeachEF*NtoN2O*kgtoGg,"NO")</f>
        <v>NO</v>
      </c>
      <c r="AT150" s="22" t="str">
        <f>IFERROR(('Activity data'!AT93*(1/Constants!$H$135))*ttokg*FracLEACH*MSLeachEF*NtoN2O*kgtoGg,"NO")</f>
        <v>NO</v>
      </c>
      <c r="AU150" s="22" t="str">
        <f>IFERROR(('Activity data'!AU93*(1/Constants!$H$135))*ttokg*FracLEACH*MSLeachEF*NtoN2O*kgtoGg,"NO")</f>
        <v>NO</v>
      </c>
      <c r="AV150" s="22" t="str">
        <f>IFERROR(('Activity data'!AV93*(1/Constants!$H$135))*ttokg*FracLEACH*MSLeachEF*NtoN2O*kgtoGg,"NO")</f>
        <v>NO</v>
      </c>
      <c r="AW150" s="22" t="str">
        <f>IFERROR(('Activity data'!AW93*(1/Constants!$H$135))*ttokg*FracLEACH*MSLeachEF*NtoN2O*kgtoGg,"NO")</f>
        <v>NO</v>
      </c>
      <c r="AX150" s="22" t="str">
        <f>IFERROR(('Activity data'!AX93*(1/Constants!$H$135))*ttokg*FracLEACH*MSLeachEF*NtoN2O*kgtoGg,"NO")</f>
        <v>NO</v>
      </c>
      <c r="AY150" s="22" t="str">
        <f>IFERROR(('Activity data'!AY93*(1/Constants!$H$135))*ttokg*FracLEACH*MSLeachEF*NtoN2O*kgtoGg,"NO")</f>
        <v>NO</v>
      </c>
      <c r="AZ150" s="22" t="str">
        <f>IFERROR(('Activity data'!AZ93*(1/Constants!$H$135))*ttokg*FracLEACH*MSLeachEF*NtoN2O*kgtoGg,"NO")</f>
        <v>NO</v>
      </c>
      <c r="BA150" s="22" t="str">
        <f>IFERROR(('Activity data'!BA93*(1/Constants!$H$135))*ttokg*FracLEACH*MSLeachEF*NtoN2O*kgtoGg,"NO")</f>
        <v>NO</v>
      </c>
      <c r="BB150" s="22" t="str">
        <f>IFERROR(('Activity data'!BB93*(1/Constants!$H$135))*ttokg*FracLEACH*MSLeachEF*NtoN2O*kgtoGg,"NO")</f>
        <v>NO</v>
      </c>
      <c r="BC150" s="22" t="str">
        <f>IFERROR(('Activity data'!BC93*(1/Constants!$H$135))*ttokg*FracLEACH*MSLeachEF*NtoN2O*kgtoGg,"NO")</f>
        <v>NO</v>
      </c>
      <c r="BD150" s="22" t="str">
        <f>IFERROR(('Activity data'!BD93*(1/Constants!$H$135))*ttokg*FracLEACH*MSLeachEF*NtoN2O*kgtoGg,"NO")</f>
        <v>NO</v>
      </c>
      <c r="BE150" s="22" t="str">
        <f>IFERROR(('Activity data'!BE93*(1/Constants!$H$135))*ttokg*FracLEACH*MSLeachEF*NtoN2O*kgtoGg,"NO")</f>
        <v>NO</v>
      </c>
      <c r="BF150" s="22" t="str">
        <f>IFERROR(('Activity data'!BF93*(1/Constants!$H$135))*ttokg*FracLEACH*MSLeachEF*NtoN2O*kgtoGg,"NO")</f>
        <v>NO</v>
      </c>
      <c r="BG150" s="22" t="str">
        <f>IFERROR(('Activity data'!BG93*(1/Constants!$H$135))*ttokg*FracLEACH*MSLeachEF*NtoN2O*kgtoGg,"NO")</f>
        <v>NO</v>
      </c>
      <c r="BH150" s="22" t="str">
        <f>IFERROR(('Activity data'!BH93*(1/Constants!$H$135))*ttokg*FracLEACH*MSLeachEF*NtoN2O*kgtoGg,"NO")</f>
        <v>NO</v>
      </c>
      <c r="BI150" s="22" t="str">
        <f>IFERROR(('Activity data'!BI93*(1/Constants!$H$135))*ttokg*FracLEACH*MSLeachEF*NtoN2O*kgtoGg,"NO")</f>
        <v>NO</v>
      </c>
      <c r="BJ150" s="22" t="str">
        <f>IFERROR(('Activity data'!BJ93*(1/Constants!$H$135))*ttokg*FracLEACH*MSLeachEF*NtoN2O*kgtoGg,"NO")</f>
        <v>NO</v>
      </c>
      <c r="BK150" s="22" t="str">
        <f>IFERROR(('Activity data'!BK93*(1/Constants!$H$135))*ttokg*FracLEACH*MSLeachEF*NtoN2O*kgtoGg,"NO")</f>
        <v>NO</v>
      </c>
      <c r="BL150" s="22" t="str">
        <f>IFERROR(('Activity data'!BL93*(1/Constants!$H$135))*ttokg*FracLEACH*MSLeachEF*NtoN2O*kgtoGg,"NO")</f>
        <v>NO</v>
      </c>
      <c r="BM150" s="22" t="str">
        <f>IFERROR(('Activity data'!BM93*(1/Constants!$H$135))*ttokg*FracLEACH*MSLeachEF*NtoN2O*kgtoGg,"NO")</f>
        <v>NO</v>
      </c>
      <c r="BN150" s="22" t="str">
        <f>IFERROR(('Activity data'!BN93*(1/Constants!$H$135))*ttokg*FracLEACH*MSLeachEF*NtoN2O*kgtoGg,"NO")</f>
        <v>NO</v>
      </c>
      <c r="BO150" s="22" t="str">
        <f>IFERROR(('Activity data'!BO93*(1/Constants!$H$135))*ttokg*FracLEACH*MSLeachEF*NtoN2O*kgtoGg,"NO")</f>
        <v>NO</v>
      </c>
      <c r="BP150" s="22" t="str">
        <f>IFERROR(('Activity data'!BP93*(1/Constants!$H$135))*ttokg*FracLEACH*MSLeachEF*NtoN2O*kgtoGg,"NO")</f>
        <v>NO</v>
      </c>
    </row>
    <row r="151" spans="1:68" x14ac:dyDescent="0.25">
      <c r="A151" t="str">
        <f t="shared" si="58"/>
        <v>3C Aggregated and non-CO2 emissions on land</v>
      </c>
      <c r="B151" t="str">
        <f t="shared" si="59"/>
        <v>3C5 Indirect N2O from managed soils (N2O)</v>
      </c>
      <c r="C151" t="str">
        <f t="shared" si="54"/>
        <v>Leaching/runoff</v>
      </c>
      <c r="D151" t="str">
        <f>" - FSOM - "&amp;'Activity data'!D94</f>
        <v xml:space="preserve"> - FSOM - Land converted to wetland</v>
      </c>
      <c r="E151" t="str">
        <f t="shared" si="60"/>
        <v>Leaching/runoff - FSOM - Land converted to wetland</v>
      </c>
      <c r="F151" t="str">
        <f t="shared" si="47"/>
        <v>N2O</v>
      </c>
      <c r="G151" t="str">
        <f t="shared" si="48"/>
        <v>Gg N2O</v>
      </c>
      <c r="H151" s="22" t="str">
        <f>IFERROR(('Activity data'!H94*(1/Constants!$H$135))*ttokg*FracLEACH*MSLeachEF*NtoN2O*kgtoGg,"NO")</f>
        <v>NO</v>
      </c>
      <c r="I151" s="22" t="str">
        <f>IFERROR(('Activity data'!I94*(1/Constants!$H$135))*ttokg*FracLEACH*MSLeachEF*NtoN2O*kgtoGg,"NO")</f>
        <v>NO</v>
      </c>
      <c r="J151" s="22" t="str">
        <f>IFERROR(('Activity data'!J94*(1/Constants!$H$135))*ttokg*FracLEACH*MSLeachEF*NtoN2O*kgtoGg,"NO")</f>
        <v>NO</v>
      </c>
      <c r="K151" s="22" t="str">
        <f>IFERROR(('Activity data'!K94*(1/Constants!$H$135))*ttokg*FracLEACH*MSLeachEF*NtoN2O*kgtoGg,"NO")</f>
        <v>NO</v>
      </c>
      <c r="L151" s="22" t="str">
        <f>IFERROR(('Activity data'!L94*(1/Constants!$H$135))*ttokg*FracLEACH*MSLeachEF*NtoN2O*kgtoGg,"NO")</f>
        <v>NO</v>
      </c>
      <c r="M151" s="22" t="str">
        <f>IFERROR(('Activity data'!M94*(1/Constants!$H$135))*ttokg*FracLEACH*MSLeachEF*NtoN2O*kgtoGg,"NO")</f>
        <v>NO</v>
      </c>
      <c r="N151" s="22" t="str">
        <f>IFERROR(('Activity data'!N94*(1/Constants!$H$135))*ttokg*FracLEACH*MSLeachEF*NtoN2O*kgtoGg,"NO")</f>
        <v>NO</v>
      </c>
      <c r="O151" s="22" t="str">
        <f>IFERROR(('Activity data'!O94*(1/Constants!$H$135))*ttokg*FracLEACH*MSLeachEF*NtoN2O*kgtoGg,"NO")</f>
        <v>NO</v>
      </c>
      <c r="P151" s="22" t="str">
        <f>IFERROR(('Activity data'!P94*(1/Constants!$H$135))*ttokg*FracLEACH*MSLeachEF*NtoN2O*kgtoGg,"NO")</f>
        <v>NO</v>
      </c>
      <c r="Q151" s="22" t="str">
        <f>IFERROR(('Activity data'!Q94*(1/Constants!$H$135))*ttokg*FracLEACH*MSLeachEF*NtoN2O*kgtoGg,"NO")</f>
        <v>NO</v>
      </c>
      <c r="R151" s="22" t="str">
        <f>IFERROR(('Activity data'!R94*(1/Constants!$H$135))*ttokg*FracLEACH*MSLeachEF*NtoN2O*kgtoGg,"NO")</f>
        <v>NO</v>
      </c>
      <c r="S151" s="22" t="str">
        <f>IFERROR(('Activity data'!S94*(1/Constants!$H$135))*ttokg*FracLEACH*MSLeachEF*NtoN2O*kgtoGg,"NO")</f>
        <v>NO</v>
      </c>
      <c r="T151" s="22" t="str">
        <f>IFERROR(('Activity data'!T94*(1/Constants!$H$135))*ttokg*FracLEACH*MSLeachEF*NtoN2O*kgtoGg,"NO")</f>
        <v>NO</v>
      </c>
      <c r="U151" s="22" t="str">
        <f>IFERROR(('Activity data'!U94*(1/Constants!$H$135))*ttokg*FracLEACH*MSLeachEF*NtoN2O*kgtoGg,"NO")</f>
        <v>NO</v>
      </c>
      <c r="V151" s="22" t="str">
        <f>IFERROR(('Activity data'!V94*(1/Constants!$H$135))*ttokg*FracLEACH*MSLeachEF*NtoN2O*kgtoGg,"NO")</f>
        <v>NO</v>
      </c>
      <c r="W151" s="22" t="str">
        <f>IFERROR(('Activity data'!W94*(1/Constants!$H$135))*ttokg*FracLEACH*MSLeachEF*NtoN2O*kgtoGg,"NO")</f>
        <v>NO</v>
      </c>
      <c r="X151" s="22" t="str">
        <f>IFERROR(('Activity data'!X94*(1/Constants!$H$135))*ttokg*FracLEACH*MSLeachEF*NtoN2O*kgtoGg,"NO")</f>
        <v>NO</v>
      </c>
      <c r="Y151" s="22" t="str">
        <f>IFERROR(('Activity data'!Y94*(1/Constants!$H$135))*ttokg*FracLEACH*MSLeachEF*NtoN2O*kgtoGg,"NO")</f>
        <v>NO</v>
      </c>
      <c r="Z151" s="22" t="str">
        <f>IFERROR(('Activity data'!Z94*(1/Constants!$H$135))*ttokg*FracLEACH*MSLeachEF*NtoN2O*kgtoGg,"NO")</f>
        <v>NO</v>
      </c>
      <c r="AA151" s="22" t="str">
        <f>IFERROR(('Activity data'!AA94*(1/Constants!$H$135))*ttokg*FracLEACH*MSLeachEF*NtoN2O*kgtoGg,"NO")</f>
        <v>NO</v>
      </c>
      <c r="AB151" s="22" t="str">
        <f>IFERROR(('Activity data'!AB94*(1/Constants!$H$135))*ttokg*FracLEACH*MSLeachEF*NtoN2O*kgtoGg,"NO")</f>
        <v>NO</v>
      </c>
      <c r="AC151" s="22" t="str">
        <f>IFERROR(('Activity data'!AC94*(1/Constants!$H$135))*ttokg*FracLEACH*MSLeachEF*NtoN2O*kgtoGg,"NO")</f>
        <v>NO</v>
      </c>
      <c r="AD151" s="22" t="str">
        <f>IFERROR(('Activity data'!AD94*(1/Constants!$H$135))*ttokg*FracLEACH*MSLeachEF*NtoN2O*kgtoGg,"NO")</f>
        <v>NO</v>
      </c>
      <c r="AE151" s="22" t="str">
        <f>IFERROR(('Activity data'!AE94*(1/Constants!$H$135))*ttokg*FracLEACH*MSLeachEF*NtoN2O*kgtoGg,"NO")</f>
        <v>NO</v>
      </c>
      <c r="AF151" s="22" t="str">
        <f>IFERROR(('Activity data'!AF94*(1/Constants!$H$135))*ttokg*FracLEACH*MSLeachEF*NtoN2O*kgtoGg,"NO")</f>
        <v>NO</v>
      </c>
      <c r="AG151" s="22" t="str">
        <f>IFERROR(('Activity data'!AG94*(1/Constants!$H$135))*ttokg*FracLEACH*MSLeachEF*NtoN2O*kgtoGg,"NO")</f>
        <v>NO</v>
      </c>
      <c r="AH151" s="22" t="str">
        <f>IFERROR(('Activity data'!AH94*(1/Constants!$H$135))*ttokg*FracLEACH*MSLeachEF*NtoN2O*kgtoGg,"NO")</f>
        <v>NO</v>
      </c>
      <c r="AI151" s="22" t="str">
        <f>IFERROR(('Activity data'!AI94*(1/Constants!$H$135))*ttokg*FracLEACH*MSLeachEF*NtoN2O*kgtoGg,"NO")</f>
        <v>NO</v>
      </c>
      <c r="AJ151" s="22" t="str">
        <f>IFERROR(('Activity data'!AJ94*(1/Constants!$H$135))*ttokg*FracLEACH*MSLeachEF*NtoN2O*kgtoGg,"NO")</f>
        <v>NO</v>
      </c>
      <c r="AK151" s="22" t="str">
        <f>IFERROR(('Activity data'!AK94*(1/Constants!$H$135))*ttokg*FracLEACH*MSLeachEF*NtoN2O*kgtoGg,"NO")</f>
        <v>NO</v>
      </c>
      <c r="AL151" s="22" t="str">
        <f>IFERROR(('Activity data'!AL94*(1/Constants!$H$135))*ttokg*FracLEACH*MSLeachEF*NtoN2O*kgtoGg,"NO")</f>
        <v>NO</v>
      </c>
      <c r="AM151" s="22" t="str">
        <f>IFERROR(('Activity data'!AM94*(1/Constants!$H$135))*ttokg*FracLEACH*MSLeachEF*NtoN2O*kgtoGg,"NO")</f>
        <v>NO</v>
      </c>
      <c r="AN151" s="22" t="str">
        <f>IFERROR(('Activity data'!AN94*(1/Constants!$H$135))*ttokg*FracLEACH*MSLeachEF*NtoN2O*kgtoGg,"NO")</f>
        <v>NO</v>
      </c>
      <c r="AO151" s="22" t="str">
        <f>IFERROR(('Activity data'!AO94*(1/Constants!$H$135))*ttokg*FracLEACH*MSLeachEF*NtoN2O*kgtoGg,"NO")</f>
        <v>NO</v>
      </c>
      <c r="AP151" s="22" t="str">
        <f>IFERROR(('Activity data'!AP94*(1/Constants!$H$135))*ttokg*FracLEACH*MSLeachEF*NtoN2O*kgtoGg,"NO")</f>
        <v>NO</v>
      </c>
      <c r="AQ151" s="22" t="str">
        <f>IFERROR(('Activity data'!AQ94*(1/Constants!$H$135))*ttokg*FracLEACH*MSLeachEF*NtoN2O*kgtoGg,"NO")</f>
        <v>NO</v>
      </c>
      <c r="AR151" s="22" t="str">
        <f>IFERROR(('Activity data'!AR94*(1/Constants!$H$135))*ttokg*FracLEACH*MSLeachEF*NtoN2O*kgtoGg,"NO")</f>
        <v>NO</v>
      </c>
      <c r="AS151" s="22" t="str">
        <f>IFERROR(('Activity data'!AS94*(1/Constants!$H$135))*ttokg*FracLEACH*MSLeachEF*NtoN2O*kgtoGg,"NO")</f>
        <v>NO</v>
      </c>
      <c r="AT151" s="22" t="str">
        <f>IFERROR(('Activity data'!AT94*(1/Constants!$H$135))*ttokg*FracLEACH*MSLeachEF*NtoN2O*kgtoGg,"NO")</f>
        <v>NO</v>
      </c>
      <c r="AU151" s="22" t="str">
        <f>IFERROR(('Activity data'!AU94*(1/Constants!$H$135))*ttokg*FracLEACH*MSLeachEF*NtoN2O*kgtoGg,"NO")</f>
        <v>NO</v>
      </c>
      <c r="AV151" s="22" t="str">
        <f>IFERROR(('Activity data'!AV94*(1/Constants!$H$135))*ttokg*FracLEACH*MSLeachEF*NtoN2O*kgtoGg,"NO")</f>
        <v>NO</v>
      </c>
      <c r="AW151" s="22" t="str">
        <f>IFERROR(('Activity data'!AW94*(1/Constants!$H$135))*ttokg*FracLEACH*MSLeachEF*NtoN2O*kgtoGg,"NO")</f>
        <v>NO</v>
      </c>
      <c r="AX151" s="22" t="str">
        <f>IFERROR(('Activity data'!AX94*(1/Constants!$H$135))*ttokg*FracLEACH*MSLeachEF*NtoN2O*kgtoGg,"NO")</f>
        <v>NO</v>
      </c>
      <c r="AY151" s="22" t="str">
        <f>IFERROR(('Activity data'!AY94*(1/Constants!$H$135))*ttokg*FracLEACH*MSLeachEF*NtoN2O*kgtoGg,"NO")</f>
        <v>NO</v>
      </c>
      <c r="AZ151" s="22" t="str">
        <f>IFERROR(('Activity data'!AZ94*(1/Constants!$H$135))*ttokg*FracLEACH*MSLeachEF*NtoN2O*kgtoGg,"NO")</f>
        <v>NO</v>
      </c>
      <c r="BA151" s="22" t="str">
        <f>IFERROR(('Activity data'!BA94*(1/Constants!$H$135))*ttokg*FracLEACH*MSLeachEF*NtoN2O*kgtoGg,"NO")</f>
        <v>NO</v>
      </c>
      <c r="BB151" s="22" t="str">
        <f>IFERROR(('Activity data'!BB94*(1/Constants!$H$135))*ttokg*FracLEACH*MSLeachEF*NtoN2O*kgtoGg,"NO")</f>
        <v>NO</v>
      </c>
      <c r="BC151" s="22" t="str">
        <f>IFERROR(('Activity data'!BC94*(1/Constants!$H$135))*ttokg*FracLEACH*MSLeachEF*NtoN2O*kgtoGg,"NO")</f>
        <v>NO</v>
      </c>
      <c r="BD151" s="22" t="str">
        <f>IFERROR(('Activity data'!BD94*(1/Constants!$H$135))*ttokg*FracLEACH*MSLeachEF*NtoN2O*kgtoGg,"NO")</f>
        <v>NO</v>
      </c>
      <c r="BE151" s="22" t="str">
        <f>IFERROR(('Activity data'!BE94*(1/Constants!$H$135))*ttokg*FracLEACH*MSLeachEF*NtoN2O*kgtoGg,"NO")</f>
        <v>NO</v>
      </c>
      <c r="BF151" s="22" t="str">
        <f>IFERROR(('Activity data'!BF94*(1/Constants!$H$135))*ttokg*FracLEACH*MSLeachEF*NtoN2O*kgtoGg,"NO")</f>
        <v>NO</v>
      </c>
      <c r="BG151" s="22" t="str">
        <f>IFERROR(('Activity data'!BG94*(1/Constants!$H$135))*ttokg*FracLEACH*MSLeachEF*NtoN2O*kgtoGg,"NO")</f>
        <v>NO</v>
      </c>
      <c r="BH151" s="22" t="str">
        <f>IFERROR(('Activity data'!BH94*(1/Constants!$H$135))*ttokg*FracLEACH*MSLeachEF*NtoN2O*kgtoGg,"NO")</f>
        <v>NO</v>
      </c>
      <c r="BI151" s="22" t="str">
        <f>IFERROR(('Activity data'!BI94*(1/Constants!$H$135))*ttokg*FracLEACH*MSLeachEF*NtoN2O*kgtoGg,"NO")</f>
        <v>NO</v>
      </c>
      <c r="BJ151" s="22" t="str">
        <f>IFERROR(('Activity data'!BJ94*(1/Constants!$H$135))*ttokg*FracLEACH*MSLeachEF*NtoN2O*kgtoGg,"NO")</f>
        <v>NO</v>
      </c>
      <c r="BK151" s="22" t="str">
        <f>IFERROR(('Activity data'!BK94*(1/Constants!$H$135))*ttokg*FracLEACH*MSLeachEF*NtoN2O*kgtoGg,"NO")</f>
        <v>NO</v>
      </c>
      <c r="BL151" s="22" t="str">
        <f>IFERROR(('Activity data'!BL94*(1/Constants!$H$135))*ttokg*FracLEACH*MSLeachEF*NtoN2O*kgtoGg,"NO")</f>
        <v>NO</v>
      </c>
      <c r="BM151" s="22" t="str">
        <f>IFERROR(('Activity data'!BM94*(1/Constants!$H$135))*ttokg*FracLEACH*MSLeachEF*NtoN2O*kgtoGg,"NO")</f>
        <v>NO</v>
      </c>
      <c r="BN151" s="22" t="str">
        <f>IFERROR(('Activity data'!BN94*(1/Constants!$H$135))*ttokg*FracLEACH*MSLeachEF*NtoN2O*kgtoGg,"NO")</f>
        <v>NO</v>
      </c>
      <c r="BO151" s="22" t="str">
        <f>IFERROR(('Activity data'!BO94*(1/Constants!$H$135))*ttokg*FracLEACH*MSLeachEF*NtoN2O*kgtoGg,"NO")</f>
        <v>NO</v>
      </c>
      <c r="BP151" s="22" t="str">
        <f>IFERROR(('Activity data'!BP94*(1/Constants!$H$135))*ttokg*FracLEACH*MSLeachEF*NtoN2O*kgtoGg,"NO")</f>
        <v>NO</v>
      </c>
    </row>
    <row r="152" spans="1:68" x14ac:dyDescent="0.25">
      <c r="A152" t="str">
        <f t="shared" si="58"/>
        <v>3C Aggregated and non-CO2 emissions on land</v>
      </c>
      <c r="B152" t="str">
        <f t="shared" si="59"/>
        <v>3C5 Indirect N2O from managed soils (N2O)</v>
      </c>
      <c r="C152" t="str">
        <f t="shared" si="54"/>
        <v>Leaching/runoff</v>
      </c>
      <c r="D152" t="str">
        <f>" - FSOM - "&amp;'Activity data'!D95</f>
        <v xml:space="preserve"> - FSOM - Settlements remaining settlements</v>
      </c>
      <c r="E152" t="str">
        <f t="shared" si="60"/>
        <v>Leaching/runoff - FSOM - Settlements remaining settlements</v>
      </c>
      <c r="F152" t="str">
        <f t="shared" si="47"/>
        <v>N2O</v>
      </c>
      <c r="G152" t="str">
        <f t="shared" si="48"/>
        <v>Gg N2O</v>
      </c>
      <c r="H152" s="22" t="str">
        <f>IFERROR(('Activity data'!H95*(1/Constants!$H$135))*ttokg*FracLEACH*MSLeachEF*NtoN2O*kgtoGg,"NO")</f>
        <v>NO</v>
      </c>
      <c r="I152" s="22">
        <f>IFERROR(('Activity data'!I95*(1/Constants!$H$135))*ttokg*FracLEACH*MSLeachEF*NtoN2O*kgtoGg,"NO")</f>
        <v>1.712428009262699E-7</v>
      </c>
      <c r="J152" s="22">
        <f>IFERROR(('Activity data'!J95*(1/Constants!$H$135))*ttokg*FracLEACH*MSLeachEF*NtoN2O*kgtoGg,"NO")</f>
        <v>1.712428009262699E-7</v>
      </c>
      <c r="K152" s="22">
        <f>IFERROR(('Activity data'!K95*(1/Constants!$H$135))*ttokg*FracLEACH*MSLeachEF*NtoN2O*kgtoGg,"NO")</f>
        <v>1.712428009262699E-7</v>
      </c>
      <c r="L152" s="22">
        <f>IFERROR(('Activity data'!L95*(1/Constants!$H$135))*ttokg*FracLEACH*MSLeachEF*NtoN2O*kgtoGg,"NO")</f>
        <v>1.712428009262699E-7</v>
      </c>
      <c r="M152" s="22">
        <f>IFERROR(('Activity data'!M95*(1/Constants!$H$135))*ttokg*FracLEACH*MSLeachEF*NtoN2O*kgtoGg,"NO")</f>
        <v>1.712428009262699E-7</v>
      </c>
      <c r="N152" s="22">
        <f>IFERROR(('Activity data'!N95*(1/Constants!$H$135))*ttokg*FracLEACH*MSLeachEF*NtoN2O*kgtoGg,"NO")</f>
        <v>1.712428009262699E-7</v>
      </c>
      <c r="O152" s="22">
        <f>IFERROR(('Activity data'!O95*(1/Constants!$H$135))*ttokg*FracLEACH*MSLeachEF*NtoN2O*kgtoGg,"NO")</f>
        <v>1.712428009262699E-7</v>
      </c>
      <c r="P152" s="22">
        <f>IFERROR(('Activity data'!P95*(1/Constants!$H$135))*ttokg*FracLEACH*MSLeachEF*NtoN2O*kgtoGg,"NO")</f>
        <v>1.712428009262699E-7</v>
      </c>
      <c r="Q152" s="22">
        <f>IFERROR(('Activity data'!Q95*(1/Constants!$H$135))*ttokg*FracLEACH*MSLeachEF*NtoN2O*kgtoGg,"NO")</f>
        <v>1.712428009262699E-7</v>
      </c>
      <c r="R152" s="22">
        <f>IFERROR(('Activity data'!R95*(1/Constants!$H$135))*ttokg*FracLEACH*MSLeachEF*NtoN2O*kgtoGg,"NO")</f>
        <v>1.712428009262699E-7</v>
      </c>
      <c r="S152" s="22">
        <f>IFERROR(('Activity data'!S95*(1/Constants!$H$135))*ttokg*FracLEACH*MSLeachEF*NtoN2O*kgtoGg,"NO")</f>
        <v>1.712428009262699E-7</v>
      </c>
      <c r="T152" s="22">
        <f>IFERROR(('Activity data'!T95*(1/Constants!$H$135))*ttokg*FracLEACH*MSLeachEF*NtoN2O*kgtoGg,"NO")</f>
        <v>1.712428009262699E-7</v>
      </c>
      <c r="U152" s="22">
        <f>IFERROR(('Activity data'!U95*(1/Constants!$H$135))*ttokg*FracLEACH*MSLeachEF*NtoN2O*kgtoGg,"NO")</f>
        <v>1.712428009262699E-7</v>
      </c>
      <c r="V152" s="22">
        <f>IFERROR(('Activity data'!V95*(1/Constants!$H$135))*ttokg*FracLEACH*MSLeachEF*NtoN2O*kgtoGg,"NO")</f>
        <v>1.712428009262699E-7</v>
      </c>
      <c r="W152" s="22">
        <f>IFERROR(('Activity data'!W95*(1/Constants!$H$135))*ttokg*FracLEACH*MSLeachEF*NtoN2O*kgtoGg,"NO")</f>
        <v>1.712428009262699E-7</v>
      </c>
      <c r="X152" s="22">
        <f>IFERROR(('Activity data'!X95*(1/Constants!$H$135))*ttokg*FracLEACH*MSLeachEF*NtoN2O*kgtoGg,"NO")</f>
        <v>1.712428009262699E-7</v>
      </c>
      <c r="Y152" s="22">
        <f>IFERROR(('Activity data'!Y95*(1/Constants!$H$135))*ttokg*FracLEACH*MSLeachEF*NtoN2O*kgtoGg,"NO")</f>
        <v>1.712428009262699E-7</v>
      </c>
      <c r="Z152" s="22">
        <f>IFERROR(('Activity data'!Z95*(1/Constants!$H$135))*ttokg*FracLEACH*MSLeachEF*NtoN2O*kgtoGg,"NO")</f>
        <v>1.712428009262699E-7</v>
      </c>
      <c r="AA152" s="22">
        <f>IFERROR(('Activity data'!AA95*(1/Constants!$H$135))*ttokg*FracLEACH*MSLeachEF*NtoN2O*kgtoGg,"NO")</f>
        <v>1.712428009262699E-7</v>
      </c>
      <c r="AB152" s="22">
        <f>IFERROR(('Activity data'!AB95*(1/Constants!$H$135))*ttokg*FracLEACH*MSLeachEF*NtoN2O*kgtoGg,"NO")</f>
        <v>1.712428009262699E-7</v>
      </c>
      <c r="AC152" s="22">
        <f>IFERROR(('Activity data'!AC95*(1/Constants!$H$135))*ttokg*FracLEACH*MSLeachEF*NtoN2O*kgtoGg,"NO")</f>
        <v>1.712428009262699E-7</v>
      </c>
      <c r="AD152" s="22">
        <f>IFERROR(('Activity data'!AD95*(1/Constants!$H$135))*ttokg*FracLEACH*MSLeachEF*NtoN2O*kgtoGg,"NO")</f>
        <v>1.9333864620707719E-6</v>
      </c>
      <c r="AE152" s="22">
        <f>IFERROR(('Activity data'!AE95*(1/Constants!$H$135))*ttokg*FracLEACH*MSLeachEF*NtoN2O*kgtoGg,"NO")</f>
        <v>1.9333864620707719E-6</v>
      </c>
      <c r="AF152" s="22">
        <f>IFERROR(('Activity data'!AF95*(1/Constants!$H$135))*ttokg*FracLEACH*MSLeachEF*NtoN2O*kgtoGg,"NO")</f>
        <v>1.9333864620707719E-6</v>
      </c>
      <c r="AG152" s="22">
        <f>IFERROR(('Activity data'!AG95*(1/Constants!$H$135))*ttokg*FracLEACH*MSLeachEF*NtoN2O*kgtoGg,"NO")</f>
        <v>1.9333864620707719E-6</v>
      </c>
      <c r="AH152" s="22">
        <f>IFERROR(('Activity data'!AH95*(1/Constants!$H$135))*ttokg*FracLEACH*MSLeachEF*NtoN2O*kgtoGg,"NO")</f>
        <v>1.9333864620707719E-6</v>
      </c>
      <c r="AI152" s="22">
        <f>IFERROR(('Activity data'!AI95*(1/Constants!$H$135))*ttokg*FracLEACH*MSLeachEF*NtoN2O*kgtoGg,"NO")</f>
        <v>1.9333864620707719E-6</v>
      </c>
      <c r="AJ152" s="22">
        <f>IFERROR(('Activity data'!AJ95*(1/Constants!$H$135))*ttokg*FracLEACH*MSLeachEF*NtoN2O*kgtoGg,"NO")</f>
        <v>1.9333864620707719E-6</v>
      </c>
      <c r="AK152" s="22">
        <f>IFERROR(('Activity data'!AK95*(1/Constants!$H$135))*ttokg*FracLEACH*MSLeachEF*NtoN2O*kgtoGg,"NO")</f>
        <v>1.9333864620707719E-6</v>
      </c>
      <c r="AL152" s="22">
        <f>IFERROR(('Activity data'!AL95*(1/Constants!$H$135))*ttokg*FracLEACH*MSLeachEF*NtoN2O*kgtoGg,"NO")</f>
        <v>1.9333864620707719E-6</v>
      </c>
      <c r="AM152" s="22">
        <f>IFERROR(('Activity data'!AM95*(1/Constants!$H$135))*ttokg*FracLEACH*MSLeachEF*NtoN2O*kgtoGg,"NO")</f>
        <v>1.9333864620707719E-6</v>
      </c>
      <c r="AN152" s="22">
        <f>IFERROR(('Activity data'!AN95*(1/Constants!$H$135))*ttokg*FracLEACH*MSLeachEF*NtoN2O*kgtoGg,"NO")</f>
        <v>1.9333864620707719E-6</v>
      </c>
      <c r="AO152" s="22">
        <f>IFERROR(('Activity data'!AO95*(1/Constants!$H$135))*ttokg*FracLEACH*MSLeachEF*NtoN2O*kgtoGg,"NO")</f>
        <v>1.9333864620707719E-6</v>
      </c>
      <c r="AP152" s="22">
        <f>IFERROR(('Activity data'!AP95*(1/Constants!$H$135))*ttokg*FracLEACH*MSLeachEF*NtoN2O*kgtoGg,"NO")</f>
        <v>1.9333864620707719E-6</v>
      </c>
      <c r="AQ152" s="22">
        <f>IFERROR(('Activity data'!AQ95*(1/Constants!$H$135))*ttokg*FracLEACH*MSLeachEF*NtoN2O*kgtoGg,"NO")</f>
        <v>1.9333864620707719E-6</v>
      </c>
      <c r="AR152" s="22">
        <f>IFERROR(('Activity data'!AR95*(1/Constants!$H$135))*ttokg*FracLEACH*MSLeachEF*NtoN2O*kgtoGg,"NO")</f>
        <v>1.9333864620707719E-6</v>
      </c>
      <c r="AS152" s="22">
        <f>IFERROR(('Activity data'!AS95*(1/Constants!$H$135))*ttokg*FracLEACH*MSLeachEF*NtoN2O*kgtoGg,"NO")</f>
        <v>1.9333864620707719E-6</v>
      </c>
      <c r="AT152" s="22">
        <f>IFERROR(('Activity data'!AT95*(1/Constants!$H$135))*ttokg*FracLEACH*MSLeachEF*NtoN2O*kgtoGg,"NO")</f>
        <v>1.9333864620707719E-6</v>
      </c>
      <c r="AU152" s="22">
        <f>IFERROR(('Activity data'!AU95*(1/Constants!$H$135))*ttokg*FracLEACH*MSLeachEF*NtoN2O*kgtoGg,"NO")</f>
        <v>1.9333864620707719E-6</v>
      </c>
      <c r="AV152" s="22">
        <f>IFERROR(('Activity data'!AV95*(1/Constants!$H$135))*ttokg*FracLEACH*MSLeachEF*NtoN2O*kgtoGg,"NO")</f>
        <v>1.9333864620707719E-6</v>
      </c>
      <c r="AW152" s="22">
        <f>IFERROR(('Activity data'!AW95*(1/Constants!$H$135))*ttokg*FracLEACH*MSLeachEF*NtoN2O*kgtoGg,"NO")</f>
        <v>1.9333864620707719E-6</v>
      </c>
      <c r="AX152" s="22">
        <f>IFERROR(('Activity data'!AX95*(1/Constants!$H$135))*ttokg*FracLEACH*MSLeachEF*NtoN2O*kgtoGg,"NO")</f>
        <v>1.9333864620707719E-6</v>
      </c>
      <c r="AY152" s="22">
        <f>IFERROR(('Activity data'!AY95*(1/Constants!$H$135))*ttokg*FracLEACH*MSLeachEF*NtoN2O*kgtoGg,"NO")</f>
        <v>1.9333864620707719E-6</v>
      </c>
      <c r="AZ152" s="22">
        <f>IFERROR(('Activity data'!AZ95*(1/Constants!$H$135))*ttokg*FracLEACH*MSLeachEF*NtoN2O*kgtoGg,"NO")</f>
        <v>1.9333864620707719E-6</v>
      </c>
      <c r="BA152" s="22">
        <f>IFERROR(('Activity data'!BA95*(1/Constants!$H$135))*ttokg*FracLEACH*MSLeachEF*NtoN2O*kgtoGg,"NO")</f>
        <v>1.9333864620707719E-6</v>
      </c>
      <c r="BB152" s="22">
        <f>IFERROR(('Activity data'!BB95*(1/Constants!$H$135))*ttokg*FracLEACH*MSLeachEF*NtoN2O*kgtoGg,"NO")</f>
        <v>1.9333864620707719E-6</v>
      </c>
      <c r="BC152" s="22">
        <f>IFERROR(('Activity data'!BC95*(1/Constants!$H$135))*ttokg*FracLEACH*MSLeachEF*NtoN2O*kgtoGg,"NO")</f>
        <v>1.9333864620707719E-6</v>
      </c>
      <c r="BD152" s="22">
        <f>IFERROR(('Activity data'!BD95*(1/Constants!$H$135))*ttokg*FracLEACH*MSLeachEF*NtoN2O*kgtoGg,"NO")</f>
        <v>1.9333864620707719E-6</v>
      </c>
      <c r="BE152" s="22">
        <f>IFERROR(('Activity data'!BE95*(1/Constants!$H$135))*ttokg*FracLEACH*MSLeachEF*NtoN2O*kgtoGg,"NO")</f>
        <v>1.9333864620707719E-6</v>
      </c>
      <c r="BF152" s="22">
        <f>IFERROR(('Activity data'!BF95*(1/Constants!$H$135))*ttokg*FracLEACH*MSLeachEF*NtoN2O*kgtoGg,"NO")</f>
        <v>1.9333864620707719E-6</v>
      </c>
      <c r="BG152" s="22">
        <f>IFERROR(('Activity data'!BG95*(1/Constants!$H$135))*ttokg*FracLEACH*MSLeachEF*NtoN2O*kgtoGg,"NO")</f>
        <v>1.9333864620707719E-6</v>
      </c>
      <c r="BH152" s="22">
        <f>IFERROR(('Activity data'!BH95*(1/Constants!$H$135))*ttokg*FracLEACH*MSLeachEF*NtoN2O*kgtoGg,"NO")</f>
        <v>1.9333864620707719E-6</v>
      </c>
      <c r="BI152" s="22">
        <f>IFERROR(('Activity data'!BI95*(1/Constants!$H$135))*ttokg*FracLEACH*MSLeachEF*NtoN2O*kgtoGg,"NO")</f>
        <v>1.9333864620707719E-6</v>
      </c>
      <c r="BJ152" s="22">
        <f>IFERROR(('Activity data'!BJ95*(1/Constants!$H$135))*ttokg*FracLEACH*MSLeachEF*NtoN2O*kgtoGg,"NO")</f>
        <v>1.9333864620707719E-6</v>
      </c>
      <c r="BK152" s="22">
        <f>IFERROR(('Activity data'!BK95*(1/Constants!$H$135))*ttokg*FracLEACH*MSLeachEF*NtoN2O*kgtoGg,"NO")</f>
        <v>1.9333864620707719E-6</v>
      </c>
      <c r="BL152" s="22">
        <f>IFERROR(('Activity data'!BL95*(1/Constants!$H$135))*ttokg*FracLEACH*MSLeachEF*NtoN2O*kgtoGg,"NO")</f>
        <v>1.9333864620707719E-6</v>
      </c>
      <c r="BM152" s="22">
        <f>IFERROR(('Activity data'!BM95*(1/Constants!$H$135))*ttokg*FracLEACH*MSLeachEF*NtoN2O*kgtoGg,"NO")</f>
        <v>1.9333864620707719E-6</v>
      </c>
      <c r="BN152" s="22">
        <f>IFERROR(('Activity data'!BN95*(1/Constants!$H$135))*ttokg*FracLEACH*MSLeachEF*NtoN2O*kgtoGg,"NO")</f>
        <v>1.9333864620707719E-6</v>
      </c>
      <c r="BO152" s="22">
        <f>IFERROR(('Activity data'!BO95*(1/Constants!$H$135))*ttokg*FracLEACH*MSLeachEF*NtoN2O*kgtoGg,"NO")</f>
        <v>1.9333864620707719E-6</v>
      </c>
      <c r="BP152" s="22">
        <f>IFERROR(('Activity data'!BP95*(1/Constants!$H$135))*ttokg*FracLEACH*MSLeachEF*NtoN2O*kgtoGg,"NO")</f>
        <v>1.9333864620707719E-6</v>
      </c>
    </row>
    <row r="153" spans="1:68" x14ac:dyDescent="0.25">
      <c r="A153" t="str">
        <f t="shared" si="58"/>
        <v>3C Aggregated and non-CO2 emissions on land</v>
      </c>
      <c r="B153" t="str">
        <f t="shared" si="59"/>
        <v>3C5 Indirect N2O from managed soils (N2O)</v>
      </c>
      <c r="C153" t="str">
        <f t="shared" si="54"/>
        <v>Leaching/runoff</v>
      </c>
      <c r="D153" t="str">
        <f>" - FSOM - "&amp;'Activity data'!D96</f>
        <v xml:space="preserve"> - FSOM - Land converted to settlements</v>
      </c>
      <c r="E153" t="str">
        <f t="shared" si="60"/>
        <v>Leaching/runoff - FSOM - Land converted to settlements</v>
      </c>
      <c r="F153" t="str">
        <f t="shared" si="47"/>
        <v>N2O</v>
      </c>
      <c r="G153" t="str">
        <f t="shared" si="48"/>
        <v>Gg N2O</v>
      </c>
      <c r="H153" s="22">
        <f>IFERROR(('Activity data'!H96*(1/Constants!$H$135))*ttokg*FracLEACH*MSLeachEF*NtoN2O*kgtoGg,"NO")</f>
        <v>0</v>
      </c>
      <c r="I153" s="22">
        <f>IFERROR(('Activity data'!I96*(1/Constants!$H$135))*ttokg*FracLEACH*MSLeachEF*NtoN2O*kgtoGg,"NO")</f>
        <v>2.1478724107376677E-4</v>
      </c>
      <c r="J153" s="22">
        <f>IFERROR(('Activity data'!J96*(1/Constants!$H$135))*ttokg*FracLEACH*MSLeachEF*NtoN2O*kgtoGg,"NO")</f>
        <v>2.1478724107376677E-4</v>
      </c>
      <c r="K153" s="22">
        <f>IFERROR(('Activity data'!K96*(1/Constants!$H$135))*ttokg*FracLEACH*MSLeachEF*NtoN2O*kgtoGg,"NO")</f>
        <v>2.1478724107376677E-4</v>
      </c>
      <c r="L153" s="22">
        <f>IFERROR(('Activity data'!L96*(1/Constants!$H$135))*ttokg*FracLEACH*MSLeachEF*NtoN2O*kgtoGg,"NO")</f>
        <v>2.1478724107376677E-4</v>
      </c>
      <c r="M153" s="22">
        <f>IFERROR(('Activity data'!M96*(1/Constants!$H$135))*ttokg*FracLEACH*MSLeachEF*NtoN2O*kgtoGg,"NO")</f>
        <v>2.1478724107376677E-4</v>
      </c>
      <c r="N153" s="22">
        <f>IFERROR(('Activity data'!N96*(1/Constants!$H$135))*ttokg*FracLEACH*MSLeachEF*NtoN2O*kgtoGg,"NO")</f>
        <v>2.1478724107376677E-4</v>
      </c>
      <c r="O153" s="22">
        <f>IFERROR(('Activity data'!O96*(1/Constants!$H$135))*ttokg*FracLEACH*MSLeachEF*NtoN2O*kgtoGg,"NO")</f>
        <v>2.1478724107376677E-4</v>
      </c>
      <c r="P153" s="22">
        <f>IFERROR(('Activity data'!P96*(1/Constants!$H$135))*ttokg*FracLEACH*MSLeachEF*NtoN2O*kgtoGg,"NO")</f>
        <v>2.1478724107376677E-4</v>
      </c>
      <c r="Q153" s="22">
        <f>IFERROR(('Activity data'!Q96*(1/Constants!$H$135))*ttokg*FracLEACH*MSLeachEF*NtoN2O*kgtoGg,"NO")</f>
        <v>2.1478724107376677E-4</v>
      </c>
      <c r="R153" s="22">
        <f>IFERROR(('Activity data'!R96*(1/Constants!$H$135))*ttokg*FracLEACH*MSLeachEF*NtoN2O*kgtoGg,"NO")</f>
        <v>2.1478724107376677E-4</v>
      </c>
      <c r="S153" s="22">
        <f>IFERROR(('Activity data'!S96*(1/Constants!$H$135))*ttokg*FracLEACH*MSLeachEF*NtoN2O*kgtoGg,"NO")</f>
        <v>2.1478724107376677E-4</v>
      </c>
      <c r="T153" s="22">
        <f>IFERROR(('Activity data'!T96*(1/Constants!$H$135))*ttokg*FracLEACH*MSLeachEF*NtoN2O*kgtoGg,"NO")</f>
        <v>2.1478724107376677E-4</v>
      </c>
      <c r="U153" s="22">
        <f>IFERROR(('Activity data'!U96*(1/Constants!$H$135))*ttokg*FracLEACH*MSLeachEF*NtoN2O*kgtoGg,"NO")</f>
        <v>2.1478724107376677E-4</v>
      </c>
      <c r="V153" s="22">
        <f>IFERROR(('Activity data'!V96*(1/Constants!$H$135))*ttokg*FracLEACH*MSLeachEF*NtoN2O*kgtoGg,"NO")</f>
        <v>2.1478724107376677E-4</v>
      </c>
      <c r="W153" s="22">
        <f>IFERROR(('Activity data'!W96*(1/Constants!$H$135))*ttokg*FracLEACH*MSLeachEF*NtoN2O*kgtoGg,"NO")</f>
        <v>2.1478724107376677E-4</v>
      </c>
      <c r="X153" s="22">
        <f>IFERROR(('Activity data'!X96*(1/Constants!$H$135))*ttokg*FracLEACH*MSLeachEF*NtoN2O*kgtoGg,"NO")</f>
        <v>2.1478724107376677E-4</v>
      </c>
      <c r="Y153" s="22">
        <f>IFERROR(('Activity data'!Y96*(1/Constants!$H$135))*ttokg*FracLEACH*MSLeachEF*NtoN2O*kgtoGg,"NO")</f>
        <v>2.1478724107376677E-4</v>
      </c>
      <c r="Z153" s="22">
        <f>IFERROR(('Activity data'!Z96*(1/Constants!$H$135))*ttokg*FracLEACH*MSLeachEF*NtoN2O*kgtoGg,"NO")</f>
        <v>2.1478724107376677E-4</v>
      </c>
      <c r="AA153" s="22">
        <f>IFERROR(('Activity data'!AA96*(1/Constants!$H$135))*ttokg*FracLEACH*MSLeachEF*NtoN2O*kgtoGg,"NO")</f>
        <v>2.1478724107376677E-4</v>
      </c>
      <c r="AB153" s="22">
        <f>IFERROR(('Activity data'!AB96*(1/Constants!$H$135))*ttokg*FracLEACH*MSLeachEF*NtoN2O*kgtoGg,"NO")</f>
        <v>2.1478724107376677E-4</v>
      </c>
      <c r="AC153" s="22">
        <f>IFERROR(('Activity data'!AC96*(1/Constants!$H$135))*ttokg*FracLEACH*MSLeachEF*NtoN2O*kgtoGg,"NO")</f>
        <v>2.1478724107376677E-4</v>
      </c>
      <c r="AD153" s="22">
        <f>IFERROR(('Activity data'!AD96*(1/Constants!$H$135))*ttokg*FracLEACH*MSLeachEF*NtoN2O*kgtoGg,"NO")</f>
        <v>2.1082459751876198E-3</v>
      </c>
      <c r="AE153" s="22">
        <f>IFERROR(('Activity data'!AE96*(1/Constants!$H$135))*ttokg*FracLEACH*MSLeachEF*NtoN2O*kgtoGg,"NO")</f>
        <v>2.1082459751876198E-3</v>
      </c>
      <c r="AF153" s="22">
        <f>IFERROR(('Activity data'!AF96*(1/Constants!$H$135))*ttokg*FracLEACH*MSLeachEF*NtoN2O*kgtoGg,"NO")</f>
        <v>2.1082459751876198E-3</v>
      </c>
      <c r="AG153" s="22">
        <f>IFERROR(('Activity data'!AG96*(1/Constants!$H$135))*ttokg*FracLEACH*MSLeachEF*NtoN2O*kgtoGg,"NO")</f>
        <v>2.1082459751876198E-3</v>
      </c>
      <c r="AH153" s="22">
        <f>IFERROR(('Activity data'!AH96*(1/Constants!$H$135))*ttokg*FracLEACH*MSLeachEF*NtoN2O*kgtoGg,"NO")</f>
        <v>2.1082459751876198E-3</v>
      </c>
      <c r="AI153" s="22">
        <f>IFERROR(('Activity data'!AI96*(1/Constants!$H$135))*ttokg*FracLEACH*MSLeachEF*NtoN2O*kgtoGg,"NO")</f>
        <v>2.1082459751876198E-3</v>
      </c>
      <c r="AJ153" s="22">
        <f>IFERROR(('Activity data'!AJ96*(1/Constants!$H$135))*ttokg*FracLEACH*MSLeachEF*NtoN2O*kgtoGg,"NO")</f>
        <v>2.1082459751876198E-3</v>
      </c>
      <c r="AK153" s="22">
        <f>IFERROR(('Activity data'!AK96*(1/Constants!$H$135))*ttokg*FracLEACH*MSLeachEF*NtoN2O*kgtoGg,"NO")</f>
        <v>2.1082459751876198E-3</v>
      </c>
      <c r="AL153" s="22">
        <f>IFERROR(('Activity data'!AL96*(1/Constants!$H$135))*ttokg*FracLEACH*MSLeachEF*NtoN2O*kgtoGg,"NO")</f>
        <v>2.1082459751876198E-3</v>
      </c>
      <c r="AM153" s="22">
        <f>IFERROR(('Activity data'!AM96*(1/Constants!$H$135))*ttokg*FracLEACH*MSLeachEF*NtoN2O*kgtoGg,"NO")</f>
        <v>2.1082459751876198E-3</v>
      </c>
      <c r="AN153" s="22">
        <f>IFERROR(('Activity data'!AN96*(1/Constants!$H$135))*ttokg*FracLEACH*MSLeachEF*NtoN2O*kgtoGg,"NO")</f>
        <v>2.1082459751876198E-3</v>
      </c>
      <c r="AO153" s="22">
        <f>IFERROR(('Activity data'!AO96*(1/Constants!$H$135))*ttokg*FracLEACH*MSLeachEF*NtoN2O*kgtoGg,"NO")</f>
        <v>2.1082459751876198E-3</v>
      </c>
      <c r="AP153" s="22">
        <f>IFERROR(('Activity data'!AP96*(1/Constants!$H$135))*ttokg*FracLEACH*MSLeachEF*NtoN2O*kgtoGg,"NO")</f>
        <v>2.1082459751876198E-3</v>
      </c>
      <c r="AQ153" s="22">
        <f>IFERROR(('Activity data'!AQ96*(1/Constants!$H$135))*ttokg*FracLEACH*MSLeachEF*NtoN2O*kgtoGg,"NO")</f>
        <v>2.1082459751876198E-3</v>
      </c>
      <c r="AR153" s="22">
        <f>IFERROR(('Activity data'!AR96*(1/Constants!$H$135))*ttokg*FracLEACH*MSLeachEF*NtoN2O*kgtoGg,"NO")</f>
        <v>2.1082459751876198E-3</v>
      </c>
      <c r="AS153" s="22">
        <f>IFERROR(('Activity data'!AS96*(1/Constants!$H$135))*ttokg*FracLEACH*MSLeachEF*NtoN2O*kgtoGg,"NO")</f>
        <v>2.1082459751876198E-3</v>
      </c>
      <c r="AT153" s="22">
        <f>IFERROR(('Activity data'!AT96*(1/Constants!$H$135))*ttokg*FracLEACH*MSLeachEF*NtoN2O*kgtoGg,"NO")</f>
        <v>2.1082459751876198E-3</v>
      </c>
      <c r="AU153" s="22">
        <f>IFERROR(('Activity data'!AU96*(1/Constants!$H$135))*ttokg*FracLEACH*MSLeachEF*NtoN2O*kgtoGg,"NO")</f>
        <v>2.1082459751876198E-3</v>
      </c>
      <c r="AV153" s="22">
        <f>IFERROR(('Activity data'!AV96*(1/Constants!$H$135))*ttokg*FracLEACH*MSLeachEF*NtoN2O*kgtoGg,"NO")</f>
        <v>2.1082459751876198E-3</v>
      </c>
      <c r="AW153" s="22">
        <f>IFERROR(('Activity data'!AW96*(1/Constants!$H$135))*ttokg*FracLEACH*MSLeachEF*NtoN2O*kgtoGg,"NO")</f>
        <v>2.1082459751876198E-3</v>
      </c>
      <c r="AX153" s="22">
        <f>IFERROR(('Activity data'!AX96*(1/Constants!$H$135))*ttokg*FracLEACH*MSLeachEF*NtoN2O*kgtoGg,"NO")</f>
        <v>2.1082459751876198E-3</v>
      </c>
      <c r="AY153" s="22">
        <f>IFERROR(('Activity data'!AY96*(1/Constants!$H$135))*ttokg*FracLEACH*MSLeachEF*NtoN2O*kgtoGg,"NO")</f>
        <v>2.1082459751876198E-3</v>
      </c>
      <c r="AZ153" s="22">
        <f>IFERROR(('Activity data'!AZ96*(1/Constants!$H$135))*ttokg*FracLEACH*MSLeachEF*NtoN2O*kgtoGg,"NO")</f>
        <v>2.1082459751876198E-3</v>
      </c>
      <c r="BA153" s="22">
        <f>IFERROR(('Activity data'!BA96*(1/Constants!$H$135))*ttokg*FracLEACH*MSLeachEF*NtoN2O*kgtoGg,"NO")</f>
        <v>2.1082459751876198E-3</v>
      </c>
      <c r="BB153" s="22">
        <f>IFERROR(('Activity data'!BB96*(1/Constants!$H$135))*ttokg*FracLEACH*MSLeachEF*NtoN2O*kgtoGg,"NO")</f>
        <v>2.1082459751876198E-3</v>
      </c>
      <c r="BC153" s="22">
        <f>IFERROR(('Activity data'!BC96*(1/Constants!$H$135))*ttokg*FracLEACH*MSLeachEF*NtoN2O*kgtoGg,"NO")</f>
        <v>2.1082459751876198E-3</v>
      </c>
      <c r="BD153" s="22">
        <f>IFERROR(('Activity data'!BD96*(1/Constants!$H$135))*ttokg*FracLEACH*MSLeachEF*NtoN2O*kgtoGg,"NO")</f>
        <v>2.1082459751876198E-3</v>
      </c>
      <c r="BE153" s="22">
        <f>IFERROR(('Activity data'!BE96*(1/Constants!$H$135))*ttokg*FracLEACH*MSLeachEF*NtoN2O*kgtoGg,"NO")</f>
        <v>2.1082459751876198E-3</v>
      </c>
      <c r="BF153" s="22">
        <f>IFERROR(('Activity data'!BF96*(1/Constants!$H$135))*ttokg*FracLEACH*MSLeachEF*NtoN2O*kgtoGg,"NO")</f>
        <v>2.1082459751876198E-3</v>
      </c>
      <c r="BG153" s="22">
        <f>IFERROR(('Activity data'!BG96*(1/Constants!$H$135))*ttokg*FracLEACH*MSLeachEF*NtoN2O*kgtoGg,"NO")</f>
        <v>2.1082459751876198E-3</v>
      </c>
      <c r="BH153" s="22">
        <f>IFERROR(('Activity data'!BH96*(1/Constants!$H$135))*ttokg*FracLEACH*MSLeachEF*NtoN2O*kgtoGg,"NO")</f>
        <v>2.1082459751876198E-3</v>
      </c>
      <c r="BI153" s="22">
        <f>IFERROR(('Activity data'!BI96*(1/Constants!$H$135))*ttokg*FracLEACH*MSLeachEF*NtoN2O*kgtoGg,"NO")</f>
        <v>2.1082459751876198E-3</v>
      </c>
      <c r="BJ153" s="22">
        <f>IFERROR(('Activity data'!BJ96*(1/Constants!$H$135))*ttokg*FracLEACH*MSLeachEF*NtoN2O*kgtoGg,"NO")</f>
        <v>2.1082459751876198E-3</v>
      </c>
      <c r="BK153" s="22">
        <f>IFERROR(('Activity data'!BK96*(1/Constants!$H$135))*ttokg*FracLEACH*MSLeachEF*NtoN2O*kgtoGg,"NO")</f>
        <v>2.1082459751876198E-3</v>
      </c>
      <c r="BL153" s="22">
        <f>IFERROR(('Activity data'!BL96*(1/Constants!$H$135))*ttokg*FracLEACH*MSLeachEF*NtoN2O*kgtoGg,"NO")</f>
        <v>2.1082459751876198E-3</v>
      </c>
      <c r="BM153" s="22">
        <f>IFERROR(('Activity data'!BM96*(1/Constants!$H$135))*ttokg*FracLEACH*MSLeachEF*NtoN2O*kgtoGg,"NO")</f>
        <v>2.1082459751876198E-3</v>
      </c>
      <c r="BN153" s="22">
        <f>IFERROR(('Activity data'!BN96*(1/Constants!$H$135))*ttokg*FracLEACH*MSLeachEF*NtoN2O*kgtoGg,"NO")</f>
        <v>2.1082459751876198E-3</v>
      </c>
      <c r="BO153" s="22">
        <f>IFERROR(('Activity data'!BO96*(1/Constants!$H$135))*ttokg*FracLEACH*MSLeachEF*NtoN2O*kgtoGg,"NO")</f>
        <v>2.1082459751876198E-3</v>
      </c>
      <c r="BP153" s="22">
        <f>IFERROR(('Activity data'!BP96*(1/Constants!$H$135))*ttokg*FracLEACH*MSLeachEF*NtoN2O*kgtoGg,"NO")</f>
        <v>2.1082459751876198E-3</v>
      </c>
    </row>
    <row r="154" spans="1:68" x14ac:dyDescent="0.25">
      <c r="A154" t="str">
        <f t="shared" si="58"/>
        <v>3C Aggregated and non-CO2 emissions on land</v>
      </c>
      <c r="B154" t="str">
        <f t="shared" si="59"/>
        <v>3C5 Indirect N2O from managed soils (N2O)</v>
      </c>
      <c r="C154" t="str">
        <f t="shared" si="54"/>
        <v>Leaching/runoff</v>
      </c>
      <c r="D154" t="str">
        <f>" - FSOM - "&amp;'Activity data'!D97</f>
        <v xml:space="preserve"> - FSOM - Other land remaining other land</v>
      </c>
      <c r="E154" t="str">
        <f t="shared" si="60"/>
        <v>Leaching/runoff - FSOM - Other land remaining other land</v>
      </c>
      <c r="F154" t="str">
        <f t="shared" si="47"/>
        <v>N2O</v>
      </c>
      <c r="G154" t="str">
        <f t="shared" si="48"/>
        <v>Gg N2O</v>
      </c>
      <c r="H154" s="22" t="str">
        <f>IFERROR(('Activity data'!H97*(1/Constants!$H$135))*ttokg*FracLEACH*MSLeachEF*NtoN2O*kgtoGg,"NO")</f>
        <v>NO</v>
      </c>
      <c r="I154" s="22" t="str">
        <f>IFERROR(('Activity data'!I97*(1/Constants!$H$135))*ttokg*FracLEACH*MSLeachEF*NtoN2O*kgtoGg,"NO")</f>
        <v>NO</v>
      </c>
      <c r="J154" s="22" t="str">
        <f>IFERROR(('Activity data'!J97*(1/Constants!$H$135))*ttokg*FracLEACH*MSLeachEF*NtoN2O*kgtoGg,"NO")</f>
        <v>NO</v>
      </c>
      <c r="K154" s="22" t="str">
        <f>IFERROR(('Activity data'!K97*(1/Constants!$H$135))*ttokg*FracLEACH*MSLeachEF*NtoN2O*kgtoGg,"NO")</f>
        <v>NO</v>
      </c>
      <c r="L154" s="22" t="str">
        <f>IFERROR(('Activity data'!L97*(1/Constants!$H$135))*ttokg*FracLEACH*MSLeachEF*NtoN2O*kgtoGg,"NO")</f>
        <v>NO</v>
      </c>
      <c r="M154" s="22" t="str">
        <f>IFERROR(('Activity data'!M97*(1/Constants!$H$135))*ttokg*FracLEACH*MSLeachEF*NtoN2O*kgtoGg,"NO")</f>
        <v>NO</v>
      </c>
      <c r="N154" s="22" t="str">
        <f>IFERROR(('Activity data'!N97*(1/Constants!$H$135))*ttokg*FracLEACH*MSLeachEF*NtoN2O*kgtoGg,"NO")</f>
        <v>NO</v>
      </c>
      <c r="O154" s="22" t="str">
        <f>IFERROR(('Activity data'!O97*(1/Constants!$H$135))*ttokg*FracLEACH*MSLeachEF*NtoN2O*kgtoGg,"NO")</f>
        <v>NO</v>
      </c>
      <c r="P154" s="22" t="str">
        <f>IFERROR(('Activity data'!P97*(1/Constants!$H$135))*ttokg*FracLEACH*MSLeachEF*NtoN2O*kgtoGg,"NO")</f>
        <v>NO</v>
      </c>
      <c r="Q154" s="22" t="str">
        <f>IFERROR(('Activity data'!Q97*(1/Constants!$H$135))*ttokg*FracLEACH*MSLeachEF*NtoN2O*kgtoGg,"NO")</f>
        <v>NO</v>
      </c>
      <c r="R154" s="22" t="str">
        <f>IFERROR(('Activity data'!R97*(1/Constants!$H$135))*ttokg*FracLEACH*MSLeachEF*NtoN2O*kgtoGg,"NO")</f>
        <v>NO</v>
      </c>
      <c r="S154" s="22" t="str">
        <f>IFERROR(('Activity data'!S97*(1/Constants!$H$135))*ttokg*FracLEACH*MSLeachEF*NtoN2O*kgtoGg,"NO")</f>
        <v>NO</v>
      </c>
      <c r="T154" s="22" t="str">
        <f>IFERROR(('Activity data'!T97*(1/Constants!$H$135))*ttokg*FracLEACH*MSLeachEF*NtoN2O*kgtoGg,"NO")</f>
        <v>NO</v>
      </c>
      <c r="U154" s="22" t="str">
        <f>IFERROR(('Activity data'!U97*(1/Constants!$H$135))*ttokg*FracLEACH*MSLeachEF*NtoN2O*kgtoGg,"NO")</f>
        <v>NO</v>
      </c>
      <c r="V154" s="22" t="str">
        <f>IFERROR(('Activity data'!V97*(1/Constants!$H$135))*ttokg*FracLEACH*MSLeachEF*NtoN2O*kgtoGg,"NO")</f>
        <v>NO</v>
      </c>
      <c r="W154" s="22" t="str">
        <f>IFERROR(('Activity data'!W97*(1/Constants!$H$135))*ttokg*FracLEACH*MSLeachEF*NtoN2O*kgtoGg,"NO")</f>
        <v>NO</v>
      </c>
      <c r="X154" s="22" t="str">
        <f>IFERROR(('Activity data'!X97*(1/Constants!$H$135))*ttokg*FracLEACH*MSLeachEF*NtoN2O*kgtoGg,"NO")</f>
        <v>NO</v>
      </c>
      <c r="Y154" s="22" t="str">
        <f>IFERROR(('Activity data'!Y97*(1/Constants!$H$135))*ttokg*FracLEACH*MSLeachEF*NtoN2O*kgtoGg,"NO")</f>
        <v>NO</v>
      </c>
      <c r="Z154" s="22" t="str">
        <f>IFERROR(('Activity data'!Z97*(1/Constants!$H$135))*ttokg*FracLEACH*MSLeachEF*NtoN2O*kgtoGg,"NO")</f>
        <v>NO</v>
      </c>
      <c r="AA154" s="22" t="str">
        <f>IFERROR(('Activity data'!AA97*(1/Constants!$H$135))*ttokg*FracLEACH*MSLeachEF*NtoN2O*kgtoGg,"NO")</f>
        <v>NO</v>
      </c>
      <c r="AB154" s="22" t="str">
        <f>IFERROR(('Activity data'!AB97*(1/Constants!$H$135))*ttokg*FracLEACH*MSLeachEF*NtoN2O*kgtoGg,"NO")</f>
        <v>NO</v>
      </c>
      <c r="AC154" s="22" t="str">
        <f>IFERROR(('Activity data'!AC97*(1/Constants!$H$135))*ttokg*FracLEACH*MSLeachEF*NtoN2O*kgtoGg,"NO")</f>
        <v>NO</v>
      </c>
      <c r="AD154" s="22" t="str">
        <f>IFERROR(('Activity data'!AD97*(1/Constants!$H$135))*ttokg*FracLEACH*MSLeachEF*NtoN2O*kgtoGg,"NO")</f>
        <v>NO</v>
      </c>
      <c r="AE154" s="22" t="str">
        <f>IFERROR(('Activity data'!AE97*(1/Constants!$H$135))*ttokg*FracLEACH*MSLeachEF*NtoN2O*kgtoGg,"NO")</f>
        <v>NO</v>
      </c>
      <c r="AF154" s="22" t="str">
        <f>IFERROR(('Activity data'!AF97*(1/Constants!$H$135))*ttokg*FracLEACH*MSLeachEF*NtoN2O*kgtoGg,"NO")</f>
        <v>NO</v>
      </c>
      <c r="AG154" s="22" t="str">
        <f>IFERROR(('Activity data'!AG97*(1/Constants!$H$135))*ttokg*FracLEACH*MSLeachEF*NtoN2O*kgtoGg,"NO")</f>
        <v>NO</v>
      </c>
      <c r="AH154" s="22" t="str">
        <f>IFERROR(('Activity data'!AH97*(1/Constants!$H$135))*ttokg*FracLEACH*MSLeachEF*NtoN2O*kgtoGg,"NO")</f>
        <v>NO</v>
      </c>
      <c r="AI154" s="22" t="str">
        <f>IFERROR(('Activity data'!AI97*(1/Constants!$H$135))*ttokg*FracLEACH*MSLeachEF*NtoN2O*kgtoGg,"NO")</f>
        <v>NO</v>
      </c>
      <c r="AJ154" s="22" t="str">
        <f>IFERROR(('Activity data'!AJ97*(1/Constants!$H$135))*ttokg*FracLEACH*MSLeachEF*NtoN2O*kgtoGg,"NO")</f>
        <v>NO</v>
      </c>
      <c r="AK154" s="22" t="str">
        <f>IFERROR(('Activity data'!AK97*(1/Constants!$H$135))*ttokg*FracLEACH*MSLeachEF*NtoN2O*kgtoGg,"NO")</f>
        <v>NO</v>
      </c>
      <c r="AL154" s="22" t="str">
        <f>IFERROR(('Activity data'!AL97*(1/Constants!$H$135))*ttokg*FracLEACH*MSLeachEF*NtoN2O*kgtoGg,"NO")</f>
        <v>NO</v>
      </c>
      <c r="AM154" s="22" t="str">
        <f>IFERROR(('Activity data'!AM97*(1/Constants!$H$135))*ttokg*FracLEACH*MSLeachEF*NtoN2O*kgtoGg,"NO")</f>
        <v>NO</v>
      </c>
      <c r="AN154" s="22" t="str">
        <f>IFERROR(('Activity data'!AN97*(1/Constants!$H$135))*ttokg*FracLEACH*MSLeachEF*NtoN2O*kgtoGg,"NO")</f>
        <v>NO</v>
      </c>
      <c r="AO154" s="22" t="str">
        <f>IFERROR(('Activity data'!AO97*(1/Constants!$H$135))*ttokg*FracLEACH*MSLeachEF*NtoN2O*kgtoGg,"NO")</f>
        <v>NO</v>
      </c>
      <c r="AP154" s="22" t="str">
        <f>IFERROR(('Activity data'!AP97*(1/Constants!$H$135))*ttokg*FracLEACH*MSLeachEF*NtoN2O*kgtoGg,"NO")</f>
        <v>NO</v>
      </c>
      <c r="AQ154" s="22" t="str">
        <f>IFERROR(('Activity data'!AQ97*(1/Constants!$H$135))*ttokg*FracLEACH*MSLeachEF*NtoN2O*kgtoGg,"NO")</f>
        <v>NO</v>
      </c>
      <c r="AR154" s="22" t="str">
        <f>IFERROR(('Activity data'!AR97*(1/Constants!$H$135))*ttokg*FracLEACH*MSLeachEF*NtoN2O*kgtoGg,"NO")</f>
        <v>NO</v>
      </c>
      <c r="AS154" s="22" t="str">
        <f>IFERROR(('Activity data'!AS97*(1/Constants!$H$135))*ttokg*FracLEACH*MSLeachEF*NtoN2O*kgtoGg,"NO")</f>
        <v>NO</v>
      </c>
      <c r="AT154" s="22" t="str">
        <f>IFERROR(('Activity data'!AT97*(1/Constants!$H$135))*ttokg*FracLEACH*MSLeachEF*NtoN2O*kgtoGg,"NO")</f>
        <v>NO</v>
      </c>
      <c r="AU154" s="22" t="str">
        <f>IFERROR(('Activity data'!AU97*(1/Constants!$H$135))*ttokg*FracLEACH*MSLeachEF*NtoN2O*kgtoGg,"NO")</f>
        <v>NO</v>
      </c>
      <c r="AV154" s="22" t="str">
        <f>IFERROR(('Activity data'!AV97*(1/Constants!$H$135))*ttokg*FracLEACH*MSLeachEF*NtoN2O*kgtoGg,"NO")</f>
        <v>NO</v>
      </c>
      <c r="AW154" s="22" t="str">
        <f>IFERROR(('Activity data'!AW97*(1/Constants!$H$135))*ttokg*FracLEACH*MSLeachEF*NtoN2O*kgtoGg,"NO")</f>
        <v>NO</v>
      </c>
      <c r="AX154" s="22" t="str">
        <f>IFERROR(('Activity data'!AX97*(1/Constants!$H$135))*ttokg*FracLEACH*MSLeachEF*NtoN2O*kgtoGg,"NO")</f>
        <v>NO</v>
      </c>
      <c r="AY154" s="22" t="str">
        <f>IFERROR(('Activity data'!AY97*(1/Constants!$H$135))*ttokg*FracLEACH*MSLeachEF*NtoN2O*kgtoGg,"NO")</f>
        <v>NO</v>
      </c>
      <c r="AZ154" s="22" t="str">
        <f>IFERROR(('Activity data'!AZ97*(1/Constants!$H$135))*ttokg*FracLEACH*MSLeachEF*NtoN2O*kgtoGg,"NO")</f>
        <v>NO</v>
      </c>
      <c r="BA154" s="22" t="str">
        <f>IFERROR(('Activity data'!BA97*(1/Constants!$H$135))*ttokg*FracLEACH*MSLeachEF*NtoN2O*kgtoGg,"NO")</f>
        <v>NO</v>
      </c>
      <c r="BB154" s="22" t="str">
        <f>IFERROR(('Activity data'!BB97*(1/Constants!$H$135))*ttokg*FracLEACH*MSLeachEF*NtoN2O*kgtoGg,"NO")</f>
        <v>NO</v>
      </c>
      <c r="BC154" s="22" t="str">
        <f>IFERROR(('Activity data'!BC97*(1/Constants!$H$135))*ttokg*FracLEACH*MSLeachEF*NtoN2O*kgtoGg,"NO")</f>
        <v>NO</v>
      </c>
      <c r="BD154" s="22" t="str">
        <f>IFERROR(('Activity data'!BD97*(1/Constants!$H$135))*ttokg*FracLEACH*MSLeachEF*NtoN2O*kgtoGg,"NO")</f>
        <v>NO</v>
      </c>
      <c r="BE154" s="22" t="str">
        <f>IFERROR(('Activity data'!BE97*(1/Constants!$H$135))*ttokg*FracLEACH*MSLeachEF*NtoN2O*kgtoGg,"NO")</f>
        <v>NO</v>
      </c>
      <c r="BF154" s="22" t="str">
        <f>IFERROR(('Activity data'!BF97*(1/Constants!$H$135))*ttokg*FracLEACH*MSLeachEF*NtoN2O*kgtoGg,"NO")</f>
        <v>NO</v>
      </c>
      <c r="BG154" s="22" t="str">
        <f>IFERROR(('Activity data'!BG97*(1/Constants!$H$135))*ttokg*FracLEACH*MSLeachEF*NtoN2O*kgtoGg,"NO")</f>
        <v>NO</v>
      </c>
      <c r="BH154" s="22" t="str">
        <f>IFERROR(('Activity data'!BH97*(1/Constants!$H$135))*ttokg*FracLEACH*MSLeachEF*NtoN2O*kgtoGg,"NO")</f>
        <v>NO</v>
      </c>
      <c r="BI154" s="22" t="str">
        <f>IFERROR(('Activity data'!BI97*(1/Constants!$H$135))*ttokg*FracLEACH*MSLeachEF*NtoN2O*kgtoGg,"NO")</f>
        <v>NO</v>
      </c>
      <c r="BJ154" s="22" t="str">
        <f>IFERROR(('Activity data'!BJ97*(1/Constants!$H$135))*ttokg*FracLEACH*MSLeachEF*NtoN2O*kgtoGg,"NO")</f>
        <v>NO</v>
      </c>
      <c r="BK154" s="22" t="str">
        <f>IFERROR(('Activity data'!BK97*(1/Constants!$H$135))*ttokg*FracLEACH*MSLeachEF*NtoN2O*kgtoGg,"NO")</f>
        <v>NO</v>
      </c>
      <c r="BL154" s="22" t="str">
        <f>IFERROR(('Activity data'!BL97*(1/Constants!$H$135))*ttokg*FracLEACH*MSLeachEF*NtoN2O*kgtoGg,"NO")</f>
        <v>NO</v>
      </c>
      <c r="BM154" s="22" t="str">
        <f>IFERROR(('Activity data'!BM97*(1/Constants!$H$135))*ttokg*FracLEACH*MSLeachEF*NtoN2O*kgtoGg,"NO")</f>
        <v>NO</v>
      </c>
      <c r="BN154" s="22" t="str">
        <f>IFERROR(('Activity data'!BN97*(1/Constants!$H$135))*ttokg*FracLEACH*MSLeachEF*NtoN2O*kgtoGg,"NO")</f>
        <v>NO</v>
      </c>
      <c r="BO154" s="22" t="str">
        <f>IFERROR(('Activity data'!BO97*(1/Constants!$H$135))*ttokg*FracLEACH*MSLeachEF*NtoN2O*kgtoGg,"NO")</f>
        <v>NO</v>
      </c>
      <c r="BP154" s="22" t="str">
        <f>IFERROR(('Activity data'!BP97*(1/Constants!$H$135))*ttokg*FracLEACH*MSLeachEF*NtoN2O*kgtoGg,"NO")</f>
        <v>NO</v>
      </c>
    </row>
    <row r="155" spans="1:68" x14ac:dyDescent="0.25">
      <c r="A155" t="str">
        <f t="shared" si="58"/>
        <v>3C Aggregated and non-CO2 emissions on land</v>
      </c>
      <c r="B155" t="str">
        <f t="shared" si="59"/>
        <v>3C5 Indirect N2O from managed soils (N2O)</v>
      </c>
      <c r="C155" t="str">
        <f t="shared" si="54"/>
        <v>Leaching/runoff</v>
      </c>
      <c r="D155" t="str">
        <f>" - FSOM - "&amp;'Activity data'!D98</f>
        <v xml:space="preserve"> - FSOM - Land converted to other lands</v>
      </c>
      <c r="E155" t="str">
        <f t="shared" si="60"/>
        <v>Leaching/runoff - FSOM - Land converted to other lands</v>
      </c>
      <c r="F155" t="str">
        <f t="shared" si="47"/>
        <v>N2O</v>
      </c>
      <c r="G155" t="str">
        <f t="shared" si="48"/>
        <v>Gg N2O</v>
      </c>
      <c r="H155" s="22">
        <f>IFERROR(('Activity data'!H98*(1/Constants!$H$135))*ttokg*FracLEACH*MSLeachEF*NtoN2O*kgtoGg,"NO")</f>
        <v>0</v>
      </c>
      <c r="I155" s="22">
        <f>IFERROR(('Activity data'!I98*(1/Constants!$H$135))*ttokg*FracLEACH*MSLeachEF*NtoN2O*kgtoGg,"NO")</f>
        <v>9.7559091197165892E-3</v>
      </c>
      <c r="J155" s="22">
        <f>IFERROR(('Activity data'!J98*(1/Constants!$H$135))*ttokg*FracLEACH*MSLeachEF*NtoN2O*kgtoGg,"NO")</f>
        <v>9.7559091197165892E-3</v>
      </c>
      <c r="K155" s="22">
        <f>IFERROR(('Activity data'!K98*(1/Constants!$H$135))*ttokg*FracLEACH*MSLeachEF*NtoN2O*kgtoGg,"NO")</f>
        <v>9.7559091197165892E-3</v>
      </c>
      <c r="L155" s="22">
        <f>IFERROR(('Activity data'!L98*(1/Constants!$H$135))*ttokg*FracLEACH*MSLeachEF*NtoN2O*kgtoGg,"NO")</f>
        <v>9.7559091197165892E-3</v>
      </c>
      <c r="M155" s="22">
        <f>IFERROR(('Activity data'!M98*(1/Constants!$H$135))*ttokg*FracLEACH*MSLeachEF*NtoN2O*kgtoGg,"NO")</f>
        <v>9.7559091197165892E-3</v>
      </c>
      <c r="N155" s="22">
        <f>IFERROR(('Activity data'!N98*(1/Constants!$H$135))*ttokg*FracLEACH*MSLeachEF*NtoN2O*kgtoGg,"NO")</f>
        <v>9.7559091197165892E-3</v>
      </c>
      <c r="O155" s="22">
        <f>IFERROR(('Activity data'!O98*(1/Constants!$H$135))*ttokg*FracLEACH*MSLeachEF*NtoN2O*kgtoGg,"NO")</f>
        <v>9.7559091197165892E-3</v>
      </c>
      <c r="P155" s="22">
        <f>IFERROR(('Activity data'!P98*(1/Constants!$H$135))*ttokg*FracLEACH*MSLeachEF*NtoN2O*kgtoGg,"NO")</f>
        <v>9.7559091197165892E-3</v>
      </c>
      <c r="Q155" s="22">
        <f>IFERROR(('Activity data'!Q98*(1/Constants!$H$135))*ttokg*FracLEACH*MSLeachEF*NtoN2O*kgtoGg,"NO")</f>
        <v>9.7559091197165892E-3</v>
      </c>
      <c r="R155" s="22">
        <f>IFERROR(('Activity data'!R98*(1/Constants!$H$135))*ttokg*FracLEACH*MSLeachEF*NtoN2O*kgtoGg,"NO")</f>
        <v>9.7559091197165892E-3</v>
      </c>
      <c r="S155" s="22">
        <f>IFERROR(('Activity data'!S98*(1/Constants!$H$135))*ttokg*FracLEACH*MSLeachEF*NtoN2O*kgtoGg,"NO")</f>
        <v>9.7559091197165892E-3</v>
      </c>
      <c r="T155" s="22">
        <f>IFERROR(('Activity data'!T98*(1/Constants!$H$135))*ttokg*FracLEACH*MSLeachEF*NtoN2O*kgtoGg,"NO")</f>
        <v>9.7559091197165892E-3</v>
      </c>
      <c r="U155" s="22">
        <f>IFERROR(('Activity data'!U98*(1/Constants!$H$135))*ttokg*FracLEACH*MSLeachEF*NtoN2O*kgtoGg,"NO")</f>
        <v>9.7559091197165892E-3</v>
      </c>
      <c r="V155" s="22">
        <f>IFERROR(('Activity data'!V98*(1/Constants!$H$135))*ttokg*FracLEACH*MSLeachEF*NtoN2O*kgtoGg,"NO")</f>
        <v>9.7559091197165892E-3</v>
      </c>
      <c r="W155" s="22">
        <f>IFERROR(('Activity data'!W98*(1/Constants!$H$135))*ttokg*FracLEACH*MSLeachEF*NtoN2O*kgtoGg,"NO")</f>
        <v>9.7559091197165892E-3</v>
      </c>
      <c r="X155" s="22">
        <f>IFERROR(('Activity data'!X98*(1/Constants!$H$135))*ttokg*FracLEACH*MSLeachEF*NtoN2O*kgtoGg,"NO")</f>
        <v>9.7559091197165892E-3</v>
      </c>
      <c r="Y155" s="22">
        <f>IFERROR(('Activity data'!Y98*(1/Constants!$H$135))*ttokg*FracLEACH*MSLeachEF*NtoN2O*kgtoGg,"NO")</f>
        <v>9.7559091197165892E-3</v>
      </c>
      <c r="Z155" s="22">
        <f>IFERROR(('Activity data'!Z98*(1/Constants!$H$135))*ttokg*FracLEACH*MSLeachEF*NtoN2O*kgtoGg,"NO")</f>
        <v>9.7559091197165892E-3</v>
      </c>
      <c r="AA155" s="22">
        <f>IFERROR(('Activity data'!AA98*(1/Constants!$H$135))*ttokg*FracLEACH*MSLeachEF*NtoN2O*kgtoGg,"NO")</f>
        <v>9.7559091197165892E-3</v>
      </c>
      <c r="AB155" s="22">
        <f>IFERROR(('Activity data'!AB98*(1/Constants!$H$135))*ttokg*FracLEACH*MSLeachEF*NtoN2O*kgtoGg,"NO")</f>
        <v>9.7559091197165892E-3</v>
      </c>
      <c r="AC155" s="22">
        <f>IFERROR(('Activity data'!AC98*(1/Constants!$H$135))*ttokg*FracLEACH*MSLeachEF*NtoN2O*kgtoGg,"NO")</f>
        <v>9.7559091197165892E-3</v>
      </c>
      <c r="AD155" s="22">
        <f>IFERROR(('Activity data'!AD98*(1/Constants!$H$135))*ttokg*FracLEACH*MSLeachEF*NtoN2O*kgtoGg,"NO")</f>
        <v>0.11026792439175388</v>
      </c>
      <c r="AE155" s="22">
        <f>IFERROR(('Activity data'!AE98*(1/Constants!$H$135))*ttokg*FracLEACH*MSLeachEF*NtoN2O*kgtoGg,"NO")</f>
        <v>0.11026792439175388</v>
      </c>
      <c r="AF155" s="22">
        <f>IFERROR(('Activity data'!AF98*(1/Constants!$H$135))*ttokg*FracLEACH*MSLeachEF*NtoN2O*kgtoGg,"NO")</f>
        <v>0.11026792439175388</v>
      </c>
      <c r="AG155" s="22">
        <f>IFERROR(('Activity data'!AG98*(1/Constants!$H$135))*ttokg*FracLEACH*MSLeachEF*NtoN2O*kgtoGg,"NO")</f>
        <v>0.11026792439175388</v>
      </c>
      <c r="AH155" s="22">
        <f>IFERROR(('Activity data'!AH98*(1/Constants!$H$135))*ttokg*FracLEACH*MSLeachEF*NtoN2O*kgtoGg,"NO")</f>
        <v>0.11026792439175388</v>
      </c>
      <c r="AI155" s="22">
        <f>IFERROR(('Activity data'!AI98*(1/Constants!$H$135))*ttokg*FracLEACH*MSLeachEF*NtoN2O*kgtoGg,"NO")</f>
        <v>0.11026792439175388</v>
      </c>
      <c r="AJ155" s="22">
        <f>IFERROR(('Activity data'!AJ98*(1/Constants!$H$135))*ttokg*FracLEACH*MSLeachEF*NtoN2O*kgtoGg,"NO")</f>
        <v>0.11026792439175388</v>
      </c>
      <c r="AK155" s="22">
        <f>IFERROR(('Activity data'!AK98*(1/Constants!$H$135))*ttokg*FracLEACH*MSLeachEF*NtoN2O*kgtoGg,"NO")</f>
        <v>0.11026792439175388</v>
      </c>
      <c r="AL155" s="22">
        <f>IFERROR(('Activity data'!AL98*(1/Constants!$H$135))*ttokg*FracLEACH*MSLeachEF*NtoN2O*kgtoGg,"NO")</f>
        <v>0.11026792439175388</v>
      </c>
      <c r="AM155" s="22">
        <f>IFERROR(('Activity data'!AM98*(1/Constants!$H$135))*ttokg*FracLEACH*MSLeachEF*NtoN2O*kgtoGg,"NO")</f>
        <v>0.11026792439175388</v>
      </c>
      <c r="AN155" s="22">
        <f>IFERROR(('Activity data'!AN98*(1/Constants!$H$135))*ttokg*FracLEACH*MSLeachEF*NtoN2O*kgtoGg,"NO")</f>
        <v>0.11026792439175388</v>
      </c>
      <c r="AO155" s="22">
        <f>IFERROR(('Activity data'!AO98*(1/Constants!$H$135))*ttokg*FracLEACH*MSLeachEF*NtoN2O*kgtoGg,"NO")</f>
        <v>0.11026792439175388</v>
      </c>
      <c r="AP155" s="22">
        <f>IFERROR(('Activity data'!AP98*(1/Constants!$H$135))*ttokg*FracLEACH*MSLeachEF*NtoN2O*kgtoGg,"NO")</f>
        <v>0.11026792439175388</v>
      </c>
      <c r="AQ155" s="22">
        <f>IFERROR(('Activity data'!AQ98*(1/Constants!$H$135))*ttokg*FracLEACH*MSLeachEF*NtoN2O*kgtoGg,"NO")</f>
        <v>0.11026792439175388</v>
      </c>
      <c r="AR155" s="22">
        <f>IFERROR(('Activity data'!AR98*(1/Constants!$H$135))*ttokg*FracLEACH*MSLeachEF*NtoN2O*kgtoGg,"NO")</f>
        <v>0.11026792439175388</v>
      </c>
      <c r="AS155" s="22">
        <f>IFERROR(('Activity data'!AS98*(1/Constants!$H$135))*ttokg*FracLEACH*MSLeachEF*NtoN2O*kgtoGg,"NO")</f>
        <v>0.11026792439175388</v>
      </c>
      <c r="AT155" s="22">
        <f>IFERROR(('Activity data'!AT98*(1/Constants!$H$135))*ttokg*FracLEACH*MSLeachEF*NtoN2O*kgtoGg,"NO")</f>
        <v>0.11026792439175388</v>
      </c>
      <c r="AU155" s="22">
        <f>IFERROR(('Activity data'!AU98*(1/Constants!$H$135))*ttokg*FracLEACH*MSLeachEF*NtoN2O*kgtoGg,"NO")</f>
        <v>0.11026792439175388</v>
      </c>
      <c r="AV155" s="22">
        <f>IFERROR(('Activity data'!AV98*(1/Constants!$H$135))*ttokg*FracLEACH*MSLeachEF*NtoN2O*kgtoGg,"NO")</f>
        <v>0.11026792439175388</v>
      </c>
      <c r="AW155" s="22">
        <f>IFERROR(('Activity data'!AW98*(1/Constants!$H$135))*ttokg*FracLEACH*MSLeachEF*NtoN2O*kgtoGg,"NO")</f>
        <v>0.11026792439175388</v>
      </c>
      <c r="AX155" s="22">
        <f>IFERROR(('Activity data'!AX98*(1/Constants!$H$135))*ttokg*FracLEACH*MSLeachEF*NtoN2O*kgtoGg,"NO")</f>
        <v>0.11026792439175388</v>
      </c>
      <c r="AY155" s="22">
        <f>IFERROR(('Activity data'!AY98*(1/Constants!$H$135))*ttokg*FracLEACH*MSLeachEF*NtoN2O*kgtoGg,"NO")</f>
        <v>0.11026792439175388</v>
      </c>
      <c r="AZ155" s="22">
        <f>IFERROR(('Activity data'!AZ98*(1/Constants!$H$135))*ttokg*FracLEACH*MSLeachEF*NtoN2O*kgtoGg,"NO")</f>
        <v>0.11026792439175388</v>
      </c>
      <c r="BA155" s="22">
        <f>IFERROR(('Activity data'!BA98*(1/Constants!$H$135))*ttokg*FracLEACH*MSLeachEF*NtoN2O*kgtoGg,"NO")</f>
        <v>0.11026792439175388</v>
      </c>
      <c r="BB155" s="22">
        <f>IFERROR(('Activity data'!BB98*(1/Constants!$H$135))*ttokg*FracLEACH*MSLeachEF*NtoN2O*kgtoGg,"NO")</f>
        <v>0.11026792439175388</v>
      </c>
      <c r="BC155" s="22">
        <f>IFERROR(('Activity data'!BC98*(1/Constants!$H$135))*ttokg*FracLEACH*MSLeachEF*NtoN2O*kgtoGg,"NO")</f>
        <v>0.11026792439175388</v>
      </c>
      <c r="BD155" s="22">
        <f>IFERROR(('Activity data'!BD98*(1/Constants!$H$135))*ttokg*FracLEACH*MSLeachEF*NtoN2O*kgtoGg,"NO")</f>
        <v>0.11026792439175388</v>
      </c>
      <c r="BE155" s="22">
        <f>IFERROR(('Activity data'!BE98*(1/Constants!$H$135))*ttokg*FracLEACH*MSLeachEF*NtoN2O*kgtoGg,"NO")</f>
        <v>0.11026792439175388</v>
      </c>
      <c r="BF155" s="22">
        <f>IFERROR(('Activity data'!BF98*(1/Constants!$H$135))*ttokg*FracLEACH*MSLeachEF*NtoN2O*kgtoGg,"NO")</f>
        <v>0.11026792439175388</v>
      </c>
      <c r="BG155" s="22">
        <f>IFERROR(('Activity data'!BG98*(1/Constants!$H$135))*ttokg*FracLEACH*MSLeachEF*NtoN2O*kgtoGg,"NO")</f>
        <v>0.11026792439175388</v>
      </c>
      <c r="BH155" s="22">
        <f>IFERROR(('Activity data'!BH98*(1/Constants!$H$135))*ttokg*FracLEACH*MSLeachEF*NtoN2O*kgtoGg,"NO")</f>
        <v>0.11026792439175388</v>
      </c>
      <c r="BI155" s="22">
        <f>IFERROR(('Activity data'!BI98*(1/Constants!$H$135))*ttokg*FracLEACH*MSLeachEF*NtoN2O*kgtoGg,"NO")</f>
        <v>0.11026792439175388</v>
      </c>
      <c r="BJ155" s="22">
        <f>IFERROR(('Activity data'!BJ98*(1/Constants!$H$135))*ttokg*FracLEACH*MSLeachEF*NtoN2O*kgtoGg,"NO")</f>
        <v>0.11026792439175388</v>
      </c>
      <c r="BK155" s="22">
        <f>IFERROR(('Activity data'!BK98*(1/Constants!$H$135))*ttokg*FracLEACH*MSLeachEF*NtoN2O*kgtoGg,"NO")</f>
        <v>0.11026792439175388</v>
      </c>
      <c r="BL155" s="22">
        <f>IFERROR(('Activity data'!BL98*(1/Constants!$H$135))*ttokg*FracLEACH*MSLeachEF*NtoN2O*kgtoGg,"NO")</f>
        <v>0.11026792439175388</v>
      </c>
      <c r="BM155" s="22">
        <f>IFERROR(('Activity data'!BM98*(1/Constants!$H$135))*ttokg*FracLEACH*MSLeachEF*NtoN2O*kgtoGg,"NO")</f>
        <v>0.11026792439175388</v>
      </c>
      <c r="BN155" s="22">
        <f>IFERROR(('Activity data'!BN98*(1/Constants!$H$135))*ttokg*FracLEACH*MSLeachEF*NtoN2O*kgtoGg,"NO")</f>
        <v>0.11026792439175388</v>
      </c>
      <c r="BO155" s="22">
        <f>IFERROR(('Activity data'!BO98*(1/Constants!$H$135))*ttokg*FracLEACH*MSLeachEF*NtoN2O*kgtoGg,"NO")</f>
        <v>0.11026792439175388</v>
      </c>
      <c r="BP155" s="22">
        <f>IFERROR(('Activity data'!BP98*(1/Constants!$H$135))*ttokg*FracLEACH*MSLeachEF*NtoN2O*kgtoGg,"NO")</f>
        <v>0.11026792439175388</v>
      </c>
    </row>
    <row r="156" spans="1:68" x14ac:dyDescent="0.25">
      <c r="A156" t="str">
        <f t="shared" si="58"/>
        <v>3C Aggregated and non-CO2 emissions on land</v>
      </c>
      <c r="B156" t="str">
        <f>'IPCC Categories'!B80</f>
        <v>3C6 Indirect N2O from manure management (N2O)</v>
      </c>
      <c r="C156" t="str">
        <f>'IPCC Categories'!C80</f>
        <v>Volatilisation</v>
      </c>
      <c r="D156" t="str">
        <f>'Activity data'!D66</f>
        <v xml:space="preserve"> - TMR</v>
      </c>
      <c r="E156" t="str">
        <f t="shared" ref="E156:E171" si="61">C156&amp;D156</f>
        <v>Volatilisation - TMR</v>
      </c>
      <c r="F156" t="str">
        <f t="shared" si="47"/>
        <v>N2O</v>
      </c>
      <c r="G156" t="str">
        <f t="shared" si="48"/>
        <v>Gg N2O</v>
      </c>
      <c r="H156" s="22">
        <f>Constants!$H63*'Activity data'!H5*Constants!$H81*EF!$H206*MMVolatEF*NtoN2O*kgtoGg</f>
        <v>0.32741583539331282</v>
      </c>
      <c r="I156" s="22">
        <f>Constants!$H63*'Activity data'!I5*Constants!$H81*EF!$H206*MMVolatEF*NtoN2O*kgtoGg</f>
        <v>0.3769406717199888</v>
      </c>
      <c r="J156" s="22">
        <f>Constants!$H63*'Activity data'!J5*Constants!$H81*EF!$H206*MMVolatEF*NtoN2O*kgtoGg</f>
        <v>0.32610245326188425</v>
      </c>
      <c r="K156" s="22">
        <f>Constants!$H63*'Activity data'!K5*Constants!$H81*EF!$H206*MMVolatEF*NtoN2O*kgtoGg</f>
        <v>0.3458622136437135</v>
      </c>
      <c r="L156" s="22">
        <f>Constants!$H63*'Activity data'!L5*Constants!$H81*EF!$H206*MMVolatEF*NtoN2O*kgtoGg</f>
        <v>0.32084892473617016</v>
      </c>
      <c r="M156" s="22">
        <f>Constants!$H63*'Activity data'!M5*Constants!$H81*EF!$H206*MMVolatEF*NtoN2O*kgtoGg</f>
        <v>0.34323544938085654</v>
      </c>
      <c r="N156" s="22">
        <f>Constants!$H63*'Activity data'!N5*Constants!$H81*EF!$H206*MMVolatEF*NtoN2O*kgtoGg</f>
        <v>0.34454883151228505</v>
      </c>
      <c r="O156" s="22">
        <f>Constants!$H63*'Activity data'!O5*Constants!$H81*EF!$H206*MMVolatEF*NtoN2O*kgtoGg</f>
        <v>0.33216762243061609</v>
      </c>
      <c r="P156" s="22">
        <f>Constants!$H63*'Activity data'!P5*Constants!$H81*EF!$H206*MMVolatEF*NtoN2O*kgtoGg</f>
        <v>0.32822747603633051</v>
      </c>
      <c r="Q156" s="22">
        <f>Constants!$H63*'Activity data'!Q5*Constants!$H81*EF!$H206*MMVolatEF*NtoN2O*kgtoGg</f>
        <v>0.32241317761180416</v>
      </c>
      <c r="R156" s="22">
        <f>Constants!$H63*'Activity data'!R5*Constants!$H81*EF!$H206*MMVolatEF*NtoN2O*kgtoGg</f>
        <v>0.41514681035221879</v>
      </c>
      <c r="S156" s="22">
        <f>Constants!$H63*'Activity data'!S5*Constants!$H81*EF!$H206*MMVolatEF*NtoN2O*kgtoGg</f>
        <v>0.41383342822079017</v>
      </c>
      <c r="T156" s="22">
        <f>Constants!$H63*'Activity data'!T5*Constants!$H81*EF!$H206*MMVolatEF*NtoN2O*kgtoGg</f>
        <v>0.36087018698823964</v>
      </c>
      <c r="U156" s="22">
        <f>Constants!$H63*'Activity data'!U5*Constants!$H81*EF!$H206*MMVolatEF*NtoN2O*kgtoGg</f>
        <v>0.32822747603633051</v>
      </c>
      <c r="V156" s="22">
        <f>Constants!$H63*'Activity data'!V5*Constants!$H81*EF!$H206*MMVolatEF*NtoN2O*kgtoGg</f>
        <v>0.31690877834188452</v>
      </c>
      <c r="W156" s="22">
        <f>Constants!$H63*'Activity data'!W5*Constants!$H81*EF!$H206*MMVolatEF*NtoN2O*kgtoGg</f>
        <v>0.33929530298657085</v>
      </c>
      <c r="X156" s="22">
        <f>Constants!$H63*'Activity data'!X5*Constants!$H81*EF!$H206*MMVolatEF*NtoN2O*kgtoGg</f>
        <v>0.33191675168641066</v>
      </c>
      <c r="Y156" s="22">
        <f>Constants!$H63*'Activity data'!Y5*Constants!$H81*EF!$H206*MMVolatEF*NtoN2O*kgtoGg</f>
        <v>0.32954085816775908</v>
      </c>
      <c r="Z156" s="22">
        <f>Constants!$H63*'Activity data'!Z5*Constants!$H81*EF!$H206*MMVolatEF*NtoN2O*kgtoGg</f>
        <v>0.40357724191356736</v>
      </c>
      <c r="AA156" s="22">
        <f>Constants!$H63*'Activity data'!AA5*Constants!$H81*EF!$H206*MMVolatEF*NtoN2O*kgtoGg</f>
        <v>0.41358255747658468</v>
      </c>
      <c r="AB156" s="22">
        <f>Constants!$H63*'Activity data'!AB5*Constants!$H81*EF!$H206*MMVolatEF*NtoN2O*kgtoGg</f>
        <v>0.41358255747658468</v>
      </c>
      <c r="AC156" s="22">
        <f>Constants!$H63*'Activity data'!AC5*Constants!$H81*EF!$H206*MMVolatEF*NtoN2O*kgtoGg</f>
        <v>0.39857458413205865</v>
      </c>
      <c r="AD156" s="22">
        <f>Constants!$H63*'Activity data'!AD5*Constants!$H81*EF!$H206*MMVolatEF*NtoN2O*kgtoGg</f>
        <v>0.39612028948591799</v>
      </c>
      <c r="AE156" s="22">
        <f>Constants!$H63*'Activity data'!AE5*Constants!$H81*EF!$H206*MMVolatEF*NtoN2O*kgtoGg</f>
        <v>0.39902992719274449</v>
      </c>
      <c r="AF156" s="22">
        <f>Constants!$H63*'Activity data'!AF5*Constants!$H81*EF!$H206*MMVolatEF*NtoN2O*kgtoGg</f>
        <v>0.4012095821726559</v>
      </c>
      <c r="AG156" s="22">
        <f>Constants!$H63*'Activity data'!AG5*Constants!$H81*EF!$H206*MMVolatEF*NtoN2O*kgtoGg</f>
        <v>0.40287483378606098</v>
      </c>
      <c r="AH156" s="22">
        <f>Constants!$H63*'Activity data'!AH5*Constants!$H81*EF!$H206*MMVolatEF*NtoN2O*kgtoGg</f>
        <v>0.40397177683941066</v>
      </c>
      <c r="AI156" s="22">
        <f>Constants!$H63*'Activity data'!AI5*Constants!$H81*EF!$H206*MMVolatEF*NtoN2O*kgtoGg</f>
        <v>0.40621428014803118</v>
      </c>
      <c r="AJ156" s="22">
        <f>Constants!$H63*'Activity data'!AJ5*Constants!$H81*EF!$H206*MMVolatEF*NtoN2O*kgtoGg</f>
        <v>0.40836382509624253</v>
      </c>
      <c r="AK156" s="22">
        <f>Constants!$H63*'Activity data'!AK5*Constants!$H81*EF!$H206*MMVolatEF*NtoN2O*kgtoGg</f>
        <v>0.41054987574978313</v>
      </c>
      <c r="AL156" s="22">
        <f>Constants!$H63*'Activity data'!AL5*Constants!$H81*EF!$H206*MMVolatEF*NtoN2O*kgtoGg</f>
        <v>0.39752343246317917</v>
      </c>
      <c r="AM156" s="22">
        <f>Constants!$H63*'Activity data'!AM5*Constants!$H81*EF!$H206*MMVolatEF*NtoN2O*kgtoGg</f>
        <v>0.40118341792150369</v>
      </c>
      <c r="AN156" s="22">
        <f>Constants!$H63*'Activity data'!AN5*Constants!$H81*EF!$H206*MMVolatEF*NtoN2O*kgtoGg</f>
        <v>0.40473114554036993</v>
      </c>
      <c r="AO156" s="22">
        <f>Constants!$H63*'Activity data'!AO5*Constants!$H81*EF!$H206*MMVolatEF*NtoN2O*kgtoGg</f>
        <v>0.40843227383848713</v>
      </c>
      <c r="AP156" s="22">
        <f>Constants!$H63*'Activity data'!AP5*Constants!$H81*EF!$H206*MMVolatEF*NtoN2O*kgtoGg</f>
        <v>0.41248009519803086</v>
      </c>
      <c r="AQ156" s="22">
        <f>Constants!$H63*'Activity data'!AQ5*Constants!$H81*EF!$H206*MMVolatEF*NtoN2O*kgtoGg</f>
        <v>0.41701279797854035</v>
      </c>
      <c r="AR156" s="22">
        <f>Constants!$H63*'Activity data'!AR5*Constants!$H81*EF!$H206*MMVolatEF*NtoN2O*kgtoGg</f>
        <v>0.42149469468699741</v>
      </c>
      <c r="AS156" s="22">
        <f>Constants!$H63*'Activity data'!AS5*Constants!$H81*EF!$H206*MMVolatEF*NtoN2O*kgtoGg</f>
        <v>0.42632033900703742</v>
      </c>
      <c r="AT156" s="22">
        <f>Constants!$H63*'Activity data'!AT5*Constants!$H81*EF!$H206*MMVolatEF*NtoN2O*kgtoGg</f>
        <v>0.43152095649401279</v>
      </c>
      <c r="AU156" s="22">
        <f>Constants!$H63*'Activity data'!AU5*Constants!$H81*EF!$H206*MMVolatEF*NtoN2O*kgtoGg</f>
        <v>0.43739464685582186</v>
      </c>
      <c r="AV156" s="22">
        <f>Constants!$H63*'Activity data'!AV5*Constants!$H81*EF!$H206*MMVolatEF*NtoN2O*kgtoGg</f>
        <v>0.44328143805429582</v>
      </c>
      <c r="AW156" s="22">
        <f>Constants!$H63*'Activity data'!AW5*Constants!$H81*EF!$H206*MMVolatEF*NtoN2O*kgtoGg</f>
        <v>0.44992611682487055</v>
      </c>
      <c r="AX156" s="22">
        <f>Constants!$H63*'Activity data'!AX5*Constants!$H81*EF!$H206*MMVolatEF*NtoN2O*kgtoGg</f>
        <v>0.45684574344098294</v>
      </c>
      <c r="AY156" s="22">
        <f>Constants!$H63*'Activity data'!AY5*Constants!$H81*EF!$H206*MMVolatEF*NtoN2O*kgtoGg</f>
        <v>0.46401055073413056</v>
      </c>
      <c r="AZ156" s="22">
        <f>Constants!$H63*'Activity data'!AZ5*Constants!$H81*EF!$H206*MMVolatEF*NtoN2O*kgtoGg</f>
        <v>0.47138876126279572</v>
      </c>
      <c r="BA156" s="22">
        <f>Constants!$H63*'Activity data'!BA5*Constants!$H81*EF!$H206*MMVolatEF*NtoN2O*kgtoGg</f>
        <v>0.47830059122777524</v>
      </c>
      <c r="BB156" s="22">
        <f>Constants!$H63*'Activity data'!BB5*Constants!$H81*EF!$H206*MMVolatEF*NtoN2O*kgtoGg</f>
        <v>0.48532700228393949</v>
      </c>
      <c r="BC156" s="22">
        <f>Constants!$H63*'Activity data'!BC5*Constants!$H81*EF!$H206*MMVolatEF*NtoN2O*kgtoGg</f>
        <v>0.49287090899228797</v>
      </c>
      <c r="BD156" s="22">
        <f>Constants!$H63*'Activity data'!BD5*Constants!$H81*EF!$H206*MMVolatEF*NtoN2O*kgtoGg</f>
        <v>0.50079668004189937</v>
      </c>
      <c r="BE156" s="22">
        <f>Constants!$H63*'Activity data'!BE5*Constants!$H81*EF!$H206*MMVolatEF*NtoN2O*kgtoGg</f>
        <v>0.50860139910836222</v>
      </c>
      <c r="BF156" s="22">
        <f>Constants!$H63*'Activity data'!BF5*Constants!$H81*EF!$H206*MMVolatEF*NtoN2O*kgtoGg</f>
        <v>0.51656004298236557</v>
      </c>
      <c r="BG156" s="22">
        <f>Constants!$H63*'Activity data'!BG5*Constants!$H81*EF!$H206*MMVolatEF*NtoN2O*kgtoGg</f>
        <v>0.52464315584063692</v>
      </c>
      <c r="BH156" s="22">
        <f>Constants!$H63*'Activity data'!BH5*Constants!$H81*EF!$H206*MMVolatEF*NtoN2O*kgtoGg</f>
        <v>0.53314663617049896</v>
      </c>
      <c r="BI156" s="22">
        <f>Constants!$H63*'Activity data'!BI5*Constants!$H81*EF!$H206*MMVolatEF*NtoN2O*kgtoGg</f>
        <v>0.54216561044204659</v>
      </c>
      <c r="BJ156" s="22">
        <f>Constants!$H63*'Activity data'!BJ5*Constants!$H81*EF!$H206*MMVolatEF*NtoN2O*kgtoGg</f>
        <v>0.55166506701433438</v>
      </c>
      <c r="BK156" s="22">
        <f>Constants!$H63*'Activity data'!BK5*Constants!$H81*EF!$H206*MMVolatEF*NtoN2O*kgtoGg</f>
        <v>0.56184548169887749</v>
      </c>
      <c r="BL156" s="22">
        <f>Constants!$H63*'Activity data'!BL5*Constants!$H81*EF!$H206*MMVolatEF*NtoN2O*kgtoGg</f>
        <v>0.57240096692502085</v>
      </c>
      <c r="BM156" s="22">
        <f>Constants!$H63*'Activity data'!BM5*Constants!$H81*EF!$H206*MMVolatEF*NtoN2O*kgtoGg</f>
        <v>0.58344443490431797</v>
      </c>
      <c r="BN156" s="22">
        <f>Constants!$H63*'Activity data'!BN5*Constants!$H81*EF!$H206*MMVolatEF*NtoN2O*kgtoGg</f>
        <v>0.59447434616077233</v>
      </c>
      <c r="BO156" s="22">
        <f>Constants!$H63*'Activity data'!BO5*Constants!$H81*EF!$H206*MMVolatEF*NtoN2O*kgtoGg</f>
        <v>0.60603716093966031</v>
      </c>
      <c r="BP156" s="22">
        <f>Constants!$H63*'Activity data'!BP5*Constants!$H81*EF!$H206*MMVolatEF*NtoN2O*kgtoGg</f>
        <v>0.61826135701093865</v>
      </c>
    </row>
    <row r="157" spans="1:68" x14ac:dyDescent="0.25">
      <c r="A157" t="str">
        <f t="shared" si="58"/>
        <v>3C Aggregated and non-CO2 emissions on land</v>
      </c>
      <c r="B157" t="str">
        <f>B156</f>
        <v>3C6 Indirect N2O from manure management (N2O)</v>
      </c>
      <c r="C157" t="str">
        <f>C156</f>
        <v>Volatilisation</v>
      </c>
      <c r="D157" t="str">
        <f>'Activity data'!D67</f>
        <v xml:space="preserve"> - Pasture</v>
      </c>
      <c r="E157" t="str">
        <f t="shared" si="61"/>
        <v>Volatilisation - Pasture</v>
      </c>
      <c r="F157" t="str">
        <f t="shared" si="47"/>
        <v>N2O</v>
      </c>
      <c r="G157" t="str">
        <f t="shared" si="48"/>
        <v>Gg N2O</v>
      </c>
      <c r="H157" s="22">
        <f>Constants!$H64*'Activity data'!H6*Constants!$H82*EF!$H207*MMVolatEF*NtoN2O*kgtoGg</f>
        <v>2.5550081296947576E-2</v>
      </c>
      <c r="I157" s="22">
        <f>Constants!$H64*'Activity data'!I6*Constants!$H82*EF!$H207*MMVolatEF*NtoN2O*kgtoGg</f>
        <v>2.9414780122050389E-2</v>
      </c>
      <c r="J157" s="22">
        <f>Constants!$H64*'Activity data'!J6*Constants!$H82*EF!$H207*MMVolatEF*NtoN2O*kgtoGg</f>
        <v>2.5447590773874224E-2</v>
      </c>
      <c r="K157" s="22">
        <f>Constants!$H64*'Activity data'!K6*Constants!$H82*EF!$H207*MMVolatEF*NtoN2O*kgtoGg</f>
        <v>2.6989554935618165E-2</v>
      </c>
      <c r="L157" s="22">
        <f>Constants!$H64*'Activity data'!L6*Constants!$H82*EF!$H207*MMVolatEF*NtoN2O*kgtoGg</f>
        <v>2.5037628681580843E-2</v>
      </c>
      <c r="M157" s="22">
        <f>Constants!$H64*'Activity data'!M6*Constants!$H82*EF!$H207*MMVolatEF*NtoN2O*kgtoGg</f>
        <v>2.6784573889471471E-2</v>
      </c>
      <c r="N157" s="22">
        <f>Constants!$H64*'Activity data'!N6*Constants!$H82*EF!$H207*MMVolatEF*NtoN2O*kgtoGg</f>
        <v>2.6887064412544823E-2</v>
      </c>
      <c r="O157" s="22">
        <f>Constants!$H64*'Activity data'!O6*Constants!$H82*EF!$H207*MMVolatEF*NtoN2O*kgtoGg</f>
        <v>2.5920889706269115E-2</v>
      </c>
      <c r="P157" s="22">
        <f>Constants!$H64*'Activity data'!P6*Constants!$H82*EF!$H207*MMVolatEF*NtoN2O*kgtoGg</f>
        <v>2.5613418137049079E-2</v>
      </c>
      <c r="Q157" s="22">
        <f>Constants!$H64*'Activity data'!Q6*Constants!$H82*EF!$H207*MMVolatEF*NtoN2O*kgtoGg</f>
        <v>2.5159696046140104E-2</v>
      </c>
      <c r="R157" s="22">
        <f>Constants!$H64*'Activity data'!R6*Constants!$H82*EF!$H207*MMVolatEF*NtoN2O*kgtoGg</f>
        <v>3.2396217922464922E-2</v>
      </c>
      <c r="S157" s="22">
        <f>Constants!$H64*'Activity data'!S6*Constants!$H82*EF!$H207*MMVolatEF*NtoN2O*kgtoGg</f>
        <v>3.2293727399391577E-2</v>
      </c>
      <c r="T157" s="22">
        <f>Constants!$H64*'Activity data'!T6*Constants!$H82*EF!$H207*MMVolatEF*NtoN2O*kgtoGg</f>
        <v>2.8160710688040554E-2</v>
      </c>
      <c r="U157" s="22">
        <f>Constants!$H64*'Activity data'!U6*Constants!$H82*EF!$H207*MMVolatEF*NtoN2O*kgtoGg</f>
        <v>2.5613418137049079E-2</v>
      </c>
      <c r="V157" s="22">
        <f>Constants!$H64*'Activity data'!V6*Constants!$H82*EF!$H207*MMVolatEF*NtoN2O*kgtoGg</f>
        <v>2.47301571123608E-2</v>
      </c>
      <c r="W157" s="22">
        <f>Constants!$H64*'Activity data'!W6*Constants!$H82*EF!$H207*MMVolatEF*NtoN2O*kgtoGg</f>
        <v>2.6477102320251435E-2</v>
      </c>
      <c r="X157" s="22">
        <f>Constants!$H64*'Activity data'!X6*Constants!$H82*EF!$H207*MMVolatEF*NtoN2O*kgtoGg</f>
        <v>2.5901312864783189E-2</v>
      </c>
      <c r="Y157" s="22">
        <f>Constants!$H64*'Activity data'!Y6*Constants!$H82*EF!$H207*MMVolatEF*NtoN2O*kgtoGg</f>
        <v>2.5715908660122428E-2</v>
      </c>
      <c r="Z157" s="22">
        <f>Constants!$H64*'Activity data'!Z6*Constants!$H82*EF!$H207*MMVolatEF*NtoN2O*kgtoGg</f>
        <v>3.1493380056290717E-2</v>
      </c>
      <c r="AA157" s="22">
        <f>Constants!$H64*'Activity data'!AA6*Constants!$H82*EF!$H207*MMVolatEF*NtoN2O*kgtoGg</f>
        <v>3.2274150557905647E-2</v>
      </c>
      <c r="AB157" s="22">
        <f>Constants!$H64*'Activity data'!AB6*Constants!$H82*EF!$H207*MMVolatEF*NtoN2O*kgtoGg</f>
        <v>3.2274150557905647E-2</v>
      </c>
      <c r="AC157" s="22">
        <f>Constants!$H64*'Activity data'!AC6*Constants!$H82*EF!$H207*MMVolatEF*NtoN2O*kgtoGg</f>
        <v>3.1102994805483251E-2</v>
      </c>
      <c r="AD157" s="22">
        <f>Constants!$H64*'Activity data'!AD6*Constants!$H82*EF!$H207*MMVolatEF*NtoN2O*kgtoGg</f>
        <v>3.1251622139043686E-2</v>
      </c>
      <c r="AE157" s="22">
        <f>Constants!$H64*'Activity data'!AE6*Constants!$H82*EF!$H207*MMVolatEF*NtoN2O*kgtoGg</f>
        <v>3.1481175889732052E-2</v>
      </c>
      <c r="AF157" s="22">
        <f>Constants!$H64*'Activity data'!AF6*Constants!$H82*EF!$H207*MMVolatEF*NtoN2O*kgtoGg</f>
        <v>3.1653138184099948E-2</v>
      </c>
      <c r="AG157" s="22">
        <f>Constants!$H64*'Activity data'!AG6*Constants!$H82*EF!$H207*MMVolatEF*NtoN2O*kgtoGg</f>
        <v>3.1784516998995059E-2</v>
      </c>
      <c r="AH157" s="22">
        <f>Constants!$H64*'Activity data'!AH6*Constants!$H82*EF!$H207*MMVolatEF*NtoN2O*kgtoGg</f>
        <v>3.1871059523377793E-2</v>
      </c>
      <c r="AI157" s="22">
        <f>Constants!$H64*'Activity data'!AI6*Constants!$H82*EF!$H207*MMVolatEF*NtoN2O*kgtoGg</f>
        <v>3.2047980190929352E-2</v>
      </c>
      <c r="AJ157" s="22">
        <f>Constants!$H64*'Activity data'!AJ6*Constants!$H82*EF!$H207*MMVolatEF*NtoN2O*kgtoGg</f>
        <v>3.2217566976245435E-2</v>
      </c>
      <c r="AK157" s="22">
        <f>Constants!$H64*'Activity data'!AK6*Constants!$H82*EF!$H207*MMVolatEF*NtoN2O*kgtoGg</f>
        <v>3.2390033852632706E-2</v>
      </c>
      <c r="AL157" s="22">
        <f>Constants!$H64*'Activity data'!AL6*Constants!$H82*EF!$H207*MMVolatEF*NtoN2O*kgtoGg</f>
        <v>3.1362322083722929E-2</v>
      </c>
      <c r="AM157" s="22">
        <f>Constants!$H64*'Activity data'!AM6*Constants!$H82*EF!$H207*MMVolatEF*NtoN2O*kgtoGg</f>
        <v>3.165107397453467E-2</v>
      </c>
      <c r="AN157" s="22">
        <f>Constants!$H64*'Activity data'!AN6*Constants!$H82*EF!$H207*MMVolatEF*NtoN2O*kgtoGg</f>
        <v>3.1930969364747944E-2</v>
      </c>
      <c r="AO157" s="22">
        <f>Constants!$H64*'Activity data'!AO6*Constants!$H82*EF!$H207*MMVolatEF*NtoN2O*kgtoGg</f>
        <v>3.2222967189981765E-2</v>
      </c>
      <c r="AP157" s="22">
        <f>Constants!$H64*'Activity data'!AP6*Constants!$H82*EF!$H207*MMVolatEF*NtoN2O*kgtoGg</f>
        <v>3.2542317112145516E-2</v>
      </c>
      <c r="AQ157" s="22">
        <f>Constants!$H64*'Activity data'!AQ6*Constants!$H82*EF!$H207*MMVolatEF*NtoN2O*kgtoGg</f>
        <v>3.2899921401360076E-2</v>
      </c>
      <c r="AR157" s="22">
        <f>Constants!$H64*'Activity data'!AR6*Constants!$H82*EF!$H207*MMVolatEF*NtoN2O*kgtoGg</f>
        <v>3.3253517382471516E-2</v>
      </c>
      <c r="AS157" s="22">
        <f>Constants!$H64*'Activity data'!AS6*Constants!$H82*EF!$H207*MMVolatEF*NtoN2O*kgtoGg</f>
        <v>3.3634233081389728E-2</v>
      </c>
      <c r="AT157" s="22">
        <f>Constants!$H64*'Activity data'!AT6*Constants!$H82*EF!$H207*MMVolatEF*NtoN2O*kgtoGg</f>
        <v>3.4044532015593737E-2</v>
      </c>
      <c r="AU157" s="22">
        <f>Constants!$H64*'Activity data'!AU6*Constants!$H82*EF!$H207*MMVolatEF*NtoN2O*kgtoGg</f>
        <v>3.4507932544729038E-2</v>
      </c>
      <c r="AV157" s="22">
        <f>Constants!$H64*'Activity data'!AV6*Constants!$H82*EF!$H207*MMVolatEF*NtoN2O*kgtoGg</f>
        <v>3.4972366654844704E-2</v>
      </c>
      <c r="AW157" s="22">
        <f>Constants!$H64*'Activity data'!AW6*Constants!$H82*EF!$H207*MMVolatEF*NtoN2O*kgtoGg</f>
        <v>3.5496593753746461E-2</v>
      </c>
      <c r="AX157" s="22">
        <f>Constants!$H64*'Activity data'!AX6*Constants!$H82*EF!$H207*MMVolatEF*NtoN2O*kgtoGg</f>
        <v>3.6042512662951193E-2</v>
      </c>
      <c r="AY157" s="22">
        <f>Constants!$H64*'Activity data'!AY6*Constants!$H82*EF!$H207*MMVolatEF*NtoN2O*kgtoGg</f>
        <v>3.6607774923349677E-2</v>
      </c>
      <c r="AZ157" s="22">
        <f>Constants!$H64*'Activity data'!AZ6*Constants!$H82*EF!$H207*MMVolatEF*NtoN2O*kgtoGg</f>
        <v>3.7189873476805253E-2</v>
      </c>
      <c r="BA157" s="22">
        <f>Constants!$H64*'Activity data'!BA6*Constants!$H82*EF!$H207*MMVolatEF*NtoN2O*kgtoGg</f>
        <v>3.7735177274889398E-2</v>
      </c>
      <c r="BB157" s="22">
        <f>Constants!$H64*'Activity data'!BB6*Constants!$H82*EF!$H207*MMVolatEF*NtoN2O*kgtoGg</f>
        <v>3.8289520864827238E-2</v>
      </c>
      <c r="BC157" s="22">
        <f>Constants!$H64*'Activity data'!BC6*Constants!$H82*EF!$H207*MMVolatEF*NtoN2O*kgtoGg</f>
        <v>3.8884691897867397E-2</v>
      </c>
      <c r="BD157" s="22">
        <f>Constants!$H64*'Activity data'!BD6*Constants!$H82*EF!$H207*MMVolatEF*NtoN2O*kgtoGg</f>
        <v>3.950998984037999E-2</v>
      </c>
      <c r="BE157" s="22">
        <f>Constants!$H64*'Activity data'!BE6*Constants!$H82*EF!$H207*MMVolatEF*NtoN2O*kgtoGg</f>
        <v>4.0125737474723651E-2</v>
      </c>
      <c r="BF157" s="22">
        <f>Constants!$H64*'Activity data'!BF6*Constants!$H82*EF!$H207*MMVolatEF*NtoN2O*kgtoGg</f>
        <v>4.0753628894808082E-2</v>
      </c>
      <c r="BG157" s="22">
        <f>Constants!$H64*'Activity data'!BG6*Constants!$H82*EF!$H207*MMVolatEF*NtoN2O*kgtoGg</f>
        <v>4.1391340204879522E-2</v>
      </c>
      <c r="BH157" s="22">
        <f>Constants!$H64*'Activity data'!BH6*Constants!$H82*EF!$H207*MMVolatEF*NtoN2O*kgtoGg</f>
        <v>4.2062216100887076E-2</v>
      </c>
      <c r="BI157" s="22">
        <f>Constants!$H64*'Activity data'!BI6*Constants!$H82*EF!$H207*MMVolatEF*NtoN2O*kgtoGg</f>
        <v>4.2773761516503021E-2</v>
      </c>
      <c r="BJ157" s="22">
        <f>Constants!$H64*'Activity data'!BJ6*Constants!$H82*EF!$H207*MMVolatEF*NtoN2O*kgtoGg</f>
        <v>4.3523214233779049E-2</v>
      </c>
      <c r="BK157" s="22">
        <f>Constants!$H64*'Activity data'!BK6*Constants!$H82*EF!$H207*MMVolatEF*NtoN2O*kgtoGg</f>
        <v>4.4326390646057798E-2</v>
      </c>
      <c r="BL157" s="22">
        <f>Constants!$H64*'Activity data'!BL6*Constants!$H82*EF!$H207*MMVolatEF*NtoN2O*kgtoGg</f>
        <v>4.5159157975925714E-2</v>
      </c>
      <c r="BM157" s="22">
        <f>Constants!$H64*'Activity data'!BM6*Constants!$H82*EF!$H207*MMVolatEF*NtoN2O*kgtoGg</f>
        <v>4.6030424350191772E-2</v>
      </c>
      <c r="BN157" s="22">
        <f>Constants!$H64*'Activity data'!BN6*Constants!$H82*EF!$H207*MMVolatEF*NtoN2O*kgtoGg</f>
        <v>4.6900621176669044E-2</v>
      </c>
      <c r="BO157" s="22">
        <f>Constants!$H64*'Activity data'!BO6*Constants!$H82*EF!$H207*MMVolatEF*NtoN2O*kgtoGg</f>
        <v>4.7812861038965718E-2</v>
      </c>
      <c r="BP157" s="22">
        <f>Constants!$H64*'Activity data'!BP6*Constants!$H82*EF!$H207*MMVolatEF*NtoN2O*kgtoGg</f>
        <v>4.8777280097300139E-2</v>
      </c>
    </row>
    <row r="158" spans="1:68" x14ac:dyDescent="0.25">
      <c r="A158" t="str">
        <f t="shared" si="58"/>
        <v>3C Aggregated and non-CO2 emissions on land</v>
      </c>
      <c r="B158" t="str">
        <f t="shared" ref="B158:B171" si="62">B157</f>
        <v>3C6 Indirect N2O from manure management (N2O)</v>
      </c>
      <c r="C158" t="str">
        <f t="shared" ref="C158:C171" si="63">C157</f>
        <v>Volatilisation</v>
      </c>
      <c r="D158" t="str">
        <f>'Activity data'!D68</f>
        <v xml:space="preserve"> - Non-lactating</v>
      </c>
      <c r="E158" t="str">
        <f t="shared" si="61"/>
        <v>Volatilisation - Non-lactating</v>
      </c>
      <c r="F158" t="str">
        <f t="shared" si="47"/>
        <v>N2O</v>
      </c>
      <c r="G158" t="str">
        <f t="shared" si="48"/>
        <v>Gg N2O</v>
      </c>
      <c r="H158" s="22">
        <f>Constants!$H65*'Activity data'!H7*Constants!$H83*EF!$H208*MMVolatEF*NtoN2O*kgtoGg</f>
        <v>2.7959029796178987E-4</v>
      </c>
      <c r="I158" s="22">
        <f>Constants!$H65*'Activity data'!I7*Constants!$H83*EF!$H208*MMVolatEF*NtoN2O*kgtoGg</f>
        <v>3.1779900416957193E-4</v>
      </c>
      <c r="J158" s="22">
        <f>Constants!$H65*'Activity data'!J7*Constants!$H83*EF!$H208*MMVolatEF*NtoN2O*kgtoGg</f>
        <v>2.7489696617153677E-4</v>
      </c>
      <c r="K158" s="22">
        <f>Constants!$H65*'Activity data'!K7*Constants!$H83*EF!$H208*MMVolatEF*NtoN2O*kgtoGg</f>
        <v>2.8768837256461081E-4</v>
      </c>
      <c r="L158" s="22">
        <f>Constants!$H65*'Activity data'!L7*Constants!$H83*EF!$H208*MMVolatEF*NtoN2O*kgtoGg</f>
        <v>2.5612363901052502E-4</v>
      </c>
      <c r="M158" s="22">
        <f>Constants!$H65*'Activity data'!M7*Constants!$H83*EF!$H208*MMVolatEF*NtoN2O*kgtoGg</f>
        <v>2.7830170898410472E-4</v>
      </c>
      <c r="N158" s="22">
        <f>Constants!$H65*'Activity data'!N7*Constants!$H83*EF!$H208*MMVolatEF*NtoN2O*kgtoGg</f>
        <v>2.8299504077435766E-4</v>
      </c>
      <c r="O158" s="22">
        <f>Constants!$H65*'Activity data'!O7*Constants!$H83*EF!$H208*MMVolatEF*NtoN2O*kgtoGg</f>
        <v>2.7344286422241221E-4</v>
      </c>
      <c r="P158" s="22">
        <f>Constants!$H65*'Activity data'!P7*Constants!$H83*EF!$H208*MMVolatEF*NtoN2O*kgtoGg</f>
        <v>2.5936286885165324E-4</v>
      </c>
      <c r="Q158" s="22">
        <f>Constants!$H65*'Activity data'!Q7*Constants!$H83*EF!$H208*MMVolatEF*NtoN2O*kgtoGg</f>
        <v>2.7327735125097269E-4</v>
      </c>
      <c r="R158" s="22">
        <f>Constants!$H65*'Activity data'!R7*Constants!$H83*EF!$H208*MMVolatEF*NtoN2O*kgtoGg</f>
        <v>3.3868848516546658E-4</v>
      </c>
      <c r="S158" s="22">
        <f>Constants!$H65*'Activity data'!S7*Constants!$H83*EF!$H208*MMVolatEF*NtoN2O*kgtoGg</f>
        <v>3.3399515337521364E-4</v>
      </c>
      <c r="T158" s="22">
        <f>Constants!$H65*'Activity data'!T7*Constants!$H83*EF!$H208*MMVolatEF*NtoN2O*kgtoGg</f>
        <v>3.0662721269706218E-4</v>
      </c>
      <c r="U158" s="22">
        <f>Constants!$H65*'Activity data'!U7*Constants!$H83*EF!$H208*MMVolatEF*NtoN2O*kgtoGg</f>
        <v>2.5936286885165324E-4</v>
      </c>
      <c r="V158" s="22">
        <f>Constants!$H65*'Activity data'!V7*Constants!$H83*EF!$H208*MMVolatEF*NtoN2O*kgtoGg</f>
        <v>2.4204364363976597E-4</v>
      </c>
      <c r="W158" s="22">
        <f>Constants!$H65*'Activity data'!W7*Constants!$H83*EF!$H208*MMVolatEF*NtoN2O*kgtoGg</f>
        <v>2.6422171361334585E-4</v>
      </c>
      <c r="X158" s="22">
        <f>Constants!$H65*'Activity data'!X7*Constants!$H83*EF!$H208*MMVolatEF*NtoN2O*kgtoGg</f>
        <v>2.6098248377221742E-4</v>
      </c>
      <c r="Y158" s="22">
        <f>Constants!$H65*'Activity data'!Y7*Constants!$H83*EF!$H208*MMVolatEF*NtoN2O*kgtoGg</f>
        <v>2.6405620064190628E-4</v>
      </c>
      <c r="Z158" s="22">
        <f>Constants!$H65*'Activity data'!Z7*Constants!$H83*EF!$H208*MMVolatEF*NtoN2O*kgtoGg</f>
        <v>3.0890887950338466E-4</v>
      </c>
      <c r="AA158" s="22">
        <f>Constants!$H65*'Activity data'!AA7*Constants!$H83*EF!$H208*MMVolatEF*NtoN2O*kgtoGg</f>
        <v>3.2153477292501886E-4</v>
      </c>
      <c r="AB158" s="22">
        <f>Constants!$H65*'Activity data'!AB7*Constants!$H83*EF!$H208*MMVolatEF*NtoN2O*kgtoGg</f>
        <v>3.2153477292501886E-4</v>
      </c>
      <c r="AC158" s="22">
        <f>Constants!$H65*'Activity data'!AC7*Constants!$H83*EF!$H208*MMVolatEF*NtoN2O*kgtoGg</f>
        <v>3.0259593279256748E-4</v>
      </c>
      <c r="AD158" s="22">
        <f>Constants!$H65*'Activity data'!AD7*Constants!$H83*EF!$H208*MMVolatEF*NtoN2O*kgtoGg</f>
        <v>2.8969013388879366E-4</v>
      </c>
      <c r="AE158" s="22">
        <f>Constants!$H65*'Activity data'!AE7*Constants!$H83*EF!$H208*MMVolatEF*NtoN2O*kgtoGg</f>
        <v>2.9181800605094008E-4</v>
      </c>
      <c r="AF158" s="22">
        <f>Constants!$H65*'Activity data'!AF7*Constants!$H83*EF!$H208*MMVolatEF*NtoN2O*kgtoGg</f>
        <v>2.9341202827025468E-4</v>
      </c>
      <c r="AG158" s="22">
        <f>Constants!$H65*'Activity data'!AG7*Constants!$H83*EF!$H208*MMVolatEF*NtoN2O*kgtoGg</f>
        <v>2.9462985774188281E-4</v>
      </c>
      <c r="AH158" s="22">
        <f>Constants!$H65*'Activity data'!AH7*Constants!$H83*EF!$H208*MMVolatEF*NtoN2O*kgtoGg</f>
        <v>2.9543207259537008E-4</v>
      </c>
      <c r="AI158" s="22">
        <f>Constants!$H65*'Activity data'!AI7*Constants!$H83*EF!$H208*MMVolatEF*NtoN2O*kgtoGg</f>
        <v>2.9707205696618698E-4</v>
      </c>
      <c r="AJ158" s="22">
        <f>Constants!$H65*'Activity data'!AJ7*Constants!$H83*EF!$H208*MMVolatEF*NtoN2O*kgtoGg</f>
        <v>2.9864405915939823E-4</v>
      </c>
      <c r="AK158" s="22">
        <f>Constants!$H65*'Activity data'!AK7*Constants!$H83*EF!$H208*MMVolatEF*NtoN2O*kgtoGg</f>
        <v>3.0024275865377076E-4</v>
      </c>
      <c r="AL158" s="22">
        <f>Constants!$H65*'Activity data'!AL7*Constants!$H83*EF!$H208*MMVolatEF*NtoN2O*kgtoGg</f>
        <v>2.9071627844068083E-4</v>
      </c>
      <c r="AM158" s="22">
        <f>Constants!$H65*'Activity data'!AM7*Constants!$H83*EF!$H208*MMVolatEF*NtoN2O*kgtoGg</f>
        <v>2.9339289386684107E-4</v>
      </c>
      <c r="AN158" s="22">
        <f>Constants!$H65*'Activity data'!AN7*Constants!$H83*EF!$H208*MMVolatEF*NtoN2O*kgtoGg</f>
        <v>2.9598741304747713E-4</v>
      </c>
      <c r="AO158" s="22">
        <f>Constants!$H65*'Activity data'!AO7*Constants!$H83*EF!$H208*MMVolatEF*NtoN2O*kgtoGg</f>
        <v>2.9869411699746332E-4</v>
      </c>
      <c r="AP158" s="22">
        <f>Constants!$H65*'Activity data'!AP7*Constants!$H83*EF!$H208*MMVolatEF*NtoN2O*kgtoGg</f>
        <v>3.0165436403031777E-4</v>
      </c>
      <c r="AQ158" s="22">
        <f>Constants!$H65*'Activity data'!AQ7*Constants!$H83*EF!$H208*MMVolatEF*NtoN2O*kgtoGg</f>
        <v>3.0496921386309958E-4</v>
      </c>
      <c r="AR158" s="22">
        <f>Constants!$H65*'Activity data'!AR7*Constants!$H83*EF!$H208*MMVolatEF*NtoN2O*kgtoGg</f>
        <v>3.0824690827060811E-4</v>
      </c>
      <c r="AS158" s="22">
        <f>Constants!$H65*'Activity data'!AS7*Constants!$H83*EF!$H208*MMVolatEF*NtoN2O*kgtoGg</f>
        <v>3.1177599169874144E-4</v>
      </c>
      <c r="AT158" s="22">
        <f>Constants!$H65*'Activity data'!AT7*Constants!$H83*EF!$H208*MMVolatEF*NtoN2O*kgtoGg</f>
        <v>3.1557929997679375E-4</v>
      </c>
      <c r="AU158" s="22">
        <f>Constants!$H65*'Activity data'!AU7*Constants!$H83*EF!$H208*MMVolatEF*NtoN2O*kgtoGg</f>
        <v>3.1987483896456448E-4</v>
      </c>
      <c r="AV158" s="22">
        <f>Constants!$H65*'Activity data'!AV7*Constants!$H83*EF!$H208*MMVolatEF*NtoN2O*kgtoGg</f>
        <v>3.2417995883780919E-4</v>
      </c>
      <c r="AW158" s="22">
        <f>Constants!$H65*'Activity data'!AW7*Constants!$H83*EF!$H208*MMVolatEF*NtoN2O*kgtoGg</f>
        <v>3.2903933598608389E-4</v>
      </c>
      <c r="AX158" s="22">
        <f>Constants!$H65*'Activity data'!AX7*Constants!$H83*EF!$H208*MMVolatEF*NtoN2O*kgtoGg</f>
        <v>3.3409978760668519E-4</v>
      </c>
      <c r="AY158" s="22">
        <f>Constants!$H65*'Activity data'!AY7*Constants!$H83*EF!$H208*MMVolatEF*NtoN2O*kgtoGg</f>
        <v>3.3933954441574184E-4</v>
      </c>
      <c r="AZ158" s="22">
        <f>Constants!$H65*'Activity data'!AZ7*Constants!$H83*EF!$H208*MMVolatEF*NtoN2O*kgtoGg</f>
        <v>3.4473536697934393E-4</v>
      </c>
      <c r="BA158" s="22">
        <f>Constants!$H65*'Activity data'!BA7*Constants!$H83*EF!$H208*MMVolatEF*NtoN2O*kgtoGg</f>
        <v>3.4979011676398655E-4</v>
      </c>
      <c r="BB158" s="22">
        <f>Constants!$H65*'Activity data'!BB7*Constants!$H83*EF!$H208*MMVolatEF*NtoN2O*kgtoGg</f>
        <v>3.549286618313436E-4</v>
      </c>
      <c r="BC158" s="22">
        <f>Constants!$H65*'Activity data'!BC7*Constants!$H83*EF!$H208*MMVolatEF*NtoN2O*kgtoGg</f>
        <v>3.6044566109240698E-4</v>
      </c>
      <c r="BD158" s="22">
        <f>Constants!$H65*'Activity data'!BD7*Constants!$H83*EF!$H208*MMVolatEF*NtoN2O*kgtoGg</f>
        <v>3.6624192484732259E-4</v>
      </c>
      <c r="BE158" s="22">
        <f>Constants!$H65*'Activity data'!BE7*Constants!$H83*EF!$H208*MMVolatEF*NtoN2O*kgtoGg</f>
        <v>3.719496610358986E-4</v>
      </c>
      <c r="BF158" s="22">
        <f>Constants!$H65*'Activity data'!BF7*Constants!$H83*EF!$H208*MMVolatEF*NtoN2O*kgtoGg</f>
        <v>3.7776996529858956E-4</v>
      </c>
      <c r="BG158" s="22">
        <f>Constants!$H65*'Activity data'!BG7*Constants!$H83*EF!$H208*MMVolatEF*NtoN2O*kgtoGg</f>
        <v>3.836812960440805E-4</v>
      </c>
      <c r="BH158" s="22">
        <f>Constants!$H65*'Activity data'!BH7*Constants!$H83*EF!$H208*MMVolatEF*NtoN2O*kgtoGg</f>
        <v>3.8990004933862991E-4</v>
      </c>
      <c r="BI158" s="22">
        <f>Constants!$H65*'Activity data'!BI7*Constants!$H83*EF!$H208*MMVolatEF*NtoN2O*kgtoGg</f>
        <v>3.9649579293877477E-4</v>
      </c>
      <c r="BJ158" s="22">
        <f>Constants!$H65*'Activity data'!BJ7*Constants!$H83*EF!$H208*MMVolatEF*NtoN2O*kgtoGg</f>
        <v>4.0344292218042052E-4</v>
      </c>
      <c r="BK158" s="22">
        <f>Constants!$H65*'Activity data'!BK7*Constants!$H83*EF!$H208*MMVolatEF*NtoN2O*kgtoGg</f>
        <v>4.1088804875254387E-4</v>
      </c>
      <c r="BL158" s="22">
        <f>Constants!$H65*'Activity data'!BL7*Constants!$H83*EF!$H208*MMVolatEF*NtoN2O*kgtoGg</f>
        <v>4.186074713864894E-4</v>
      </c>
      <c r="BM158" s="22">
        <f>Constants!$H65*'Activity data'!BM7*Constants!$H83*EF!$H208*MMVolatEF*NtoN2O*kgtoGg</f>
        <v>4.2668376488226323E-4</v>
      </c>
      <c r="BN158" s="22">
        <f>Constants!$H65*'Activity data'!BN7*Constants!$H83*EF!$H208*MMVolatEF*NtoN2O*kgtoGg</f>
        <v>4.3475014409452361E-4</v>
      </c>
      <c r="BO158" s="22">
        <f>Constants!$H65*'Activity data'!BO7*Constants!$H83*EF!$H208*MMVolatEF*NtoN2O*kgtoGg</f>
        <v>4.4320624556252591E-4</v>
      </c>
      <c r="BP158" s="22">
        <f>Constants!$H65*'Activity data'!BP7*Constants!$H83*EF!$H208*MMVolatEF*NtoN2O*kgtoGg</f>
        <v>4.5214602746859094E-4</v>
      </c>
    </row>
    <row r="159" spans="1:68" x14ac:dyDescent="0.25">
      <c r="A159" t="str">
        <f t="shared" si="58"/>
        <v>3C Aggregated and non-CO2 emissions on land</v>
      </c>
      <c r="B159" t="str">
        <f t="shared" si="62"/>
        <v>3C6 Indirect N2O from manure management (N2O)</v>
      </c>
      <c r="C159" t="str">
        <f t="shared" si="63"/>
        <v>Volatilisation</v>
      </c>
      <c r="D159" t="str">
        <f>'Activity data'!D69</f>
        <v xml:space="preserve"> - Commercial cattle</v>
      </c>
      <c r="E159" t="str">
        <f t="shared" si="61"/>
        <v>Volatilisation - Commercial cattle</v>
      </c>
      <c r="F159" t="str">
        <f t="shared" si="47"/>
        <v>N2O</v>
      </c>
      <c r="G159" t="str">
        <f t="shared" si="48"/>
        <v>Gg N2O</v>
      </c>
      <c r="H159" s="22">
        <f>Constants!$H66*'Activity data'!H8*Constants!$H84*EF!$H209*MMVolatEF*NtoN2O*kgtoGg</f>
        <v>3.7003362848044533E-3</v>
      </c>
      <c r="I159" s="22">
        <f>Constants!$H66*'Activity data'!I8*Constants!$H84*EF!$H209*MMVolatEF*NtoN2O*kgtoGg</f>
        <v>3.5406221910635866E-3</v>
      </c>
      <c r="J159" s="22">
        <f>Constants!$H66*'Activity data'!J8*Constants!$H84*EF!$H209*MMVolatEF*NtoN2O*kgtoGg</f>
        <v>3.5393357500556814E-3</v>
      </c>
      <c r="K159" s="22">
        <f>Constants!$H66*'Activity data'!K8*Constants!$H84*EF!$H209*MMVolatEF*NtoN2O*kgtoGg</f>
        <v>3.3111743098604807E-3</v>
      </c>
      <c r="L159" s="22">
        <f>Constants!$H66*'Activity data'!L8*Constants!$H84*EF!$H209*MMVolatEF*NtoN2O*kgtoGg</f>
        <v>3.4109956184485233E-3</v>
      </c>
      <c r="M159" s="22">
        <f>Constants!$H66*'Activity data'!M8*Constants!$H84*EF!$H209*MMVolatEF*NtoN2O*kgtoGg</f>
        <v>3.4885511843596667E-3</v>
      </c>
      <c r="N159" s="22">
        <f>Constants!$H66*'Activity data'!N8*Constants!$H84*EF!$H209*MMVolatEF*NtoN2O*kgtoGg</f>
        <v>3.6332676557172408E-3</v>
      </c>
      <c r="O159" s="22">
        <f>Constants!$H66*'Activity data'!O8*Constants!$H84*EF!$H209*MMVolatEF*NtoN2O*kgtoGg</f>
        <v>3.7709005594996426E-3</v>
      </c>
      <c r="P159" s="22">
        <f>Constants!$H66*'Activity data'!P8*Constants!$H84*EF!$H209*MMVolatEF*NtoN2O*kgtoGg</f>
        <v>3.8035609626412554E-3</v>
      </c>
      <c r="Q159" s="22">
        <f>Constants!$H66*'Activity data'!Q8*Constants!$H84*EF!$H209*MMVolatEF*NtoN2O*kgtoGg</f>
        <v>3.742012631043659E-3</v>
      </c>
      <c r="R159" s="22">
        <f>Constants!$H66*'Activity data'!R8*Constants!$H84*EF!$H209*MMVolatEF*NtoN2O*kgtoGg</f>
        <v>3.4878129734859328E-3</v>
      </c>
      <c r="S159" s="22">
        <f>Constants!$H66*'Activity data'!S8*Constants!$H84*EF!$H209*MMVolatEF*NtoN2O*kgtoGg</f>
        <v>3.5059371360403354E-3</v>
      </c>
      <c r="T159" s="22">
        <f>Constants!$H66*'Activity data'!T8*Constants!$H84*EF!$H209*MMVolatEF*NtoN2O*kgtoGg</f>
        <v>3.267565588098854E-3</v>
      </c>
      <c r="U159" s="22">
        <f>Constants!$H66*'Activity data'!U8*Constants!$H84*EF!$H209*MMVolatEF*NtoN2O*kgtoGg</f>
        <v>3.3530352088181202E-3</v>
      </c>
      <c r="V159" s="22">
        <f>Constants!$H66*'Activity data'!V8*Constants!$H84*EF!$H209*MMVolatEF*NtoN2O*kgtoGg</f>
        <v>3.3839477891557434E-3</v>
      </c>
      <c r="W159" s="22">
        <f>Constants!$H66*'Activity data'!W8*Constants!$H84*EF!$H209*MMVolatEF*NtoN2O*kgtoGg</f>
        <v>3.4126511648932944E-3</v>
      </c>
      <c r="X159" s="22">
        <f>Constants!$H66*'Activity data'!X8*Constants!$H84*EF!$H209*MMVolatEF*NtoN2O*kgtoGg</f>
        <v>3.3349110462637175E-3</v>
      </c>
      <c r="Y159" s="22">
        <f>Constants!$H66*'Activity data'!Y8*Constants!$H84*EF!$H209*MMVolatEF*NtoN2O*kgtoGg</f>
        <v>3.4326154266109024E-3</v>
      </c>
      <c r="Z159" s="22">
        <f>Constants!$H66*'Activity data'!Z8*Constants!$H84*EF!$H209*MMVolatEF*NtoN2O*kgtoGg</f>
        <v>3.3372300325911516E-3</v>
      </c>
      <c r="AA159" s="22">
        <f>Constants!$H66*'Activity data'!AA8*Constants!$H84*EF!$H209*MMVolatEF*NtoN2O*kgtoGg</f>
        <v>3.281195665791852E-3</v>
      </c>
      <c r="AB159" s="22">
        <f>Constants!$H66*'Activity data'!AB8*Constants!$H84*EF!$H209*MMVolatEF*NtoN2O*kgtoGg</f>
        <v>3.2708808424712636E-3</v>
      </c>
      <c r="AC159" s="22">
        <f>Constants!$H66*'Activity data'!AC8*Constants!$H84*EF!$H209*MMVolatEF*NtoN2O*kgtoGg</f>
        <v>3.2591357808163246E-3</v>
      </c>
      <c r="AD159" s="22">
        <f>Constants!$H66*'Activity data'!AD8*Constants!$H84*EF!$H209*MMVolatEF*NtoN2O*kgtoGg</f>
        <v>3.2329850377410519E-3</v>
      </c>
      <c r="AE159" s="22">
        <f>Constants!$H66*'Activity data'!AE8*Constants!$H84*EF!$H209*MMVolatEF*NtoN2O*kgtoGg</f>
        <v>3.2220768974133129E-3</v>
      </c>
      <c r="AF159" s="22">
        <f>Constants!$H66*'Activity data'!AF8*Constants!$H84*EF!$H209*MMVolatEF*NtoN2O*kgtoGg</f>
        <v>3.1877731579821058E-3</v>
      </c>
      <c r="AG159" s="22">
        <f>Constants!$H66*'Activity data'!AG8*Constants!$H84*EF!$H209*MMVolatEF*NtoN2O*kgtoGg</f>
        <v>3.1370373994819411E-3</v>
      </c>
      <c r="AH159" s="22">
        <f>Constants!$H66*'Activity data'!AH8*Constants!$H84*EF!$H209*MMVolatEF*NtoN2O*kgtoGg</f>
        <v>3.0700123329344582E-3</v>
      </c>
      <c r="AI159" s="22">
        <f>Constants!$H66*'Activity data'!AI8*Constants!$H84*EF!$H209*MMVolatEF*NtoN2O*kgtoGg</f>
        <v>3.026127042778365E-3</v>
      </c>
      <c r="AJ159" s="22">
        <f>Constants!$H66*'Activity data'!AJ8*Constants!$H84*EF!$H209*MMVolatEF*NtoN2O*kgtoGg</f>
        <v>2.9781750287544719E-3</v>
      </c>
      <c r="AK159" s="22">
        <f>Constants!$H66*'Activity data'!AK8*Constants!$H84*EF!$H209*MMVolatEF*NtoN2O*kgtoGg</f>
        <v>2.9291215481650839E-3</v>
      </c>
      <c r="AL159" s="22">
        <f>Constants!$H66*'Activity data'!AL8*Constants!$H84*EF!$H209*MMVolatEF*NtoN2O*kgtoGg</f>
        <v>2.566312697417365E-3</v>
      </c>
      <c r="AM159" s="22">
        <f>Constants!$H66*'Activity data'!AM8*Constants!$H84*EF!$H209*MMVolatEF*NtoN2O*kgtoGg</f>
        <v>2.5968096745584541E-3</v>
      </c>
      <c r="AN159" s="22">
        <f>Constants!$H66*'Activity data'!AN8*Constants!$H84*EF!$H209*MMVolatEF*NtoN2O*kgtoGg</f>
        <v>2.6225457545615708E-3</v>
      </c>
      <c r="AO159" s="22">
        <f>Constants!$H66*'Activity data'!AO8*Constants!$H84*EF!$H209*MMVolatEF*NtoN2O*kgtoGg</f>
        <v>2.6489798518196349E-3</v>
      </c>
      <c r="AP159" s="22">
        <f>Constants!$H66*'Activity data'!AP8*Constants!$H84*EF!$H209*MMVolatEF*NtoN2O*kgtoGg</f>
        <v>2.6798448591297433E-3</v>
      </c>
      <c r="AQ159" s="22">
        <f>Constants!$H66*'Activity data'!AQ8*Constants!$H84*EF!$H209*MMVolatEF*NtoN2O*kgtoGg</f>
        <v>2.7175968296934906E-3</v>
      </c>
      <c r="AR159" s="22">
        <f>Constants!$H66*'Activity data'!AR8*Constants!$H84*EF!$H209*MMVolatEF*NtoN2O*kgtoGg</f>
        <v>2.7570582040079812E-3</v>
      </c>
      <c r="AS159" s="22">
        <f>Constants!$H66*'Activity data'!AS8*Constants!$H84*EF!$H209*MMVolatEF*NtoN2O*kgtoGg</f>
        <v>2.8004238528094088E-3</v>
      </c>
      <c r="AT159" s="22">
        <f>Constants!$H66*'Activity data'!AT8*Constants!$H84*EF!$H209*MMVolatEF*NtoN2O*kgtoGg</f>
        <v>2.8480908949360603E-3</v>
      </c>
      <c r="AU159" s="22">
        <f>Constants!$H66*'Activity data'!AU8*Constants!$H84*EF!$H209*MMVolatEF*NtoN2O*kgtoGg</f>
        <v>2.905213352389439E-3</v>
      </c>
      <c r="AV159" s="22">
        <f>Constants!$H66*'Activity data'!AV8*Constants!$H84*EF!$H209*MMVolatEF*NtoN2O*kgtoGg</f>
        <v>2.9596928561863899E-3</v>
      </c>
      <c r="AW159" s="22">
        <f>Constants!$H66*'Activity data'!AW8*Constants!$H84*EF!$H209*MMVolatEF*NtoN2O*kgtoGg</f>
        <v>3.003023006076451E-3</v>
      </c>
      <c r="AX159" s="22">
        <f>Constants!$H66*'Activity data'!AX8*Constants!$H84*EF!$H209*MMVolatEF*NtoN2O*kgtoGg</f>
        <v>3.0463078050221243E-3</v>
      </c>
      <c r="AY159" s="22">
        <f>Constants!$H66*'Activity data'!AY8*Constants!$H84*EF!$H209*MMVolatEF*NtoN2O*kgtoGg</f>
        <v>3.0888700557344584E-3</v>
      </c>
      <c r="AZ159" s="22">
        <f>Constants!$H66*'Activity data'!AZ8*Constants!$H84*EF!$H209*MMVolatEF*NtoN2O*kgtoGg</f>
        <v>3.1300467919025011E-3</v>
      </c>
      <c r="BA159" s="22">
        <f>Constants!$H66*'Activity data'!BA8*Constants!$H84*EF!$H209*MMVolatEF*NtoN2O*kgtoGg</f>
        <v>3.1590294983429726E-3</v>
      </c>
      <c r="BB159" s="22">
        <f>Constants!$H66*'Activity data'!BB8*Constants!$H84*EF!$H209*MMVolatEF*NtoN2O*kgtoGg</f>
        <v>3.1886134315626939E-3</v>
      </c>
      <c r="BC159" s="22">
        <f>Constants!$H66*'Activity data'!BC8*Constants!$H84*EF!$H209*MMVolatEF*NtoN2O*kgtoGg</f>
        <v>3.2214672604015675E-3</v>
      </c>
      <c r="BD159" s="22">
        <f>Constants!$H66*'Activity data'!BD8*Constants!$H84*EF!$H209*MMVolatEF*NtoN2O*kgtoGg</f>
        <v>3.2551500875685662E-3</v>
      </c>
      <c r="BE159" s="22">
        <f>Constants!$H66*'Activity data'!BE8*Constants!$H84*EF!$H209*MMVolatEF*NtoN2O*kgtoGg</f>
        <v>3.2821883678769634E-3</v>
      </c>
      <c r="BF159" s="22">
        <f>Constants!$H66*'Activity data'!BF8*Constants!$H84*EF!$H209*MMVolatEF*NtoN2O*kgtoGg</f>
        <v>3.3066456664828446E-3</v>
      </c>
      <c r="BG159" s="22">
        <f>Constants!$H66*'Activity data'!BG8*Constants!$H84*EF!$H209*MMVolatEF*NtoN2O*kgtoGg</f>
        <v>3.3477100220404058E-3</v>
      </c>
      <c r="BH159" s="22">
        <f>Constants!$H66*'Activity data'!BH8*Constants!$H84*EF!$H209*MMVolatEF*NtoN2O*kgtoGg</f>
        <v>3.3904619916078189E-3</v>
      </c>
      <c r="BI159" s="22">
        <f>Constants!$H66*'Activity data'!BI8*Constants!$H84*EF!$H209*MMVolatEF*NtoN2O*kgtoGg</f>
        <v>3.4358791255420145E-3</v>
      </c>
      <c r="BJ159" s="22">
        <f>Constants!$H66*'Activity data'!BJ8*Constants!$H84*EF!$H209*MMVolatEF*NtoN2O*kgtoGg</f>
        <v>3.4831751565870292E-3</v>
      </c>
      <c r="BK159" s="22">
        <f>Constants!$H66*'Activity data'!BK8*Constants!$H84*EF!$H209*MMVolatEF*NtoN2O*kgtoGg</f>
        <v>3.5345563568022994E-3</v>
      </c>
      <c r="BL159" s="22">
        <f>Constants!$H66*'Activity data'!BL8*Constants!$H84*EF!$H209*MMVolatEF*NtoN2O*kgtoGg</f>
        <v>3.5882395633179869E-3</v>
      </c>
      <c r="BM159" s="22">
        <f>Constants!$H66*'Activity data'!BM8*Constants!$H84*EF!$H209*MMVolatEF*NtoN2O*kgtoGg</f>
        <v>3.6428546056528192E-3</v>
      </c>
      <c r="BN159" s="22">
        <f>Constants!$H66*'Activity data'!BN8*Constants!$H84*EF!$H209*MMVolatEF*NtoN2O*kgtoGg</f>
        <v>3.6922278435381276E-3</v>
      </c>
      <c r="BO159" s="22">
        <f>Constants!$H66*'Activity data'!BO8*Constants!$H84*EF!$H209*MMVolatEF*NtoN2O*kgtoGg</f>
        <v>3.7427295596394912E-3</v>
      </c>
      <c r="BP159" s="22">
        <f>Constants!$H66*'Activity data'!BP8*Constants!$H84*EF!$H209*MMVolatEF*NtoN2O*kgtoGg</f>
        <v>3.7954807580563962E-3</v>
      </c>
    </row>
    <row r="160" spans="1:68" x14ac:dyDescent="0.25">
      <c r="A160" t="str">
        <f t="shared" si="58"/>
        <v>3C Aggregated and non-CO2 emissions on land</v>
      </c>
      <c r="B160" t="str">
        <f t="shared" si="62"/>
        <v>3C6 Indirect N2O from manure management (N2O)</v>
      </c>
      <c r="C160" t="str">
        <f t="shared" si="63"/>
        <v>Volatilisation</v>
      </c>
      <c r="D160" t="str">
        <f>'Activity data'!D70</f>
        <v xml:space="preserve"> - Subsistence cattle</v>
      </c>
      <c r="E160" t="str">
        <f t="shared" si="61"/>
        <v>Volatilisation - Subsistence cattle</v>
      </c>
      <c r="F160" t="str">
        <f t="shared" si="47"/>
        <v>N2O</v>
      </c>
      <c r="G160" t="str">
        <f t="shared" si="48"/>
        <v>Gg N2O</v>
      </c>
      <c r="H160" s="22">
        <f>Constants!$H67*'Activity data'!H9*Constants!$H85*EF!$H210*MMVolatEF*NtoN2O*kgtoGg</f>
        <v>1.3985811709424438E-2</v>
      </c>
      <c r="I160" s="22">
        <f>Constants!$H67*'Activity data'!I9*Constants!$H85*EF!$H210*MMVolatEF*NtoN2O*kgtoGg</f>
        <v>1.4838976693877345E-2</v>
      </c>
      <c r="J160" s="22">
        <f>Constants!$H67*'Activity data'!J9*Constants!$H85*EF!$H210*MMVolatEF*NtoN2O*kgtoGg</f>
        <v>1.5539790788249377E-2</v>
      </c>
      <c r="K160" s="22">
        <f>Constants!$H67*'Activity data'!K9*Constants!$H85*EF!$H210*MMVolatEF*NtoN2O*kgtoGg</f>
        <v>1.5356969720152323E-2</v>
      </c>
      <c r="L160" s="22">
        <f>Constants!$H67*'Activity data'!L9*Constants!$H85*EF!$H210*MMVolatEF*NtoN2O*kgtoGg</f>
        <v>1.3376408149100934E-2</v>
      </c>
      <c r="M160" s="22">
        <f>Constants!$H67*'Activity data'!M9*Constants!$H85*EF!$H210*MMVolatEF*NtoN2O*kgtoGg</f>
        <v>1.2919355478858304E-2</v>
      </c>
      <c r="N160" s="22">
        <f>Constants!$H67*'Activity data'!N9*Constants!$H85*EF!$H210*MMVolatEF*NtoN2O*kgtoGg</f>
        <v>1.3284997615052406E-2</v>
      </c>
      <c r="O160" s="22">
        <f>Constants!$H67*'Activity data'!O9*Constants!$H85*EF!$H210*MMVolatEF*NtoN2O*kgtoGg</f>
        <v>1.3894401175375911E-2</v>
      </c>
      <c r="P160" s="22">
        <f>Constants!$H67*'Activity data'!P9*Constants!$H85*EF!$H210*MMVolatEF*NtoN2O*kgtoGg</f>
        <v>1.4747566159828822E-2</v>
      </c>
      <c r="Q160" s="22">
        <f>Constants!$H67*'Activity data'!Q9*Constants!$H85*EF!$H210*MMVolatEF*NtoN2O*kgtoGg</f>
        <v>1.5356969720152323E-2</v>
      </c>
      <c r="R160" s="22">
        <f>Constants!$H67*'Activity data'!R9*Constants!$H85*EF!$H210*MMVolatEF*NtoN2O*kgtoGg</f>
        <v>1.4991327583958221E-2</v>
      </c>
      <c r="S160" s="22">
        <f>Constants!$H67*'Activity data'!S9*Constants!$H85*EF!$H210*MMVolatEF*NtoN2O*kgtoGg</f>
        <v>1.4625685447764119E-2</v>
      </c>
      <c r="T160" s="22">
        <f>Constants!$H67*'Activity data'!T9*Constants!$H85*EF!$H210*MMVolatEF*NtoN2O*kgtoGg</f>
        <v>1.657577684079933E-2</v>
      </c>
      <c r="U160" s="22">
        <f>Constants!$H67*'Activity data'!U9*Constants!$H85*EF!$H210*MMVolatEF*NtoN2O*kgtoGg</f>
        <v>1.6971889155009613E-2</v>
      </c>
      <c r="V160" s="22">
        <f>Constants!$H67*'Activity data'!V9*Constants!$H85*EF!$H210*MMVolatEF*NtoN2O*kgtoGg</f>
        <v>1.6697657552864033E-2</v>
      </c>
      <c r="W160" s="22">
        <f>Constants!$H67*'Activity data'!W9*Constants!$H85*EF!$H210*MMVolatEF*NtoN2O*kgtoGg</f>
        <v>1.6210134704605229E-2</v>
      </c>
      <c r="X160" s="22">
        <f>Constants!$H67*'Activity data'!X9*Constants!$H85*EF!$H210*MMVolatEF*NtoN2O*kgtoGg</f>
        <v>1.6728127730880213E-2</v>
      </c>
      <c r="Y160" s="22">
        <f>Constants!$H67*'Activity data'!Y9*Constants!$H85*EF!$H210*MMVolatEF*NtoN2O*kgtoGg</f>
        <v>1.7398471647236066E-2</v>
      </c>
      <c r="Z160" s="22">
        <f>Constants!$H67*'Activity data'!Z9*Constants!$H85*EF!$H210*MMVolatEF*NtoN2O*kgtoGg</f>
        <v>1.7124240045090489E-2</v>
      </c>
      <c r="AA160" s="22">
        <f>Constants!$H67*'Activity data'!AA9*Constants!$H85*EF!$H210*MMVolatEF*NtoN2O*kgtoGg</f>
        <v>1.6941418976993437E-2</v>
      </c>
      <c r="AB160" s="22">
        <f>Constants!$H67*'Activity data'!AB9*Constants!$H85*EF!$H210*MMVolatEF*NtoN2O*kgtoGg</f>
        <v>1.6697657552864033E-2</v>
      </c>
      <c r="AC160" s="22">
        <f>Constants!$H67*'Activity data'!AC9*Constants!$H85*EF!$H210*MMVolatEF*NtoN2O*kgtoGg</f>
        <v>1.6819538264928734E-2</v>
      </c>
      <c r="AD160" s="22">
        <f>Constants!$H67*'Activity data'!AD9*Constants!$H85*EF!$H210*MMVolatEF*NtoN2O*kgtoGg</f>
        <v>1.609382019389476E-2</v>
      </c>
      <c r="AE160" s="22">
        <f>Constants!$H67*'Activity data'!AE9*Constants!$H85*EF!$H210*MMVolatEF*NtoN2O*kgtoGg</f>
        <v>1.6039519401582068E-2</v>
      </c>
      <c r="AF160" s="22">
        <f>Constants!$H67*'Activity data'!AF9*Constants!$H85*EF!$H210*MMVolatEF*NtoN2O*kgtoGg</f>
        <v>1.5868755167309644E-2</v>
      </c>
      <c r="AG160" s="22">
        <f>Constants!$H67*'Activity data'!AG9*Constants!$H85*EF!$H210*MMVolatEF*NtoN2O*kgtoGg</f>
        <v>1.5616192237023693E-2</v>
      </c>
      <c r="AH160" s="22">
        <f>Constants!$H67*'Activity data'!AH9*Constants!$H85*EF!$H210*MMVolatEF*NtoN2O*kgtoGg</f>
        <v>1.5282541027102621E-2</v>
      </c>
      <c r="AI160" s="22">
        <f>Constants!$H67*'Activity data'!AI9*Constants!$H85*EF!$H210*MMVolatEF*NtoN2O*kgtoGg</f>
        <v>1.5064079772044492E-2</v>
      </c>
      <c r="AJ160" s="22">
        <f>Constants!$H67*'Activity data'!AJ9*Constants!$H85*EF!$H210*MMVolatEF*NtoN2O*kgtoGg</f>
        <v>1.4825374339564398E-2</v>
      </c>
      <c r="AK160" s="22">
        <f>Constants!$H67*'Activity data'!AK9*Constants!$H85*EF!$H210*MMVolatEF*NtoN2O*kgtoGg</f>
        <v>1.4581185799477021E-2</v>
      </c>
      <c r="AL160" s="22">
        <f>Constants!$H67*'Activity data'!AL9*Constants!$H85*EF!$H210*MMVolatEF*NtoN2O*kgtoGg</f>
        <v>1.2775121020171023E-2</v>
      </c>
      <c r="AM160" s="22">
        <f>Constants!$H67*'Activity data'!AM9*Constants!$H85*EF!$H210*MMVolatEF*NtoN2O*kgtoGg</f>
        <v>1.2926935167417724E-2</v>
      </c>
      <c r="AN160" s="22">
        <f>Constants!$H67*'Activity data'!AN9*Constants!$H85*EF!$H210*MMVolatEF*NtoN2O*kgtoGg</f>
        <v>1.3055049538264075E-2</v>
      </c>
      <c r="AO160" s="22">
        <f>Constants!$H67*'Activity data'!AO9*Constants!$H85*EF!$H210*MMVolatEF*NtoN2O*kgtoGg</f>
        <v>1.3186638643469601E-2</v>
      </c>
      <c r="AP160" s="22">
        <f>Constants!$H67*'Activity data'!AP9*Constants!$H85*EF!$H210*MMVolatEF*NtoN2O*kgtoGg</f>
        <v>1.334028484725136E-2</v>
      </c>
      <c r="AQ160" s="22">
        <f>Constants!$H67*'Activity data'!AQ9*Constants!$H85*EF!$H210*MMVolatEF*NtoN2O*kgtoGg</f>
        <v>1.3528214398154163E-2</v>
      </c>
      <c r="AR160" s="22">
        <f>Constants!$H67*'Activity data'!AR9*Constants!$H85*EF!$H210*MMVolatEF*NtoN2O*kgtoGg</f>
        <v>1.3724653371860372E-2</v>
      </c>
      <c r="AS160" s="22">
        <f>Constants!$H67*'Activity data'!AS9*Constants!$H85*EF!$H210*MMVolatEF*NtoN2O*kgtoGg</f>
        <v>1.39405278489317E-2</v>
      </c>
      <c r="AT160" s="22">
        <f>Constants!$H67*'Activity data'!AT9*Constants!$H85*EF!$H210*MMVolatEF*NtoN2O*kgtoGg</f>
        <v>1.4177814689484836E-2</v>
      </c>
      <c r="AU160" s="22">
        <f>Constants!$H67*'Activity data'!AU9*Constants!$H85*EF!$H210*MMVolatEF*NtoN2O*kgtoGg</f>
        <v>1.4462170648004959E-2</v>
      </c>
      <c r="AV160" s="22">
        <f>Constants!$H67*'Activity data'!AV9*Constants!$H85*EF!$H210*MMVolatEF*NtoN2O*kgtoGg</f>
        <v>1.4733369966320811E-2</v>
      </c>
      <c r="AW160" s="22">
        <f>Constants!$H67*'Activity data'!AW9*Constants!$H85*EF!$H210*MMVolatEF*NtoN2O*kgtoGg</f>
        <v>1.4949067729584325E-2</v>
      </c>
      <c r="AX160" s="22">
        <f>Constants!$H67*'Activity data'!AX9*Constants!$H85*EF!$H210*MMVolatEF*NtoN2O*kgtoGg</f>
        <v>1.5164539735556646E-2</v>
      </c>
      <c r="AY160" s="22">
        <f>Constants!$H67*'Activity data'!AY9*Constants!$H85*EF!$H210*MMVolatEF*NtoN2O*kgtoGg</f>
        <v>1.5376414891802465E-2</v>
      </c>
      <c r="AZ160" s="22">
        <f>Constants!$H67*'Activity data'!AZ9*Constants!$H85*EF!$H210*MMVolatEF*NtoN2O*kgtoGg</f>
        <v>1.5581392947785971E-2</v>
      </c>
      <c r="BA160" s="22">
        <f>Constants!$H67*'Activity data'!BA9*Constants!$H85*EF!$H210*MMVolatEF*NtoN2O*kgtoGg</f>
        <v>1.5725669045800729E-2</v>
      </c>
      <c r="BB160" s="22">
        <f>Constants!$H67*'Activity data'!BB9*Constants!$H85*EF!$H210*MMVolatEF*NtoN2O*kgtoGg</f>
        <v>1.5872938054567642E-2</v>
      </c>
      <c r="BC160" s="22">
        <f>Constants!$H67*'Activity data'!BC9*Constants!$H85*EF!$H210*MMVolatEF*NtoN2O*kgtoGg</f>
        <v>1.6036484624638768E-2</v>
      </c>
      <c r="BD160" s="22">
        <f>Constants!$H67*'Activity data'!BD9*Constants!$H85*EF!$H210*MMVolatEF*NtoN2O*kgtoGg</f>
        <v>1.6204157953689027E-2</v>
      </c>
      <c r="BE160" s="22">
        <f>Constants!$H67*'Activity data'!BE9*Constants!$H85*EF!$H210*MMVolatEF*NtoN2O*kgtoGg</f>
        <v>1.6338754685983062E-2</v>
      </c>
      <c r="BF160" s="22">
        <f>Constants!$H67*'Activity data'!BF9*Constants!$H85*EF!$H210*MMVolatEF*NtoN2O*kgtoGg</f>
        <v>1.646050327485574E-2</v>
      </c>
      <c r="BG160" s="22">
        <f>Constants!$H67*'Activity data'!BG9*Constants!$H85*EF!$H210*MMVolatEF*NtoN2O*kgtoGg</f>
        <v>1.6664921899441555E-2</v>
      </c>
      <c r="BH160" s="22">
        <f>Constants!$H67*'Activity data'!BH9*Constants!$H85*EF!$H210*MMVolatEF*NtoN2O*kgtoGg</f>
        <v>1.6877741477361277E-2</v>
      </c>
      <c r="BI160" s="22">
        <f>Constants!$H67*'Activity data'!BI9*Constants!$H85*EF!$H210*MMVolatEF*NtoN2O*kgtoGg</f>
        <v>1.7103828260543446E-2</v>
      </c>
      <c r="BJ160" s="22">
        <f>Constants!$H67*'Activity data'!BJ9*Constants!$H85*EF!$H210*MMVolatEF*NtoN2O*kgtoGg</f>
        <v>1.733926820555946E-2</v>
      </c>
      <c r="BK160" s="22">
        <f>Constants!$H67*'Activity data'!BK9*Constants!$H85*EF!$H210*MMVolatEF*NtoN2O*kgtoGg</f>
        <v>1.7595044148831025E-2</v>
      </c>
      <c r="BL160" s="22">
        <f>Constants!$H67*'Activity data'!BL9*Constants!$H85*EF!$H210*MMVolatEF*NtoN2O*kgtoGg</f>
        <v>1.7862279494188154E-2</v>
      </c>
      <c r="BM160" s="22">
        <f>Constants!$H67*'Activity data'!BM9*Constants!$H85*EF!$H210*MMVolatEF*NtoN2O*kgtoGg</f>
        <v>1.8134153524212403E-2</v>
      </c>
      <c r="BN160" s="22">
        <f>Constants!$H67*'Activity data'!BN9*Constants!$H85*EF!$H210*MMVolatEF*NtoN2O*kgtoGg</f>
        <v>1.8379933818163826E-2</v>
      </c>
      <c r="BO160" s="22">
        <f>Constants!$H67*'Activity data'!BO9*Constants!$H85*EF!$H210*MMVolatEF*NtoN2O*kgtoGg</f>
        <v>1.8631331683891767E-2</v>
      </c>
      <c r="BP160" s="22">
        <f>Constants!$H67*'Activity data'!BP9*Constants!$H85*EF!$H210*MMVolatEF*NtoN2O*kgtoGg</f>
        <v>1.8893927486972665E-2</v>
      </c>
    </row>
    <row r="161" spans="1:68" x14ac:dyDescent="0.25">
      <c r="A161" t="str">
        <f t="shared" si="58"/>
        <v>3C Aggregated and non-CO2 emissions on land</v>
      </c>
      <c r="B161" t="str">
        <f t="shared" si="62"/>
        <v>3C6 Indirect N2O from manure management (N2O)</v>
      </c>
      <c r="C161" t="str">
        <f t="shared" si="63"/>
        <v>Volatilisation</v>
      </c>
      <c r="D161" t="str">
        <f>'Activity data'!D71</f>
        <v xml:space="preserve"> - Feedlot</v>
      </c>
      <c r="E161" t="str">
        <f t="shared" si="61"/>
        <v>Volatilisation - Feedlot</v>
      </c>
      <c r="F161" t="str">
        <f t="shared" si="47"/>
        <v>N2O</v>
      </c>
      <c r="G161" t="str">
        <f t="shared" si="48"/>
        <v>Gg N2O</v>
      </c>
      <c r="H161" s="22">
        <f>Constants!$H68*'Activity data'!H10*Constants!$H86*EF!$H211*MMVolatEF*NtoN2O*kgtoGg</f>
        <v>0.12283717445999996</v>
      </c>
      <c r="I161" s="22">
        <f>Constants!$H68*'Activity data'!I10*Constants!$H86*EF!$H211*MMVolatEF*NtoN2O*kgtoGg</f>
        <v>0.12283717445999996</v>
      </c>
      <c r="J161" s="22">
        <f>Constants!$H68*'Activity data'!J10*Constants!$H86*EF!$H211*MMVolatEF*NtoN2O*kgtoGg</f>
        <v>0.12283717445999996</v>
      </c>
      <c r="K161" s="22">
        <f>Constants!$H68*'Activity data'!K10*Constants!$H86*EF!$H211*MMVolatEF*NtoN2O*kgtoGg</f>
        <v>0.12283717445999996</v>
      </c>
      <c r="L161" s="22">
        <f>Constants!$H68*'Activity data'!L10*Constants!$H86*EF!$H211*MMVolatEF*NtoN2O*kgtoGg</f>
        <v>0.12283717445999996</v>
      </c>
      <c r="M161" s="22">
        <f>Constants!$H68*'Activity data'!M10*Constants!$H86*EF!$H211*MMVolatEF*NtoN2O*kgtoGg</f>
        <v>0.12283717445999996</v>
      </c>
      <c r="N161" s="22">
        <f>Constants!$H68*'Activity data'!N10*Constants!$H86*EF!$H211*MMVolatEF*NtoN2O*kgtoGg</f>
        <v>0.12283717445999996</v>
      </c>
      <c r="O161" s="22">
        <f>Constants!$H68*'Activity data'!O10*Constants!$H86*EF!$H211*MMVolatEF*NtoN2O*kgtoGg</f>
        <v>0.12283717445999996</v>
      </c>
      <c r="P161" s="22">
        <f>Constants!$H68*'Activity data'!P10*Constants!$H86*EF!$H211*MMVolatEF*NtoN2O*kgtoGg</f>
        <v>0.12283717445999996</v>
      </c>
      <c r="Q161" s="22">
        <f>Constants!$H68*'Activity data'!Q10*Constants!$H86*EF!$H211*MMVolatEF*NtoN2O*kgtoGg</f>
        <v>0.12283717445999996</v>
      </c>
      <c r="R161" s="22">
        <f>Constants!$H68*'Activity data'!R10*Constants!$H86*EF!$H211*MMVolatEF*NtoN2O*kgtoGg</f>
        <v>0.12283717445999996</v>
      </c>
      <c r="S161" s="22">
        <f>Constants!$H68*'Activity data'!S10*Constants!$H86*EF!$H211*MMVolatEF*NtoN2O*kgtoGg</f>
        <v>0.12283717445999996</v>
      </c>
      <c r="T161" s="22">
        <f>Constants!$H68*'Activity data'!T10*Constants!$H86*EF!$H211*MMVolatEF*NtoN2O*kgtoGg</f>
        <v>0.12283717445999996</v>
      </c>
      <c r="U161" s="22">
        <f>Constants!$H68*'Activity data'!U10*Constants!$H86*EF!$H211*MMVolatEF*NtoN2O*kgtoGg</f>
        <v>0.12283717445999996</v>
      </c>
      <c r="V161" s="22">
        <f>Constants!$H68*'Activity data'!V10*Constants!$H86*EF!$H211*MMVolatEF*NtoN2O*kgtoGg</f>
        <v>0.12283717445999996</v>
      </c>
      <c r="W161" s="22">
        <f>Constants!$H68*'Activity data'!W10*Constants!$H86*EF!$H211*MMVolatEF*NtoN2O*kgtoGg</f>
        <v>0.12283717445999996</v>
      </c>
      <c r="X161" s="22">
        <f>Constants!$H68*'Activity data'!X10*Constants!$H86*EF!$H211*MMVolatEF*NtoN2O*kgtoGg</f>
        <v>0.12283717445999996</v>
      </c>
      <c r="Y161" s="22">
        <f>Constants!$H68*'Activity data'!Y10*Constants!$H86*EF!$H211*MMVolatEF*NtoN2O*kgtoGg</f>
        <v>0.12283717445999996</v>
      </c>
      <c r="Z161" s="22">
        <f>Constants!$H68*'Activity data'!Z10*Constants!$H86*EF!$H211*MMVolatEF*NtoN2O*kgtoGg</f>
        <v>0.11439877239615821</v>
      </c>
      <c r="AA161" s="22">
        <f>Constants!$H68*'Activity data'!AA10*Constants!$H86*EF!$H211*MMVolatEF*NtoN2O*kgtoGg</f>
        <v>0.11722743955247324</v>
      </c>
      <c r="AB161" s="22">
        <f>Constants!$H68*'Activity data'!AB10*Constants!$H86*EF!$H211*MMVolatEF*NtoN2O*kgtoGg</f>
        <v>0.116935823125407</v>
      </c>
      <c r="AC161" s="22">
        <f>Constants!$H68*'Activity data'!AC10*Constants!$H86*EF!$H211*MMVolatEF*NtoN2O*kgtoGg</f>
        <v>0.13506244675831047</v>
      </c>
      <c r="AD161" s="22">
        <f>Constants!$H68*'Activity data'!AD10*Constants!$H86*EF!$H211*MMVolatEF*NtoN2O*kgtoGg</f>
        <v>0.15834469753722594</v>
      </c>
      <c r="AE161" s="22">
        <f>Constants!$H68*'Activity data'!AE10*Constants!$H86*EF!$H211*MMVolatEF*NtoN2O*kgtoGg</f>
        <v>0.1645552726661508</v>
      </c>
      <c r="AF161" s="22">
        <f>Constants!$H68*'Activity data'!AF10*Constants!$H86*EF!$H211*MMVolatEF*NtoN2O*kgtoGg</f>
        <v>0.16966783583721801</v>
      </c>
      <c r="AG161" s="22">
        <f>Constants!$H68*'Activity data'!AG10*Constants!$H86*EF!$H211*MMVolatEF*NtoN2O*kgtoGg</f>
        <v>0.17392773232385492</v>
      </c>
      <c r="AH161" s="22">
        <f>Constants!$H68*'Activity data'!AH10*Constants!$H86*EF!$H211*MMVolatEF*NtoN2O*kgtoGg</f>
        <v>0.17724029434992003</v>
      </c>
      <c r="AI161" s="22">
        <f>Constants!$H68*'Activity data'!AI10*Constants!$H86*EF!$H211*MMVolatEF*NtoN2O*kgtoGg</f>
        <v>0.18186537897511701</v>
      </c>
      <c r="AJ161" s="22">
        <f>Constants!$H68*'Activity data'!AJ10*Constants!$H86*EF!$H211*MMVolatEF*NtoN2O*kgtoGg</f>
        <v>0.18627250492886524</v>
      </c>
      <c r="AK161" s="22">
        <f>Constants!$H68*'Activity data'!AK10*Constants!$H86*EF!$H211*MMVolatEF*NtoN2O*kgtoGg</f>
        <v>0.19063025857968119</v>
      </c>
      <c r="AL161" s="22">
        <f>Constants!$H68*'Activity data'!AL10*Constants!$H86*EF!$H211*MMVolatEF*NtoN2O*kgtoGg</f>
        <v>0.17376532921942969</v>
      </c>
      <c r="AM161" s="22">
        <f>Constants!$H68*'Activity data'!AM10*Constants!$H86*EF!$H211*MMVolatEF*NtoN2O*kgtoGg</f>
        <v>0.18006335230770726</v>
      </c>
      <c r="AN161" s="22">
        <f>Constants!$H68*'Activity data'!AN10*Constants!$H86*EF!$H211*MMVolatEF*NtoN2O*kgtoGg</f>
        <v>0.18616572774168855</v>
      </c>
      <c r="AO161" s="22">
        <f>Constants!$H68*'Activity data'!AO10*Constants!$H86*EF!$H211*MMVolatEF*NtoN2O*kgtoGg</f>
        <v>0.19245036272828484</v>
      </c>
      <c r="AP161" s="22">
        <f>Constants!$H68*'Activity data'!AP10*Constants!$H86*EF!$H211*MMVolatEF*NtoN2O*kgtoGg</f>
        <v>0.19920308465933131</v>
      </c>
      <c r="AQ161" s="22">
        <f>Constants!$H68*'Activity data'!AQ10*Constants!$H86*EF!$H211*MMVolatEF*NtoN2O*kgtoGg</f>
        <v>0.20663816273084887</v>
      </c>
      <c r="AR161" s="22">
        <f>Constants!$H68*'Activity data'!AR10*Constants!$H86*EF!$H211*MMVolatEF*NtoN2O*kgtoGg</f>
        <v>0.21439381193805909</v>
      </c>
      <c r="AS161" s="22">
        <f>Constants!$H68*'Activity data'!AS10*Constants!$H86*EF!$H211*MMVolatEF*NtoN2O*kgtoGg</f>
        <v>0.22265924466812093</v>
      </c>
      <c r="AT161" s="22">
        <f>Constants!$H68*'Activity data'!AT10*Constants!$H86*EF!$H211*MMVolatEF*NtoN2O*kgtoGg</f>
        <v>0.23149346792284572</v>
      </c>
      <c r="AU161" s="22">
        <f>Constants!$H68*'Activity data'!AU10*Constants!$H86*EF!$H211*MMVolatEF*NtoN2O*kgtoGg</f>
        <v>0.24135425662254736</v>
      </c>
      <c r="AV161" s="22">
        <f>Constants!$H68*'Activity data'!AV10*Constants!$H86*EF!$H211*MMVolatEF*NtoN2O*kgtoGg</f>
        <v>0.2512731001712728</v>
      </c>
      <c r="AW161" s="22">
        <f>Constants!$H68*'Activity data'!AW10*Constants!$H86*EF!$H211*MMVolatEF*NtoN2O*kgtoGg</f>
        <v>0.26340254868408175</v>
      </c>
      <c r="AX161" s="22">
        <f>Constants!$H68*'Activity data'!AX10*Constants!$H86*EF!$H211*MMVolatEF*NtoN2O*kgtoGg</f>
        <v>0.27607293781579939</v>
      </c>
      <c r="AY161" s="22">
        <f>Constants!$H68*'Activity data'!AY10*Constants!$H86*EF!$H211*MMVolatEF*NtoN2O*kgtoGg</f>
        <v>0.289250523172149</v>
      </c>
      <c r="AZ161" s="22">
        <f>Constants!$H68*'Activity data'!AZ10*Constants!$H86*EF!$H211*MMVolatEF*NtoN2O*kgtoGg</f>
        <v>0.30289656614278609</v>
      </c>
      <c r="BA161" s="22">
        <f>Constants!$H68*'Activity data'!BA10*Constants!$H86*EF!$H211*MMVolatEF*NtoN2O*kgtoGg</f>
        <v>0.31595083606802454</v>
      </c>
      <c r="BB161" s="22">
        <f>Constants!$H68*'Activity data'!BB10*Constants!$H86*EF!$H211*MMVolatEF*NtoN2O*kgtoGg</f>
        <v>0.32964921886868909</v>
      </c>
      <c r="BC161" s="22">
        <f>Constants!$H68*'Activity data'!BC10*Constants!$H86*EF!$H211*MMVolatEF*NtoN2O*kgtoGg</f>
        <v>0.34431748002595369</v>
      </c>
      <c r="BD161" s="22">
        <f>Constants!$H68*'Activity data'!BD10*Constants!$H86*EF!$H211*MMVolatEF*NtoN2O*kgtoGg</f>
        <v>0.35975861506370033</v>
      </c>
      <c r="BE161" s="22">
        <f>Constants!$H68*'Activity data'!BE10*Constants!$H86*EF!$H211*MMVolatEF*NtoN2O*kgtoGg</f>
        <v>0.37516918511992636</v>
      </c>
      <c r="BF161" s="22">
        <f>Constants!$H68*'Activity data'!BF10*Constants!$H86*EF!$H211*MMVolatEF*NtoN2O*kgtoGg</f>
        <v>0.3909962250821048</v>
      </c>
      <c r="BG161" s="22">
        <f>Constants!$H68*'Activity data'!BG10*Constants!$H86*EF!$H211*MMVolatEF*NtoN2O*kgtoGg</f>
        <v>0.40701503266074385</v>
      </c>
      <c r="BH161" s="22">
        <f>Constants!$H68*'Activity data'!BH10*Constants!$H86*EF!$H211*MMVolatEF*NtoN2O*kgtoGg</f>
        <v>0.42387757043771584</v>
      </c>
      <c r="BI161" s="22">
        <f>Constants!$H68*'Activity data'!BI10*Constants!$H86*EF!$H211*MMVolatEF*NtoN2O*kgtoGg</f>
        <v>0.44175856000282643</v>
      </c>
      <c r="BJ161" s="22">
        <f>Constants!$H68*'Activity data'!BJ10*Constants!$H86*EF!$H211*MMVolatEF*NtoN2O*kgtoGg</f>
        <v>0.46061698006387208</v>
      </c>
      <c r="BK161" s="22">
        <f>Constants!$H68*'Activity data'!BK10*Constants!$H86*EF!$H211*MMVolatEF*NtoN2O*kgtoGg</f>
        <v>0.48081110842954922</v>
      </c>
      <c r="BL161" s="22">
        <f>Constants!$H68*'Activity data'!BL10*Constants!$H86*EF!$H211*MMVolatEF*NtoN2O*kgtoGg</f>
        <v>0.50217937201031426</v>
      </c>
      <c r="BM161" s="22">
        <f>Constants!$H68*'Activity data'!BM10*Constants!$H86*EF!$H211*MMVolatEF*NtoN2O*kgtoGg</f>
        <v>0.52459675319750565</v>
      </c>
      <c r="BN161" s="22">
        <f>Constants!$H68*'Activity data'!BN10*Constants!$H86*EF!$H211*MMVolatEF*NtoN2O*kgtoGg</f>
        <v>0.54720832632396743</v>
      </c>
      <c r="BO161" s="22">
        <f>Constants!$H68*'Activity data'!BO10*Constants!$H86*EF!$H211*MMVolatEF*NtoN2O*kgtoGg</f>
        <v>0.5709696066521428</v>
      </c>
      <c r="BP161" s="22">
        <f>Constants!$H68*'Activity data'!BP10*Constants!$H86*EF!$H211*MMVolatEF*NtoN2O*kgtoGg</f>
        <v>0.59612520603926633</v>
      </c>
    </row>
    <row r="162" spans="1:68" x14ac:dyDescent="0.25">
      <c r="A162" t="str">
        <f t="shared" si="58"/>
        <v>3C Aggregated and non-CO2 emissions on land</v>
      </c>
      <c r="B162" t="str">
        <f t="shared" si="62"/>
        <v>3C6 Indirect N2O from manure management (N2O)</v>
      </c>
      <c r="C162" t="str">
        <f t="shared" si="63"/>
        <v>Volatilisation</v>
      </c>
      <c r="D162" t="str">
        <f>'Activity data'!D72</f>
        <v xml:space="preserve"> - Commercial sheep</v>
      </c>
      <c r="E162" t="str">
        <f t="shared" si="61"/>
        <v>Volatilisation - Commercial sheep</v>
      </c>
      <c r="F162" t="str">
        <f t="shared" si="47"/>
        <v>N2O</v>
      </c>
      <c r="G162" t="str">
        <f t="shared" si="48"/>
        <v>Gg N2O</v>
      </c>
      <c r="H162" s="22">
        <f>Constants!$H69*'Activity data'!H11*Constants!$H87*EF!$H212*MMVolatEF*NtoN2O*kgtoGg</f>
        <v>1.8472261121735457E-4</v>
      </c>
      <c r="I162" s="22">
        <f>Constants!$H69*'Activity data'!I11*Constants!$H87*EF!$H212*MMVolatEF*NtoN2O*kgtoGg</f>
        <v>1.7641659434150834E-4</v>
      </c>
      <c r="J162" s="22">
        <f>Constants!$H69*'Activity data'!J11*Constants!$H87*EF!$H212*MMVolatEF*NtoN2O*kgtoGg</f>
        <v>1.6912726350758691E-4</v>
      </c>
      <c r="K162" s="22">
        <f>Constants!$H69*'Activity data'!K11*Constants!$H87*EF!$H212*MMVolatEF*NtoN2O*kgtoGg</f>
        <v>1.5817170118914879E-4</v>
      </c>
      <c r="L162" s="22">
        <f>Constants!$H69*'Activity data'!L11*Constants!$H87*EF!$H212*MMVolatEF*NtoN2O*kgtoGg</f>
        <v>1.5928697496847238E-4</v>
      </c>
      <c r="M162" s="22">
        <f>Constants!$H69*'Activity data'!M11*Constants!$H87*EF!$H212*MMVolatEF*NtoN2O*kgtoGg</f>
        <v>1.5700713354112583E-4</v>
      </c>
      <c r="N162" s="22">
        <f>Constants!$H69*'Activity data'!N11*Constants!$H87*EF!$H212*MMVolatEF*NtoN2O*kgtoGg</f>
        <v>1.575308808960568E-4</v>
      </c>
      <c r="O162" s="22">
        <f>Constants!$H69*'Activity data'!O11*Constants!$H87*EF!$H212*MMVolatEF*NtoN2O*kgtoGg</f>
        <v>1.541049570214496E-4</v>
      </c>
      <c r="P162" s="22">
        <f>Constants!$H69*'Activity data'!P11*Constants!$H87*EF!$H212*MMVolatEF*NtoN2O*kgtoGg</f>
        <v>1.5453011663898181E-4</v>
      </c>
      <c r="Q162" s="22">
        <f>Constants!$H69*'Activity data'!Q11*Constants!$H87*EF!$H212*MMVolatEF*NtoN2O*kgtoGg</f>
        <v>1.5073448874912916E-4</v>
      </c>
      <c r="R162" s="22">
        <f>Constants!$H69*'Activity data'!R11*Constants!$H87*EF!$H212*MMVolatEF*NtoN2O*kgtoGg</f>
        <v>1.4533064839295922E-4</v>
      </c>
      <c r="S162" s="22">
        <f>Constants!$H69*'Activity data'!S11*Constants!$H87*EF!$H212*MMVolatEF*NtoN2O*kgtoGg</f>
        <v>1.4170754904355447E-4</v>
      </c>
      <c r="T162" s="22">
        <f>Constants!$H69*'Activity data'!T11*Constants!$H87*EF!$H212*MMVolatEF*NtoN2O*kgtoGg</f>
        <v>1.3934144334598408E-4</v>
      </c>
      <c r="U162" s="22">
        <f>Constants!$H69*'Activity data'!U11*Constants!$H87*EF!$H212*MMVolatEF*NtoN2O*kgtoGg</f>
        <v>1.3982822029939045E-4</v>
      </c>
      <c r="V162" s="22">
        <f>Constants!$H69*'Activity data'!V11*Constants!$H87*EF!$H212*MMVolatEF*NtoN2O*kgtoGg</f>
        <v>1.3733887993007157E-4</v>
      </c>
      <c r="W162" s="22">
        <f>Constants!$H69*'Activity data'!W11*Constants!$H87*EF!$H212*MMVolatEF*NtoN2O*kgtoGg</f>
        <v>1.3701230804993817E-4</v>
      </c>
      <c r="X162" s="22">
        <f>Constants!$H69*'Activity data'!X11*Constants!$H87*EF!$H212*MMVolatEF*NtoN2O*kgtoGg</f>
        <v>1.3521924357599806E-4</v>
      </c>
      <c r="Y162" s="22">
        <f>Constants!$H69*'Activity data'!Y11*Constants!$H87*EF!$H212*MMVolatEF*NtoN2O*kgtoGg</f>
        <v>1.3508984717066217E-4</v>
      </c>
      <c r="Z162" s="22">
        <f>Constants!$H69*'Activity data'!Z11*Constants!$H87*EF!$H212*MMVolatEF*NtoN2O*kgtoGg</f>
        <v>1.3552733025536923E-4</v>
      </c>
      <c r="AA162" s="22">
        <f>Constants!$H69*'Activity data'!AA11*Constants!$H87*EF!$H212*MMVolatEF*NtoN2O*kgtoGg</f>
        <v>1.3504671503555021E-4</v>
      </c>
      <c r="AB162" s="22">
        <f>Constants!$H69*'Activity data'!AB11*Constants!$H87*EF!$H212*MMVolatEF*NtoN2O*kgtoGg</f>
        <v>1.3243413999448287E-4</v>
      </c>
      <c r="AC162" s="22">
        <f>Constants!$H69*'Activity data'!AC11*Constants!$H87*EF!$H212*MMVolatEF*NtoN2O*kgtoGg</f>
        <v>1.3139896875179576E-4</v>
      </c>
      <c r="AD162" s="22">
        <f>Constants!$H69*'Activity data'!AD11*Constants!$H87*EF!$H212*MMVolatEF*NtoN2O*kgtoGg</f>
        <v>1.1716583498540391E-4</v>
      </c>
      <c r="AE162" s="22">
        <f>Constants!$H69*'Activity data'!AE11*Constants!$H87*EF!$H212*MMVolatEF*NtoN2O*kgtoGg</f>
        <v>1.1722932522716672E-4</v>
      </c>
      <c r="AF162" s="22">
        <f>Constants!$H69*'Activity data'!AF11*Constants!$H87*EF!$H212*MMVolatEF*NtoN2O*kgtoGg</f>
        <v>1.1737373774174649E-4</v>
      </c>
      <c r="AG162" s="22">
        <f>Constants!$H69*'Activity data'!AG11*Constants!$H87*EF!$H212*MMVolatEF*NtoN2O*kgtoGg</f>
        <v>1.1759489243538471E-4</v>
      </c>
      <c r="AH162" s="22">
        <f>Constants!$H69*'Activity data'!AH11*Constants!$H87*EF!$H212*MMVolatEF*NtoN2O*kgtoGg</f>
        <v>1.1788869250948955E-4</v>
      </c>
      <c r="AI162" s="22">
        <f>Constants!$H69*'Activity data'!AI11*Constants!$H87*EF!$H212*MMVolatEF*NtoN2O*kgtoGg</f>
        <v>1.1825827711031997E-4</v>
      </c>
      <c r="AJ162" s="22">
        <f>Constants!$H69*'Activity data'!AJ11*Constants!$H87*EF!$H212*MMVolatEF*NtoN2O*kgtoGg</f>
        <v>1.1866791161698373E-4</v>
      </c>
      <c r="AK162" s="22">
        <f>Constants!$H69*'Activity data'!AK11*Constants!$H87*EF!$H212*MMVolatEF*NtoN2O*kgtoGg</f>
        <v>1.1911868702579154E-4</v>
      </c>
      <c r="AL162" s="22">
        <f>Constants!$H69*'Activity data'!AL11*Constants!$H87*EF!$H212*MMVolatEF*NtoN2O*kgtoGg</f>
        <v>1.1955326565133953E-4</v>
      </c>
      <c r="AM162" s="22">
        <f>Constants!$H69*'Activity data'!AM11*Constants!$H87*EF!$H212*MMVolatEF*NtoN2O*kgtoGg</f>
        <v>1.197255414402565E-4</v>
      </c>
      <c r="AN162" s="22">
        <f>Constants!$H69*'Activity data'!AN11*Constants!$H87*EF!$H212*MMVolatEF*NtoN2O*kgtoGg</f>
        <v>1.199267520459469E-4</v>
      </c>
      <c r="AO162" s="22">
        <f>Constants!$H69*'Activity data'!AO11*Constants!$H87*EF!$H212*MMVolatEF*NtoN2O*kgtoGg</f>
        <v>1.2015608394448544E-4</v>
      </c>
      <c r="AP162" s="22">
        <f>Constants!$H69*'Activity data'!AP11*Constants!$H87*EF!$H212*MMVolatEF*NtoN2O*kgtoGg</f>
        <v>1.2041267563340374E-4</v>
      </c>
      <c r="AQ162" s="22">
        <f>Constants!$H69*'Activity data'!AQ11*Constants!$H87*EF!$H212*MMVolatEF*NtoN2O*kgtoGg</f>
        <v>1.2069564887411641E-4</v>
      </c>
      <c r="AR162" s="22">
        <f>Constants!$H69*'Activity data'!AR11*Constants!$H87*EF!$H212*MMVolatEF*NtoN2O*kgtoGg</f>
        <v>1.2086942401331555E-4</v>
      </c>
      <c r="AS162" s="22">
        <f>Constants!$H69*'Activity data'!AS11*Constants!$H87*EF!$H212*MMVolatEF*NtoN2O*kgtoGg</f>
        <v>1.210653013643724E-4</v>
      </c>
      <c r="AT162" s="22">
        <f>Constants!$H69*'Activity data'!AT11*Constants!$H87*EF!$H212*MMVolatEF*NtoN2O*kgtoGg</f>
        <v>1.2128235727358861E-4</v>
      </c>
      <c r="AU162" s="22">
        <f>Constants!$H69*'Activity data'!AU11*Constants!$H87*EF!$H212*MMVolatEF*NtoN2O*kgtoGg</f>
        <v>1.2152073406843695E-4</v>
      </c>
      <c r="AV162" s="22">
        <f>Constants!$H69*'Activity data'!AV11*Constants!$H87*EF!$H212*MMVolatEF*NtoN2O*kgtoGg</f>
        <v>1.217772184829794E-4</v>
      </c>
      <c r="AW162" s="22">
        <f>Constants!$H69*'Activity data'!AW11*Constants!$H87*EF!$H212*MMVolatEF*NtoN2O*kgtoGg</f>
        <v>1.2194691476274819E-4</v>
      </c>
      <c r="AX162" s="22">
        <f>Constants!$H69*'Activity data'!AX11*Constants!$H87*EF!$H212*MMVolatEF*NtoN2O*kgtoGg</f>
        <v>1.2213321642657522E-4</v>
      </c>
      <c r="AY162" s="22">
        <f>Constants!$H69*'Activity data'!AY11*Constants!$H87*EF!$H212*MMVolatEF*NtoN2O*kgtoGg</f>
        <v>1.2233535424286331E-4</v>
      </c>
      <c r="AZ162" s="22">
        <f>Constants!$H69*'Activity data'!AZ11*Constants!$H87*EF!$H212*MMVolatEF*NtoN2O*kgtoGg</f>
        <v>1.2255261023520628E-4</v>
      </c>
      <c r="BA162" s="22">
        <f>Constants!$H69*'Activity data'!BA11*Constants!$H87*EF!$H212*MMVolatEF*NtoN2O*kgtoGg</f>
        <v>1.2278198948023196E-4</v>
      </c>
      <c r="BB162" s="22">
        <f>Constants!$H69*'Activity data'!BB11*Constants!$H87*EF!$H212*MMVolatEF*NtoN2O*kgtoGg</f>
        <v>1.2292420627006841E-4</v>
      </c>
      <c r="BC162" s="22">
        <f>Constants!$H69*'Activity data'!BC11*Constants!$H87*EF!$H212*MMVolatEF*NtoN2O*kgtoGg</f>
        <v>1.2308032394795586E-4</v>
      </c>
      <c r="BD162" s="22">
        <f>Constants!$H69*'Activity data'!BD11*Constants!$H87*EF!$H212*MMVolatEF*NtoN2O*kgtoGg</f>
        <v>1.2324939938836849E-4</v>
      </c>
      <c r="BE162" s="22">
        <f>Constants!$H69*'Activity data'!BE11*Constants!$H87*EF!$H212*MMVolatEF*NtoN2O*kgtoGg</f>
        <v>1.234292058841984E-4</v>
      </c>
      <c r="BF162" s="22">
        <f>Constants!$H69*'Activity data'!BF11*Constants!$H87*EF!$H212*MMVolatEF*NtoN2O*kgtoGg</f>
        <v>1.2362034327215504E-4</v>
      </c>
      <c r="BG162" s="22">
        <f>Constants!$H69*'Activity data'!BG11*Constants!$H87*EF!$H212*MMVolatEF*NtoN2O*kgtoGg</f>
        <v>1.237284148455773E-4</v>
      </c>
      <c r="BH162" s="22">
        <f>Constants!$H69*'Activity data'!BH11*Constants!$H87*EF!$H212*MMVolatEF*NtoN2O*kgtoGg</f>
        <v>1.2384749028556289E-4</v>
      </c>
      <c r="BI162" s="22">
        <f>Constants!$H69*'Activity data'!BI11*Constants!$H87*EF!$H212*MMVolatEF*NtoN2O*kgtoGg</f>
        <v>1.239775797671818E-4</v>
      </c>
      <c r="BJ162" s="22">
        <f>Constants!$H69*'Activity data'!BJ11*Constants!$H87*EF!$H212*MMVolatEF*NtoN2O*kgtoGg</f>
        <v>1.2411824888556731E-4</v>
      </c>
      <c r="BK162" s="22">
        <f>Constants!$H69*'Activity data'!BK11*Constants!$H87*EF!$H212*MMVolatEF*NtoN2O*kgtoGg</f>
        <v>1.2426992893617577E-4</v>
      </c>
      <c r="BL162" s="22">
        <f>Constants!$H69*'Activity data'!BL11*Constants!$H87*EF!$H212*MMVolatEF*NtoN2O*kgtoGg</f>
        <v>1.2433639083561283E-4</v>
      </c>
      <c r="BM162" s="22">
        <f>Constants!$H69*'Activity data'!BM11*Constants!$H87*EF!$H212*MMVolatEF*NtoN2O*kgtoGg</f>
        <v>1.244122045774089E-4</v>
      </c>
      <c r="BN162" s="22">
        <f>Constants!$H69*'Activity data'!BN11*Constants!$H87*EF!$H212*MMVolatEF*NtoN2O*kgtoGg</f>
        <v>1.2449531890847368E-4</v>
      </c>
      <c r="BO162" s="22">
        <f>Constants!$H69*'Activity data'!BO11*Constants!$H87*EF!$H212*MMVolatEF*NtoN2O*kgtoGg</f>
        <v>1.2458745671886811E-4</v>
      </c>
      <c r="BP162" s="22">
        <f>Constants!$H69*'Activity data'!BP11*Constants!$H87*EF!$H212*MMVolatEF*NtoN2O*kgtoGg</f>
        <v>1.2468885542789689E-4</v>
      </c>
    </row>
    <row r="163" spans="1:68" x14ac:dyDescent="0.25">
      <c r="A163" t="str">
        <f t="shared" si="58"/>
        <v>3C Aggregated and non-CO2 emissions on land</v>
      </c>
      <c r="B163" t="str">
        <f t="shared" si="62"/>
        <v>3C6 Indirect N2O from manure management (N2O)</v>
      </c>
      <c r="C163" t="str">
        <f t="shared" si="63"/>
        <v>Volatilisation</v>
      </c>
      <c r="D163" t="str">
        <f>'Activity data'!D73</f>
        <v xml:space="preserve"> - Subsistence sheep</v>
      </c>
      <c r="E163" t="str">
        <f t="shared" si="61"/>
        <v>Volatilisation - Subsistence sheep</v>
      </c>
      <c r="F163" t="str">
        <f t="shared" si="47"/>
        <v>N2O</v>
      </c>
      <c r="G163" t="str">
        <f t="shared" si="48"/>
        <v>Gg N2O</v>
      </c>
      <c r="H163" s="22">
        <f>Constants!$H70*'Activity data'!H12*Constants!$H88*EF!$H213*MMVolatEF*NtoN2O*kgtoGg</f>
        <v>1.1839669160909449E-3</v>
      </c>
      <c r="I163" s="22">
        <f>Constants!$H70*'Activity data'!I12*Constants!$H88*EF!$H213*MMVolatEF*NtoN2O*kgtoGg</f>
        <v>1.1307300702024701E-3</v>
      </c>
      <c r="J163" s="22">
        <f>Constants!$H70*'Activity data'!J12*Constants!$H88*EF!$H213*MMVolatEF*NtoN2O*kgtoGg</f>
        <v>1.0840096038181478E-3</v>
      </c>
      <c r="K163" s="22">
        <f>Constants!$H70*'Activity data'!K12*Constants!$H88*EF!$H213*MMVolatEF*NtoN2O*kgtoGg</f>
        <v>1.0137906780097589E-3</v>
      </c>
      <c r="L163" s="22">
        <f>Constants!$H70*'Activity data'!L12*Constants!$H88*EF!$H213*MMVolatEF*NtoN2O*kgtoGg</f>
        <v>1.0209389488597691E-3</v>
      </c>
      <c r="M163" s="22">
        <f>Constants!$H70*'Activity data'!M12*Constants!$H88*EF!$H213*MMVolatEF*NtoN2O*kgtoGg</f>
        <v>1.0063264614868198E-3</v>
      </c>
      <c r="N163" s="22">
        <f>Constants!$H70*'Activity data'!N12*Constants!$H88*EF!$H213*MMVolatEF*NtoN2O*kgtoGg</f>
        <v>1.0096833842616864E-3</v>
      </c>
      <c r="O163" s="22">
        <f>Constants!$H70*'Activity data'!O12*Constants!$H88*EF!$H213*MMVolatEF*NtoN2O*kgtoGg</f>
        <v>9.877251599931464E-4</v>
      </c>
      <c r="P163" s="22">
        <f>Constants!$H70*'Activity data'!P12*Constants!$H88*EF!$H213*MMVolatEF*NtoN2O*kgtoGg</f>
        <v>9.9045019142215908E-4</v>
      </c>
      <c r="Q163" s="22">
        <f>Constants!$H70*'Activity data'!Q12*Constants!$H88*EF!$H213*MMVolatEF*NtoN2O*kgtoGg</f>
        <v>9.66122374606654E-4</v>
      </c>
      <c r="R163" s="22">
        <f>Constants!$H70*'Activity data'!R12*Constants!$H88*EF!$H213*MMVolatEF*NtoN2O*kgtoGg</f>
        <v>9.3148683021185221E-4</v>
      </c>
      <c r="S163" s="22">
        <f>Constants!$H70*'Activity data'!S12*Constants!$H88*EF!$H213*MMVolatEF*NtoN2O*kgtoGg</f>
        <v>9.0826482325159742E-4</v>
      </c>
      <c r="T163" s="22">
        <f>Constants!$H70*'Activity data'!T12*Constants!$H88*EF!$H213*MMVolatEF*NtoN2O*kgtoGg</f>
        <v>8.9309943095102287E-4</v>
      </c>
      <c r="U163" s="22">
        <f>Constants!$H70*'Activity data'!U12*Constants!$H88*EF!$H213*MMVolatEF*NtoN2O*kgtoGg</f>
        <v>8.962193944711932E-4</v>
      </c>
      <c r="V163" s="22">
        <f>Constants!$H70*'Activity data'!V12*Constants!$H88*EF!$H213*MMVolatEF*NtoN2O*kgtoGg</f>
        <v>8.8026413798829686E-4</v>
      </c>
      <c r="W163" s="22">
        <f>Constants!$H70*'Activity data'!W12*Constants!$H88*EF!$H213*MMVolatEF*NtoN2O*kgtoGg</f>
        <v>8.7817099790514486E-4</v>
      </c>
      <c r="X163" s="22">
        <f>Constants!$H70*'Activity data'!X12*Constants!$H88*EF!$H213*MMVolatEF*NtoN2O*kgtoGg</f>
        <v>8.6667847405236557E-4</v>
      </c>
      <c r="Y163" s="22">
        <f>Constants!$H70*'Activity data'!Y12*Constants!$H88*EF!$H213*MMVolatEF*NtoN2O*kgtoGg</f>
        <v>8.658491166609279E-4</v>
      </c>
      <c r="Z163" s="22">
        <f>Constants!$H70*'Activity data'!Z12*Constants!$H88*EF!$H213*MMVolatEF*NtoN2O*kgtoGg</f>
        <v>8.6865313450816973E-4</v>
      </c>
      <c r="AA163" s="22">
        <f>Constants!$H70*'Activity data'!AA12*Constants!$H88*EF!$H213*MMVolatEF*NtoN2O*kgtoGg</f>
        <v>8.6557266419711528E-4</v>
      </c>
      <c r="AB163" s="22">
        <f>Constants!$H70*'Activity data'!AB12*Constants!$H88*EF!$H213*MMVolatEF*NtoN2O*kgtoGg</f>
        <v>8.4882754353189779E-4</v>
      </c>
      <c r="AC163" s="22">
        <f>Constants!$H70*'Activity data'!AC12*Constants!$H88*EF!$H213*MMVolatEF*NtoN2O*kgtoGg</f>
        <v>8.4219268440039634E-4</v>
      </c>
      <c r="AD163" s="22">
        <f>Constants!$H70*'Activity data'!AD12*Constants!$H88*EF!$H213*MMVolatEF*NtoN2O*kgtoGg</f>
        <v>8.0405232243909168E-4</v>
      </c>
      <c r="AE163" s="22">
        <f>Constants!$H70*'Activity data'!AE12*Constants!$H88*EF!$H213*MMVolatEF*NtoN2O*kgtoGg</f>
        <v>8.0448802518766154E-4</v>
      </c>
      <c r="AF163" s="22">
        <f>Constants!$H70*'Activity data'!AF12*Constants!$H88*EF!$H213*MMVolatEF*NtoN2O*kgtoGg</f>
        <v>8.05479058262718E-4</v>
      </c>
      <c r="AG163" s="22">
        <f>Constants!$H70*'Activity data'!AG12*Constants!$H88*EF!$H213*MMVolatEF*NtoN2O*kgtoGg</f>
        <v>8.0699673570734382E-4</v>
      </c>
      <c r="AH163" s="22">
        <f>Constants!$H70*'Activity data'!AH12*Constants!$H88*EF!$H213*MMVolatEF*NtoN2O*kgtoGg</f>
        <v>8.0901294317896918E-4</v>
      </c>
      <c r="AI163" s="22">
        <f>Constants!$H70*'Activity data'!AI12*Constants!$H88*EF!$H213*MMVolatEF*NtoN2O*kgtoGg</f>
        <v>8.1154922311648184E-4</v>
      </c>
      <c r="AJ163" s="22">
        <f>Constants!$H70*'Activity data'!AJ12*Constants!$H88*EF!$H213*MMVolatEF*NtoN2O*kgtoGg</f>
        <v>8.143603461411692E-4</v>
      </c>
      <c r="AK163" s="22">
        <f>Constants!$H70*'Activity data'!AK12*Constants!$H88*EF!$H213*MMVolatEF*NtoN2O*kgtoGg</f>
        <v>8.1745379923178665E-4</v>
      </c>
      <c r="AL163" s="22">
        <f>Constants!$H70*'Activity data'!AL12*Constants!$H88*EF!$H213*MMVolatEF*NtoN2O*kgtoGg</f>
        <v>8.2043610165124018E-4</v>
      </c>
      <c r="AM163" s="22">
        <f>Constants!$H70*'Activity data'!AM12*Constants!$H88*EF!$H213*MMVolatEF*NtoN2O*kgtoGg</f>
        <v>8.2161834686970297E-4</v>
      </c>
      <c r="AN163" s="22">
        <f>Constants!$H70*'Activity data'!AN12*Constants!$H88*EF!$H213*MMVolatEF*NtoN2O*kgtoGg</f>
        <v>8.2299915770781885E-4</v>
      </c>
      <c r="AO163" s="22">
        <f>Constants!$H70*'Activity data'!AO12*Constants!$H88*EF!$H213*MMVolatEF*NtoN2O*kgtoGg</f>
        <v>8.2457295134529191E-4</v>
      </c>
      <c r="AP163" s="22">
        <f>Constants!$H70*'Activity data'!AP12*Constants!$H88*EF!$H213*MMVolatEF*NtoN2O*kgtoGg</f>
        <v>8.2633381570834696E-4</v>
      </c>
      <c r="AQ163" s="22">
        <f>Constants!$H70*'Activity data'!AQ12*Constants!$H88*EF!$H213*MMVolatEF*NtoN2O*kgtoGg</f>
        <v>8.2827572387134899E-4</v>
      </c>
      <c r="AR163" s="22">
        <f>Constants!$H70*'Activity data'!AR12*Constants!$H88*EF!$H213*MMVolatEF*NtoN2O*kgtoGg</f>
        <v>8.2946825840389971E-4</v>
      </c>
      <c r="AS163" s="22">
        <f>Constants!$H70*'Activity data'!AS12*Constants!$H88*EF!$H213*MMVolatEF*NtoN2O*kgtoGg</f>
        <v>8.3081246970107621E-4</v>
      </c>
      <c r="AT163" s="22">
        <f>Constants!$H70*'Activity data'!AT12*Constants!$H88*EF!$H213*MMVolatEF*NtoN2O*kgtoGg</f>
        <v>8.3230201917534213E-4</v>
      </c>
      <c r="AU163" s="22">
        <f>Constants!$H70*'Activity data'!AU12*Constants!$H88*EF!$H213*MMVolatEF*NtoN2O*kgtoGg</f>
        <v>8.339378835511413E-4</v>
      </c>
      <c r="AV163" s="22">
        <f>Constants!$H70*'Activity data'!AV12*Constants!$H88*EF!$H213*MMVolatEF*NtoN2O*kgtoGg</f>
        <v>8.3569801174216199E-4</v>
      </c>
      <c r="AW163" s="22">
        <f>Constants!$H70*'Activity data'!AW12*Constants!$H88*EF!$H213*MMVolatEF*NtoN2O*kgtoGg</f>
        <v>8.3686255503991058E-4</v>
      </c>
      <c r="AX163" s="22">
        <f>Constants!$H70*'Activity data'!AX12*Constants!$H88*EF!$H213*MMVolatEF*NtoN2O*kgtoGg</f>
        <v>8.3814105303800914E-4</v>
      </c>
      <c r="AY163" s="22">
        <f>Constants!$H70*'Activity data'!AY12*Constants!$H88*EF!$H213*MMVolatEF*NtoN2O*kgtoGg</f>
        <v>8.3952822687293697E-4</v>
      </c>
      <c r="AZ163" s="22">
        <f>Constants!$H70*'Activity data'!AZ12*Constants!$H88*EF!$H213*MMVolatEF*NtoN2O*kgtoGg</f>
        <v>8.4101914942069948E-4</v>
      </c>
      <c r="BA163" s="22">
        <f>Constants!$H70*'Activity data'!BA12*Constants!$H88*EF!$H213*MMVolatEF*NtoN2O*kgtoGg</f>
        <v>8.4259326797415999E-4</v>
      </c>
      <c r="BB163" s="22">
        <f>Constants!$H70*'Activity data'!BB12*Constants!$H88*EF!$H213*MMVolatEF*NtoN2O*kgtoGg</f>
        <v>8.4356923285481037E-4</v>
      </c>
      <c r="BC163" s="22">
        <f>Constants!$H70*'Activity data'!BC12*Constants!$H88*EF!$H213*MMVolatEF*NtoN2O*kgtoGg</f>
        <v>8.4464059279087717E-4</v>
      </c>
      <c r="BD163" s="22">
        <f>Constants!$H70*'Activity data'!BD12*Constants!$H88*EF!$H213*MMVolatEF*NtoN2O*kgtoGg</f>
        <v>8.4580087556911294E-4</v>
      </c>
      <c r="BE163" s="22">
        <f>Constants!$H70*'Activity data'!BE12*Constants!$H88*EF!$H213*MMVolatEF*NtoN2O*kgtoGg</f>
        <v>8.4703480037816423E-4</v>
      </c>
      <c r="BF163" s="22">
        <f>Constants!$H70*'Activity data'!BF12*Constants!$H88*EF!$H213*MMVolatEF*NtoN2O*kgtoGg</f>
        <v>8.4834648360656109E-4</v>
      </c>
      <c r="BG163" s="22">
        <f>Constants!$H70*'Activity data'!BG12*Constants!$H88*EF!$H213*MMVolatEF*NtoN2O*kgtoGg</f>
        <v>8.4908812642087378E-4</v>
      </c>
      <c r="BH163" s="22">
        <f>Constants!$H70*'Activity data'!BH12*Constants!$H88*EF!$H213*MMVolatEF*NtoN2O*kgtoGg</f>
        <v>8.4990528343663481E-4</v>
      </c>
      <c r="BI163" s="22">
        <f>Constants!$H70*'Activity data'!BI12*Constants!$H88*EF!$H213*MMVolatEF*NtoN2O*kgtoGg</f>
        <v>8.5079802448041796E-4</v>
      </c>
      <c r="BJ163" s="22">
        <f>Constants!$H70*'Activity data'!BJ12*Constants!$H88*EF!$H213*MMVolatEF*NtoN2O*kgtoGg</f>
        <v>8.5176336844222579E-4</v>
      </c>
      <c r="BK163" s="22">
        <f>Constants!$H70*'Activity data'!BK12*Constants!$H88*EF!$H213*MMVolatEF*NtoN2O*kgtoGg</f>
        <v>8.5280427509367937E-4</v>
      </c>
      <c r="BL163" s="22">
        <f>Constants!$H70*'Activity data'!BL12*Constants!$H88*EF!$H213*MMVolatEF*NtoN2O*kgtoGg</f>
        <v>8.5326037088818063E-4</v>
      </c>
      <c r="BM163" s="22">
        <f>Constants!$H70*'Activity data'!BM12*Constants!$H88*EF!$H213*MMVolatEF*NtoN2O*kgtoGg</f>
        <v>8.5378064384293345E-4</v>
      </c>
      <c r="BN163" s="22">
        <f>Constants!$H70*'Activity data'!BN12*Constants!$H88*EF!$H213*MMVolatEF*NtoN2O*kgtoGg</f>
        <v>8.5435101720244481E-4</v>
      </c>
      <c r="BO163" s="22">
        <f>Constants!$H70*'Activity data'!BO12*Constants!$H88*EF!$H213*MMVolatEF*NtoN2O*kgtoGg</f>
        <v>8.5498331432593076E-4</v>
      </c>
      <c r="BP163" s="22">
        <f>Constants!$H70*'Activity data'!BP12*Constants!$H88*EF!$H213*MMVolatEF*NtoN2O*kgtoGg</f>
        <v>8.5567916450697622E-4</v>
      </c>
    </row>
    <row r="164" spans="1:68" x14ac:dyDescent="0.25">
      <c r="A164" t="str">
        <f t="shared" si="58"/>
        <v>3C Aggregated and non-CO2 emissions on land</v>
      </c>
      <c r="B164" t="str">
        <f t="shared" si="62"/>
        <v>3C6 Indirect N2O from manure management (N2O)</v>
      </c>
      <c r="C164" t="str">
        <f t="shared" si="63"/>
        <v>Volatilisation</v>
      </c>
      <c r="D164" t="str">
        <f>'Activity data'!D74</f>
        <v xml:space="preserve"> - Commercial goats</v>
      </c>
      <c r="E164" t="str">
        <f t="shared" si="61"/>
        <v>Volatilisation - Commercial goats</v>
      </c>
      <c r="F164" t="str">
        <f t="shared" si="47"/>
        <v>N2O</v>
      </c>
      <c r="G164" t="str">
        <f t="shared" si="48"/>
        <v>Gg N2O</v>
      </c>
      <c r="H164" s="22">
        <f>Constants!$H71*'Activity data'!H13*Constants!$H89*EF!$H214*MMVolatEF*NtoN2O*kgtoGg</f>
        <v>1.9430751682320126E-5</v>
      </c>
      <c r="I164" s="22">
        <f>Constants!$H71*'Activity data'!I13*Constants!$H89*EF!$H214*MMVolatEF*NtoN2O*kgtoGg</f>
        <v>1.7182276091107166E-5</v>
      </c>
      <c r="J164" s="22">
        <f>Constants!$H71*'Activity data'!J13*Constants!$H89*EF!$H214*MMVolatEF*NtoN2O*kgtoGg</f>
        <v>1.6005503819070468E-5</v>
      </c>
      <c r="K164" s="22">
        <f>Constants!$H71*'Activity data'!K13*Constants!$H89*EF!$H214*MMVolatEF*NtoN2O*kgtoGg</f>
        <v>1.5122924615042945E-5</v>
      </c>
      <c r="L164" s="22">
        <f>Constants!$H71*'Activity data'!L13*Constants!$H89*EF!$H214*MMVolatEF*NtoN2O*kgtoGg</f>
        <v>1.6369742855653251E-5</v>
      </c>
      <c r="M164" s="22">
        <f>Constants!$H71*'Activity data'!M13*Constants!$H89*EF!$H214*MMVolatEF*NtoN2O*kgtoGg</f>
        <v>1.6593889955088815E-5</v>
      </c>
      <c r="N164" s="22">
        <f>Constants!$H71*'Activity data'!N13*Constants!$H89*EF!$H214*MMVolatEF*NtoN2O*kgtoGg</f>
        <v>1.6853060038811182E-5</v>
      </c>
      <c r="O164" s="22">
        <f>Constants!$H71*'Activity data'!O13*Constants!$H89*EF!$H214*MMVolatEF*NtoN2O*kgtoGg</f>
        <v>1.6769004876522849E-5</v>
      </c>
      <c r="P164" s="22">
        <f>Constants!$H71*'Activity data'!P13*Constants!$H89*EF!$H214*MMVolatEF*NtoN2O*kgtoGg</f>
        <v>1.6530848583372566E-5</v>
      </c>
      <c r="Q164" s="22">
        <f>Constants!$H71*'Activity data'!Q13*Constants!$H89*EF!$H214*MMVolatEF*NtoN2O*kgtoGg</f>
        <v>1.6285687693364925E-5</v>
      </c>
      <c r="R164" s="22">
        <f>Constants!$H71*'Activity data'!R13*Constants!$H89*EF!$H214*MMVolatEF*NtoN2O*kgtoGg</f>
        <v>1.6495825599085754E-5</v>
      </c>
      <c r="S164" s="22">
        <f>Constants!$H71*'Activity data'!S13*Constants!$H89*EF!$H214*MMVolatEF*NtoN2O*kgtoGg</f>
        <v>1.7000156572815771E-5</v>
      </c>
      <c r="T164" s="22">
        <f>Constants!$H71*'Activity data'!T13*Constants!$H89*EF!$H214*MMVolatEF*NtoN2O*kgtoGg</f>
        <v>1.5522186635912543E-5</v>
      </c>
      <c r="U164" s="22">
        <f>Constants!$H71*'Activity data'!U13*Constants!$H89*EF!$H214*MMVolatEF*NtoN2O*kgtoGg</f>
        <v>1.5129929211900313E-5</v>
      </c>
      <c r="V164" s="22">
        <f>Constants!$H71*'Activity data'!V13*Constants!$H89*EF!$H214*MMVolatEF*NtoN2O*kgtoGg</f>
        <v>1.5157947599329762E-5</v>
      </c>
      <c r="W164" s="22">
        <f>Constants!$H71*'Activity data'!W13*Constants!$H89*EF!$H214*MMVolatEF*NtoN2O*kgtoGg</f>
        <v>1.496181888732364E-5</v>
      </c>
      <c r="X164" s="22">
        <f>Constants!$H71*'Activity data'!X13*Constants!$H89*EF!$H214*MMVolatEF*NtoN2O*kgtoGg</f>
        <v>1.5277025745904899E-5</v>
      </c>
      <c r="Y164" s="22">
        <f>Constants!$H71*'Activity data'!Y13*Constants!$H89*EF!$H214*MMVolatEF*NtoN2O*kgtoGg</f>
        <v>1.4821726950176417E-5</v>
      </c>
      <c r="Z164" s="22">
        <f>Constants!$H71*'Activity data'!Z13*Constants!$H89*EF!$H214*MMVolatEF*NtoN2O*kgtoGg</f>
        <v>1.4807717756461697E-5</v>
      </c>
      <c r="AA164" s="22">
        <f>Constants!$H71*'Activity data'!AA13*Constants!$H89*EF!$H214*MMVolatEF*NtoN2O*kgtoGg</f>
        <v>1.454854767273933E-5</v>
      </c>
      <c r="AB164" s="22">
        <f>Constants!$H71*'Activity data'!AB13*Constants!$H89*EF!$H214*MMVolatEF*NtoN2O*kgtoGg</f>
        <v>1.4373432751305298E-5</v>
      </c>
      <c r="AC164" s="22">
        <f>Constants!$H71*'Activity data'!AC13*Constants!$H89*EF!$H214*MMVolatEF*NtoN2O*kgtoGg</f>
        <v>1.4240345411015434E-5</v>
      </c>
      <c r="AD164" s="22">
        <f>Constants!$H71*'Activity data'!AD13*Constants!$H89*EF!$H214*MMVolatEF*NtoN2O*kgtoGg</f>
        <v>1.4481716361756919E-5</v>
      </c>
      <c r="AE164" s="22">
        <f>Constants!$H71*'Activity data'!AE13*Constants!$H89*EF!$H214*MMVolatEF*NtoN2O*kgtoGg</f>
        <v>1.4519413213322064E-5</v>
      </c>
      <c r="AF164" s="22">
        <f>Constants!$H71*'Activity data'!AF13*Constants!$H89*EF!$H214*MMVolatEF*NtoN2O*kgtoGg</f>
        <v>1.4569992091523103E-5</v>
      </c>
      <c r="AG164" s="22">
        <f>Constants!$H71*'Activity data'!AG13*Constants!$H89*EF!$H214*MMVolatEF*NtoN2O*kgtoGg</f>
        <v>1.4632860723784914E-5</v>
      </c>
      <c r="AH164" s="22">
        <f>Constants!$H71*'Activity data'!AH13*Constants!$H89*EF!$H214*MMVolatEF*NtoN2O*kgtoGg</f>
        <v>1.470740098476236E-5</v>
      </c>
      <c r="AI164" s="22">
        <f>Constants!$H71*'Activity data'!AI13*Constants!$H89*EF!$H214*MMVolatEF*NtoN2O*kgtoGg</f>
        <v>1.4794361532588756E-5</v>
      </c>
      <c r="AJ164" s="22">
        <f>Constants!$H71*'Activity data'!AJ13*Constants!$H89*EF!$H214*MMVolatEF*NtoN2O*kgtoGg</f>
        <v>1.4886962009801754E-5</v>
      </c>
      <c r="AK164" s="22">
        <f>Constants!$H71*'Activity data'!AK13*Constants!$H89*EF!$H214*MMVolatEF*NtoN2O*kgtoGg</f>
        <v>1.4985548220145197E-5</v>
      </c>
      <c r="AL164" s="22">
        <f>Constants!$H71*'Activity data'!AL13*Constants!$H89*EF!$H214*MMVolatEF*NtoN2O*kgtoGg</f>
        <v>1.5079243424638481E-5</v>
      </c>
      <c r="AM164" s="22">
        <f>Constants!$H71*'Activity data'!AM13*Constants!$H89*EF!$H214*MMVolatEF*NtoN2O*kgtoGg</f>
        <v>1.5121186526146182E-5</v>
      </c>
      <c r="AN164" s="22">
        <f>Constants!$H71*'Activity data'!AN13*Constants!$H89*EF!$H214*MMVolatEF*NtoN2O*kgtoGg</f>
        <v>1.5167413611269663E-5</v>
      </c>
      <c r="AO164" s="22">
        <f>Constants!$H71*'Activity data'!AO13*Constants!$H89*EF!$H214*MMVolatEF*NtoN2O*kgtoGg</f>
        <v>1.5217834995969507E-5</v>
      </c>
      <c r="AP164" s="22">
        <f>Constants!$H71*'Activity data'!AP13*Constants!$H89*EF!$H214*MMVolatEF*NtoN2O*kgtoGg</f>
        <v>1.5272342797309417E-5</v>
      </c>
      <c r="AQ164" s="22">
        <f>Constants!$H71*'Activity data'!AQ13*Constants!$H89*EF!$H214*MMVolatEF*NtoN2O*kgtoGg</f>
        <v>1.5330818561282034E-5</v>
      </c>
      <c r="AR164" s="22">
        <f>Constants!$H71*'Activity data'!AR13*Constants!$H89*EF!$H214*MMVolatEF*NtoN2O*kgtoGg</f>
        <v>1.5367700733183251E-5</v>
      </c>
      <c r="AS164" s="22">
        <f>Constants!$H71*'Activity data'!AS13*Constants!$H89*EF!$H214*MMVolatEF*NtoN2O*kgtoGg</f>
        <v>1.5407935633837314E-5</v>
      </c>
      <c r="AT164" s="22">
        <f>Constants!$H71*'Activity data'!AT13*Constants!$H89*EF!$H214*MMVolatEF*NtoN2O*kgtoGg</f>
        <v>1.5451380215666211E-5</v>
      </c>
      <c r="AU164" s="22">
        <f>Constants!$H71*'Activity data'!AU13*Constants!$H89*EF!$H214*MMVolatEF*NtoN2O*kgtoGg</f>
        <v>1.5498088201804055E-5</v>
      </c>
      <c r="AV164" s="22">
        <f>Constants!$H71*'Activity data'!AV13*Constants!$H89*EF!$H214*MMVolatEF*NtoN2O*kgtoGg</f>
        <v>1.5547480823461174E-5</v>
      </c>
      <c r="AW164" s="22">
        <f>Constants!$H71*'Activity data'!AW13*Constants!$H89*EF!$H214*MMVolatEF*NtoN2O*kgtoGg</f>
        <v>1.5579985149932234E-5</v>
      </c>
      <c r="AX164" s="22">
        <f>Constants!$H71*'Activity data'!AX13*Constants!$H89*EF!$H214*MMVolatEF*NtoN2O*kgtoGg</f>
        <v>1.5615016494381058E-5</v>
      </c>
      <c r="AY164" s="22">
        <f>Constants!$H71*'Activity data'!AY13*Constants!$H89*EF!$H214*MMVolatEF*NtoN2O*kgtoGg</f>
        <v>1.5652448001292478E-5</v>
      </c>
      <c r="AZ164" s="22">
        <f>Constants!$H71*'Activity data'!AZ13*Constants!$H89*EF!$H214*MMVolatEF*NtoN2O*kgtoGg</f>
        <v>1.5692161081985141E-5</v>
      </c>
      <c r="BA164" s="22">
        <f>Constants!$H71*'Activity data'!BA13*Constants!$H89*EF!$H214*MMVolatEF*NtoN2O*kgtoGg</f>
        <v>1.5733614061856129E-5</v>
      </c>
      <c r="BB164" s="22">
        <f>Constants!$H71*'Activity data'!BB13*Constants!$H89*EF!$H214*MMVolatEF*NtoN2O*kgtoGg</f>
        <v>1.5758455409131132E-5</v>
      </c>
      <c r="BC164" s="22">
        <f>Constants!$H71*'Activity data'!BC13*Constants!$H89*EF!$H214*MMVolatEF*NtoN2O*kgtoGg</f>
        <v>1.5785461182573052E-5</v>
      </c>
      <c r="BD164" s="22">
        <f>Constants!$H71*'Activity data'!BD13*Constants!$H89*EF!$H214*MMVolatEF*NtoN2O*kgtoGg</f>
        <v>1.5814465297867284E-5</v>
      </c>
      <c r="BE164" s="22">
        <f>Constants!$H71*'Activity data'!BE13*Constants!$H89*EF!$H214*MMVolatEF*NtoN2O*kgtoGg</f>
        <v>1.5845065550915087E-5</v>
      </c>
      <c r="BF164" s="22">
        <f>Constants!$H71*'Activity data'!BF13*Constants!$H89*EF!$H214*MMVolatEF*NtoN2O*kgtoGg</f>
        <v>1.5877380572193358E-5</v>
      </c>
      <c r="BG164" s="22">
        <f>Constants!$H71*'Activity data'!BG13*Constants!$H89*EF!$H214*MMVolatEF*NtoN2O*kgtoGg</f>
        <v>1.5894113473794123E-5</v>
      </c>
      <c r="BH164" s="22">
        <f>Constants!$H71*'Activity data'!BH13*Constants!$H89*EF!$H214*MMVolatEF*NtoN2O*kgtoGg</f>
        <v>1.5912574225712254E-5</v>
      </c>
      <c r="BI164" s="22">
        <f>Constants!$H71*'Activity data'!BI13*Constants!$H89*EF!$H214*MMVolatEF*NtoN2O*kgtoGg</f>
        <v>1.5932768629482615E-5</v>
      </c>
      <c r="BJ164" s="22">
        <f>Constants!$H71*'Activity data'!BJ13*Constants!$H89*EF!$H214*MMVolatEF*NtoN2O*kgtoGg</f>
        <v>1.5954620684065244E-5</v>
      </c>
      <c r="BK164" s="22">
        <f>Constants!$H71*'Activity data'!BK13*Constants!$H89*EF!$H214*MMVolatEF*NtoN2O*kgtoGg</f>
        <v>1.5978211886515087E-5</v>
      </c>
      <c r="BL164" s="22">
        <f>Constants!$H71*'Activity data'!BL13*Constants!$H89*EF!$H214*MMVolatEF*NtoN2O*kgtoGg</f>
        <v>1.5986053811910263E-5</v>
      </c>
      <c r="BM164" s="22">
        <f>Constants!$H71*'Activity data'!BM13*Constants!$H89*EF!$H214*MMVolatEF*NtoN2O*kgtoGg</f>
        <v>1.5995394466362205E-5</v>
      </c>
      <c r="BN164" s="22">
        <f>Constants!$H71*'Activity data'!BN13*Constants!$H89*EF!$H214*MMVolatEF*NtoN2O*kgtoGg</f>
        <v>1.6005863548719515E-5</v>
      </c>
      <c r="BO164" s="22">
        <f>Constants!$H71*'Activity data'!BO13*Constants!$H89*EF!$H214*MMVolatEF*NtoN2O*kgtoGg</f>
        <v>1.6017775384057321E-5</v>
      </c>
      <c r="BP164" s="22">
        <f>Constants!$H71*'Activity data'!BP13*Constants!$H89*EF!$H214*MMVolatEF*NtoN2O*kgtoGg</f>
        <v>1.6031173647710014E-5</v>
      </c>
    </row>
    <row r="165" spans="1:68" x14ac:dyDescent="0.25">
      <c r="A165" t="str">
        <f t="shared" si="58"/>
        <v>3C Aggregated and non-CO2 emissions on land</v>
      </c>
      <c r="B165" t="str">
        <f t="shared" si="62"/>
        <v>3C6 Indirect N2O from manure management (N2O)</v>
      </c>
      <c r="C165" t="str">
        <f t="shared" si="63"/>
        <v>Volatilisation</v>
      </c>
      <c r="D165" t="str">
        <f>'Activity data'!D75</f>
        <v xml:space="preserve"> - Subsistence goats</v>
      </c>
      <c r="E165" t="str">
        <f t="shared" si="61"/>
        <v>Volatilisation - Subsistence goats</v>
      </c>
      <c r="F165" t="str">
        <f t="shared" si="47"/>
        <v>N2O</v>
      </c>
      <c r="G165" t="str">
        <f t="shared" si="48"/>
        <v>Gg N2O</v>
      </c>
      <c r="H165" s="22">
        <f>Constants!$H72*'Activity data'!H14*Constants!$H90*EF!$H215*MMVolatEF*NtoN2O*kgtoGg</f>
        <v>2.0115874261686147E-3</v>
      </c>
      <c r="I165" s="22">
        <f>Constants!$H72*'Activity data'!I14*Constants!$H90*EF!$H215*MMVolatEF*NtoN2O*kgtoGg</f>
        <v>1.7788118083603506E-3</v>
      </c>
      <c r="J165" s="22">
        <f>Constants!$H72*'Activity data'!J14*Constants!$H90*EF!$H215*MMVolatEF*NtoN2O*kgtoGg</f>
        <v>1.6569853167971468E-3</v>
      </c>
      <c r="K165" s="22">
        <f>Constants!$H72*'Activity data'!K14*Constants!$H90*EF!$H215*MMVolatEF*NtoN2O*kgtoGg</f>
        <v>1.5656154481247439E-3</v>
      </c>
      <c r="L165" s="22">
        <f>Constants!$H72*'Activity data'!L14*Constants!$H90*EF!$H215*MMVolatEF*NtoN2O*kgtoGg</f>
        <v>1.6946935165667099E-3</v>
      </c>
      <c r="M165" s="22">
        <f>Constants!$H72*'Activity data'!M14*Constants!$H90*EF!$H215*MMVolatEF*NtoN2O*kgtoGg</f>
        <v>1.7178985625787488E-3</v>
      </c>
      <c r="N165" s="22">
        <f>Constants!$H72*'Activity data'!N14*Constants!$H90*EF!$H215*MMVolatEF*NtoN2O*kgtoGg</f>
        <v>1.7447293970301691E-3</v>
      </c>
      <c r="O165" s="22">
        <f>Constants!$H72*'Activity data'!O14*Constants!$H90*EF!$H215*MMVolatEF*NtoN2O*kgtoGg</f>
        <v>1.736027504775654E-3</v>
      </c>
      <c r="P165" s="22">
        <f>Constants!$H72*'Activity data'!P14*Constants!$H90*EF!$H215*MMVolatEF*NtoN2O*kgtoGg</f>
        <v>1.7113721433878628E-3</v>
      </c>
      <c r="Q165" s="22">
        <f>Constants!$H72*'Activity data'!Q14*Constants!$H90*EF!$H215*MMVolatEF*NtoN2O*kgtoGg</f>
        <v>1.6859916243121954E-3</v>
      </c>
      <c r="R165" s="22">
        <f>Constants!$H72*'Activity data'!R14*Constants!$H90*EF!$H215*MMVolatEF*NtoN2O*kgtoGg</f>
        <v>1.7077463549484819E-3</v>
      </c>
      <c r="S165" s="22">
        <f>Constants!$H72*'Activity data'!S14*Constants!$H90*EF!$H215*MMVolatEF*NtoN2O*kgtoGg</f>
        <v>1.7599577084755692E-3</v>
      </c>
      <c r="T165" s="22">
        <f>Constants!$H72*'Activity data'!T14*Constants!$H90*EF!$H215*MMVolatEF*NtoN2O*kgtoGg</f>
        <v>1.6069494363336882E-3</v>
      </c>
      <c r="U165" s="22">
        <f>Constants!$H72*'Activity data'!U14*Constants!$H90*EF!$H215*MMVolatEF*NtoN2O*kgtoGg</f>
        <v>1.5663406058126202E-3</v>
      </c>
      <c r="V165" s="22">
        <f>Constants!$H72*'Activity data'!V14*Constants!$H90*EF!$H215*MMVolatEF*NtoN2O*kgtoGg</f>
        <v>1.5692412365641251E-3</v>
      </c>
      <c r="W165" s="22">
        <f>Constants!$H72*'Activity data'!W14*Constants!$H90*EF!$H215*MMVolatEF*NtoN2O*kgtoGg</f>
        <v>1.5489368213035912E-3</v>
      </c>
      <c r="X165" s="22">
        <f>Constants!$H72*'Activity data'!X14*Constants!$H90*EF!$H215*MMVolatEF*NtoN2O*kgtoGg</f>
        <v>1.5815689172580208E-3</v>
      </c>
      <c r="Y165" s="22">
        <f>Constants!$H72*'Activity data'!Y14*Constants!$H90*EF!$H215*MMVolatEF*NtoN2O*kgtoGg</f>
        <v>1.534433667546067E-3</v>
      </c>
      <c r="Z165" s="22">
        <f>Constants!$H72*'Activity data'!Z14*Constants!$H90*EF!$H215*MMVolatEF*NtoN2O*kgtoGg</f>
        <v>1.5329833521703141E-3</v>
      </c>
      <c r="AA165" s="22">
        <f>Constants!$H72*'Activity data'!AA14*Constants!$H90*EF!$H215*MMVolatEF*NtoN2O*kgtoGg</f>
        <v>1.5061525177188946E-3</v>
      </c>
      <c r="AB165" s="22">
        <f>Constants!$H72*'Activity data'!AB14*Constants!$H90*EF!$H215*MMVolatEF*NtoN2O*kgtoGg</f>
        <v>1.4880235755219894E-3</v>
      </c>
      <c r="AC165" s="22">
        <f>Constants!$H72*'Activity data'!AC14*Constants!$H90*EF!$H215*MMVolatEF*NtoN2O*kgtoGg</f>
        <v>1.4742455794523413E-3</v>
      </c>
      <c r="AD165" s="22">
        <f>Constants!$H72*'Activity data'!AD14*Constants!$H90*EF!$H215*MMVolatEF*NtoN2O*kgtoGg</f>
        <v>1.4733873591709771E-3</v>
      </c>
      <c r="AE165" s="22">
        <f>Constants!$H72*'Activity data'!AE14*Constants!$H90*EF!$H215*MMVolatEF*NtoN2O*kgtoGg</f>
        <v>1.4772226824979347E-3</v>
      </c>
      <c r="AF165" s="22">
        <f>Constants!$H72*'Activity data'!AF14*Constants!$H90*EF!$H215*MMVolatEF*NtoN2O*kgtoGg</f>
        <v>1.482368638814222E-3</v>
      </c>
      <c r="AG165" s="22">
        <f>Constants!$H72*'Activity data'!AG14*Constants!$H90*EF!$H215*MMVolatEF*NtoN2O*kgtoGg</f>
        <v>1.4887649695908376E-3</v>
      </c>
      <c r="AH165" s="22">
        <f>Constants!$H72*'Activity data'!AH14*Constants!$H90*EF!$H215*MMVolatEF*NtoN2O*kgtoGg</f>
        <v>1.4963487860066526E-3</v>
      </c>
      <c r="AI165" s="22">
        <f>Constants!$H72*'Activity data'!AI14*Constants!$H90*EF!$H215*MMVolatEF*NtoN2O*kgtoGg</f>
        <v>1.5051962574467335E-3</v>
      </c>
      <c r="AJ165" s="22">
        <f>Constants!$H72*'Activity data'!AJ14*Constants!$H90*EF!$H215*MMVolatEF*NtoN2O*kgtoGg</f>
        <v>1.5146175421322373E-3</v>
      </c>
      <c r="AK165" s="22">
        <f>Constants!$H72*'Activity data'!AK14*Constants!$H90*EF!$H215*MMVolatEF*NtoN2O*kgtoGg</f>
        <v>1.524647822554811E-3</v>
      </c>
      <c r="AL165" s="22">
        <f>Constants!$H72*'Activity data'!AL14*Constants!$H90*EF!$H215*MMVolatEF*NtoN2O*kgtoGg</f>
        <v>1.5341804861194633E-3</v>
      </c>
      <c r="AM165" s="22">
        <f>Constants!$H72*'Activity data'!AM14*Constants!$H90*EF!$H215*MMVolatEF*NtoN2O*kgtoGg</f>
        <v>1.538447828057541E-3</v>
      </c>
      <c r="AN165" s="22">
        <f>Constants!$H72*'Activity data'!AN14*Constants!$H90*EF!$H215*MMVolatEF*NtoN2O*kgtoGg</f>
        <v>1.5431510276763464E-3</v>
      </c>
      <c r="AO165" s="22">
        <f>Constants!$H72*'Activity data'!AO14*Constants!$H90*EF!$H215*MMVolatEF*NtoN2O*kgtoGg</f>
        <v>1.5482809604131058E-3</v>
      </c>
      <c r="AP165" s="22">
        <f>Constants!$H72*'Activity data'!AP14*Constants!$H90*EF!$H215*MMVolatEF*NtoN2O*kgtoGg</f>
        <v>1.5538266501272414E-3</v>
      </c>
      <c r="AQ165" s="22">
        <f>Constants!$H72*'Activity data'!AQ14*Constants!$H90*EF!$H215*MMVolatEF*NtoN2O*kgtoGg</f>
        <v>1.5597760451646035E-3</v>
      </c>
      <c r="AR165" s="22">
        <f>Constants!$H72*'Activity data'!AR14*Constants!$H90*EF!$H215*MMVolatEF*NtoN2O*kgtoGg</f>
        <v>1.5635284819960234E-3</v>
      </c>
      <c r="AS165" s="22">
        <f>Constants!$H72*'Activity data'!AS14*Constants!$H90*EF!$H215*MMVolatEF*NtoN2O*kgtoGg</f>
        <v>1.5676220295107184E-3</v>
      </c>
      <c r="AT165" s="22">
        <f>Constants!$H72*'Activity data'!AT14*Constants!$H90*EF!$H215*MMVolatEF*NtoN2O*kgtoGg</f>
        <v>1.5720421338748806E-3</v>
      </c>
      <c r="AU165" s="22">
        <f>Constants!$H72*'Activity data'!AU14*Constants!$H90*EF!$H215*MMVolatEF*NtoN2O*kgtoGg</f>
        <v>1.5767942609452306E-3</v>
      </c>
      <c r="AV165" s="22">
        <f>Constants!$H72*'Activity data'!AV14*Constants!$H90*EF!$H215*MMVolatEF*NtoN2O*kgtoGg</f>
        <v>1.5818195260842505E-3</v>
      </c>
      <c r="AW165" s="22">
        <f>Constants!$H72*'Activity data'!AW14*Constants!$H90*EF!$H215*MMVolatEF*NtoN2O*kgtoGg</f>
        <v>1.5851265556202868E-3</v>
      </c>
      <c r="AX165" s="22">
        <f>Constants!$H72*'Activity data'!AX14*Constants!$H90*EF!$H215*MMVolatEF*NtoN2O*kgtoGg</f>
        <v>1.5886906870254539E-3</v>
      </c>
      <c r="AY165" s="22">
        <f>Constants!$H72*'Activity data'!AY14*Constants!$H90*EF!$H215*MMVolatEF*NtoN2O*kgtoGg</f>
        <v>1.5924990138660249E-3</v>
      </c>
      <c r="AZ165" s="22">
        <f>Constants!$H72*'Activity data'!AZ14*Constants!$H90*EF!$H215*MMVolatEF*NtoN2O*kgtoGg</f>
        <v>1.5965394707859533E-3</v>
      </c>
      <c r="BA165" s="22">
        <f>Constants!$H72*'Activity data'!BA14*Constants!$H90*EF!$H215*MMVolatEF*NtoN2O*kgtoGg</f>
        <v>1.6007569471552031E-3</v>
      </c>
      <c r="BB165" s="22">
        <f>Constants!$H72*'Activity data'!BB14*Constants!$H90*EF!$H215*MMVolatEF*NtoN2O*kgtoGg</f>
        <v>1.6032843359084052E-3</v>
      </c>
      <c r="BC165" s="22">
        <f>Constants!$H72*'Activity data'!BC14*Constants!$H90*EF!$H215*MMVolatEF*NtoN2O*kgtoGg</f>
        <v>1.6060319360008245E-3</v>
      </c>
      <c r="BD165" s="22">
        <f>Constants!$H72*'Activity data'!BD14*Constants!$H90*EF!$H215*MMVolatEF*NtoN2O*kgtoGg</f>
        <v>1.6089828498131759E-3</v>
      </c>
      <c r="BE165" s="22">
        <f>Constants!$H72*'Activity data'!BE14*Constants!$H90*EF!$H215*MMVolatEF*NtoN2O*kgtoGg</f>
        <v>1.6120961566134055E-3</v>
      </c>
      <c r="BF165" s="22">
        <f>Constants!$H72*'Activity data'!BF14*Constants!$H90*EF!$H215*MMVolatEF*NtoN2O*kgtoGg</f>
        <v>1.61538392600989E-3</v>
      </c>
      <c r="BG165" s="22">
        <f>Constants!$H72*'Activity data'!BG14*Constants!$H90*EF!$H215*MMVolatEF*NtoN2O*kgtoGg</f>
        <v>1.6170863516813336E-3</v>
      </c>
      <c r="BH165" s="22">
        <f>Constants!$H72*'Activity data'!BH14*Constants!$H90*EF!$H215*MMVolatEF*NtoN2O*kgtoGg</f>
        <v>1.6189645709363931E-3</v>
      </c>
      <c r="BI165" s="22">
        <f>Constants!$H72*'Activity data'!BI14*Constants!$H90*EF!$H215*MMVolatEF*NtoN2O*kgtoGg</f>
        <v>1.6210191740302516E-3</v>
      </c>
      <c r="BJ165" s="22">
        <f>Constants!$H72*'Activity data'!BJ14*Constants!$H90*EF!$H215*MMVolatEF*NtoN2O*kgtoGg</f>
        <v>1.6232424285250694E-3</v>
      </c>
      <c r="BK165" s="22">
        <f>Constants!$H72*'Activity data'!BK14*Constants!$H90*EF!$H215*MMVolatEF*NtoN2O*kgtoGg</f>
        <v>1.625642626029907E-3</v>
      </c>
      <c r="BL165" s="22">
        <f>Constants!$H72*'Activity data'!BL14*Constants!$H90*EF!$H215*MMVolatEF*NtoN2O*kgtoGg</f>
        <v>1.6264404730157327E-3</v>
      </c>
      <c r="BM165" s="22">
        <f>Constants!$H72*'Activity data'!BM14*Constants!$H90*EF!$H215*MMVolatEF*NtoN2O*kgtoGg</f>
        <v>1.6273908025106686E-3</v>
      </c>
      <c r="BN165" s="22">
        <f>Constants!$H72*'Activity data'!BN14*Constants!$H90*EF!$H215*MMVolatEF*NtoN2O*kgtoGg</f>
        <v>1.6284559396271578E-3</v>
      </c>
      <c r="BO165" s="22">
        <f>Constants!$H72*'Activity data'!BO14*Constants!$H90*EF!$H215*MMVolatEF*NtoN2O*kgtoGg</f>
        <v>1.6296678641789747E-3</v>
      </c>
      <c r="BP165" s="22">
        <f>Constants!$H72*'Activity data'!BP14*Constants!$H90*EF!$H215*MMVolatEF*NtoN2O*kgtoGg</f>
        <v>1.6310310197475261E-3</v>
      </c>
    </row>
    <row r="166" spans="1:68" x14ac:dyDescent="0.25">
      <c r="A166" t="str">
        <f t="shared" si="58"/>
        <v>3C Aggregated and non-CO2 emissions on land</v>
      </c>
      <c r="B166" t="str">
        <f t="shared" si="62"/>
        <v>3C6 Indirect N2O from manure management (N2O)</v>
      </c>
      <c r="C166" t="str">
        <f t="shared" si="63"/>
        <v>Volatilisation</v>
      </c>
      <c r="D166" t="str">
        <f>'Activity data'!D76</f>
        <v xml:space="preserve"> - Horses</v>
      </c>
      <c r="E166" t="str">
        <f t="shared" si="61"/>
        <v>Volatilisation - Horses</v>
      </c>
      <c r="F166" t="str">
        <f t="shared" si="47"/>
        <v>N2O</v>
      </c>
      <c r="G166" t="str">
        <f t="shared" si="48"/>
        <v>Gg N2O</v>
      </c>
      <c r="H166" s="22">
        <f>Constants!$H73*'Activity data'!H15*Constants!$H91*EF!$H216*MMVolatEF*NtoN2O*kgtoGg</f>
        <v>0</v>
      </c>
      <c r="I166" s="22">
        <f>Constants!$H73*'Activity data'!I15*Constants!$H91*EF!$H216*MMVolatEF*NtoN2O*kgtoGg</f>
        <v>0</v>
      </c>
      <c r="J166" s="22">
        <f>Constants!$H73*'Activity data'!J15*Constants!$H91*EF!$H216*MMVolatEF*NtoN2O*kgtoGg</f>
        <v>0</v>
      </c>
      <c r="K166" s="22">
        <f>Constants!$H73*'Activity data'!K15*Constants!$H91*EF!$H216*MMVolatEF*NtoN2O*kgtoGg</f>
        <v>0</v>
      </c>
      <c r="L166" s="22">
        <f>Constants!$H73*'Activity data'!L15*Constants!$H91*EF!$H216*MMVolatEF*NtoN2O*kgtoGg</f>
        <v>0</v>
      </c>
      <c r="M166" s="22">
        <f>Constants!$H73*'Activity data'!M15*Constants!$H91*EF!$H216*MMVolatEF*NtoN2O*kgtoGg</f>
        <v>0</v>
      </c>
      <c r="N166" s="22">
        <f>Constants!$H73*'Activity data'!N15*Constants!$H91*EF!$H216*MMVolatEF*NtoN2O*kgtoGg</f>
        <v>0</v>
      </c>
      <c r="O166" s="22">
        <f>Constants!$H73*'Activity data'!O15*Constants!$H91*EF!$H216*MMVolatEF*NtoN2O*kgtoGg</f>
        <v>0</v>
      </c>
      <c r="P166" s="22">
        <f>Constants!$H73*'Activity data'!P15*Constants!$H91*EF!$H216*MMVolatEF*NtoN2O*kgtoGg</f>
        <v>0</v>
      </c>
      <c r="Q166" s="22">
        <f>Constants!$H73*'Activity data'!Q15*Constants!$H91*EF!$H216*MMVolatEF*NtoN2O*kgtoGg</f>
        <v>0</v>
      </c>
      <c r="R166" s="22">
        <f>Constants!$H73*'Activity data'!R15*Constants!$H91*EF!$H216*MMVolatEF*NtoN2O*kgtoGg</f>
        <v>0</v>
      </c>
      <c r="S166" s="22">
        <f>Constants!$H73*'Activity data'!S15*Constants!$H91*EF!$H216*MMVolatEF*NtoN2O*kgtoGg</f>
        <v>0</v>
      </c>
      <c r="T166" s="22">
        <f>Constants!$H73*'Activity data'!T15*Constants!$H91*EF!$H216*MMVolatEF*NtoN2O*kgtoGg</f>
        <v>0</v>
      </c>
      <c r="U166" s="22">
        <f>Constants!$H73*'Activity data'!U15*Constants!$H91*EF!$H216*MMVolatEF*NtoN2O*kgtoGg</f>
        <v>0</v>
      </c>
      <c r="V166" s="22">
        <f>Constants!$H73*'Activity data'!V15*Constants!$H91*EF!$H216*MMVolatEF*NtoN2O*kgtoGg</f>
        <v>0</v>
      </c>
      <c r="W166" s="22">
        <f>Constants!$H73*'Activity data'!W15*Constants!$H91*EF!$H216*MMVolatEF*NtoN2O*kgtoGg</f>
        <v>0</v>
      </c>
      <c r="X166" s="22">
        <f>Constants!$H73*'Activity data'!X15*Constants!$H91*EF!$H216*MMVolatEF*NtoN2O*kgtoGg</f>
        <v>0</v>
      </c>
      <c r="Y166" s="22">
        <f>Constants!$H73*'Activity data'!Y15*Constants!$H91*EF!$H216*MMVolatEF*NtoN2O*kgtoGg</f>
        <v>0</v>
      </c>
      <c r="Z166" s="22">
        <f>Constants!$H73*'Activity data'!Z15*Constants!$H91*EF!$H216*MMVolatEF*NtoN2O*kgtoGg</f>
        <v>0</v>
      </c>
      <c r="AA166" s="22">
        <f>Constants!$H73*'Activity data'!AA15*Constants!$H91*EF!$H216*MMVolatEF*NtoN2O*kgtoGg</f>
        <v>0</v>
      </c>
      <c r="AB166" s="22">
        <f>Constants!$H73*'Activity data'!AB15*Constants!$H91*EF!$H216*MMVolatEF*NtoN2O*kgtoGg</f>
        <v>0</v>
      </c>
      <c r="AC166" s="22">
        <f>Constants!$H73*'Activity data'!AC15*Constants!$H91*EF!$H216*MMVolatEF*NtoN2O*kgtoGg</f>
        <v>0</v>
      </c>
      <c r="AD166" s="22">
        <f>Constants!$H73*'Activity data'!AD15*Constants!$H91*EF!$H216*MMVolatEF*NtoN2O*kgtoGg</f>
        <v>0</v>
      </c>
      <c r="AE166" s="22">
        <f>Constants!$H73*'Activity data'!AE15*Constants!$H91*EF!$H216*MMVolatEF*NtoN2O*kgtoGg</f>
        <v>0</v>
      </c>
      <c r="AF166" s="22">
        <f>Constants!$H73*'Activity data'!AF15*Constants!$H91*EF!$H216*MMVolatEF*NtoN2O*kgtoGg</f>
        <v>0</v>
      </c>
      <c r="AG166" s="22">
        <f>Constants!$H73*'Activity data'!AG15*Constants!$H91*EF!$H216*MMVolatEF*NtoN2O*kgtoGg</f>
        <v>0</v>
      </c>
      <c r="AH166" s="22">
        <f>Constants!$H73*'Activity data'!AH15*Constants!$H91*EF!$H216*MMVolatEF*NtoN2O*kgtoGg</f>
        <v>0</v>
      </c>
      <c r="AI166" s="22">
        <f>Constants!$H73*'Activity data'!AI15*Constants!$H91*EF!$H216*MMVolatEF*NtoN2O*kgtoGg</f>
        <v>0</v>
      </c>
      <c r="AJ166" s="22">
        <f>Constants!$H73*'Activity data'!AJ15*Constants!$H91*EF!$H216*MMVolatEF*NtoN2O*kgtoGg</f>
        <v>0</v>
      </c>
      <c r="AK166" s="22">
        <f>Constants!$H73*'Activity data'!AK15*Constants!$H91*EF!$H216*MMVolatEF*NtoN2O*kgtoGg</f>
        <v>0</v>
      </c>
      <c r="AL166" s="22">
        <f>Constants!$H73*'Activity data'!AL15*Constants!$H91*EF!$H216*MMVolatEF*NtoN2O*kgtoGg</f>
        <v>0</v>
      </c>
      <c r="AM166" s="22">
        <f>Constants!$H73*'Activity data'!AM15*Constants!$H91*EF!$H216*MMVolatEF*NtoN2O*kgtoGg</f>
        <v>0</v>
      </c>
      <c r="AN166" s="22">
        <f>Constants!$H73*'Activity data'!AN15*Constants!$H91*EF!$H216*MMVolatEF*NtoN2O*kgtoGg</f>
        <v>0</v>
      </c>
      <c r="AO166" s="22">
        <f>Constants!$H73*'Activity data'!AO15*Constants!$H91*EF!$H216*MMVolatEF*NtoN2O*kgtoGg</f>
        <v>0</v>
      </c>
      <c r="AP166" s="22">
        <f>Constants!$H73*'Activity data'!AP15*Constants!$H91*EF!$H216*MMVolatEF*NtoN2O*kgtoGg</f>
        <v>0</v>
      </c>
      <c r="AQ166" s="22">
        <f>Constants!$H73*'Activity data'!AQ15*Constants!$H91*EF!$H216*MMVolatEF*NtoN2O*kgtoGg</f>
        <v>0</v>
      </c>
      <c r="AR166" s="22">
        <f>Constants!$H73*'Activity data'!AR15*Constants!$H91*EF!$H216*MMVolatEF*NtoN2O*kgtoGg</f>
        <v>0</v>
      </c>
      <c r="AS166" s="22">
        <f>Constants!$H73*'Activity data'!AS15*Constants!$H91*EF!$H216*MMVolatEF*NtoN2O*kgtoGg</f>
        <v>0</v>
      </c>
      <c r="AT166" s="22">
        <f>Constants!$H73*'Activity data'!AT15*Constants!$H91*EF!$H216*MMVolatEF*NtoN2O*kgtoGg</f>
        <v>0</v>
      </c>
      <c r="AU166" s="22">
        <f>Constants!$H73*'Activity data'!AU15*Constants!$H91*EF!$H216*MMVolatEF*NtoN2O*kgtoGg</f>
        <v>0</v>
      </c>
      <c r="AV166" s="22">
        <f>Constants!$H73*'Activity data'!AV15*Constants!$H91*EF!$H216*MMVolatEF*NtoN2O*kgtoGg</f>
        <v>0</v>
      </c>
      <c r="AW166" s="22">
        <f>Constants!$H73*'Activity data'!AW15*Constants!$H91*EF!$H216*MMVolatEF*NtoN2O*kgtoGg</f>
        <v>0</v>
      </c>
      <c r="AX166" s="22">
        <f>Constants!$H73*'Activity data'!AX15*Constants!$H91*EF!$H216*MMVolatEF*NtoN2O*kgtoGg</f>
        <v>0</v>
      </c>
      <c r="AY166" s="22">
        <f>Constants!$H73*'Activity data'!AY15*Constants!$H91*EF!$H216*MMVolatEF*NtoN2O*kgtoGg</f>
        <v>0</v>
      </c>
      <c r="AZ166" s="22">
        <f>Constants!$H73*'Activity data'!AZ15*Constants!$H91*EF!$H216*MMVolatEF*NtoN2O*kgtoGg</f>
        <v>0</v>
      </c>
      <c r="BA166" s="22">
        <f>Constants!$H73*'Activity data'!BA15*Constants!$H91*EF!$H216*MMVolatEF*NtoN2O*kgtoGg</f>
        <v>0</v>
      </c>
      <c r="BB166" s="22">
        <f>Constants!$H73*'Activity data'!BB15*Constants!$H91*EF!$H216*MMVolatEF*NtoN2O*kgtoGg</f>
        <v>0</v>
      </c>
      <c r="BC166" s="22">
        <f>Constants!$H73*'Activity data'!BC15*Constants!$H91*EF!$H216*MMVolatEF*NtoN2O*kgtoGg</f>
        <v>0</v>
      </c>
      <c r="BD166" s="22">
        <f>Constants!$H73*'Activity data'!BD15*Constants!$H91*EF!$H216*MMVolatEF*NtoN2O*kgtoGg</f>
        <v>0</v>
      </c>
      <c r="BE166" s="22">
        <f>Constants!$H73*'Activity data'!BE15*Constants!$H91*EF!$H216*MMVolatEF*NtoN2O*kgtoGg</f>
        <v>0</v>
      </c>
      <c r="BF166" s="22">
        <f>Constants!$H73*'Activity data'!BF15*Constants!$H91*EF!$H216*MMVolatEF*NtoN2O*kgtoGg</f>
        <v>0</v>
      </c>
      <c r="BG166" s="22">
        <f>Constants!$H73*'Activity data'!BG15*Constants!$H91*EF!$H216*MMVolatEF*NtoN2O*kgtoGg</f>
        <v>0</v>
      </c>
      <c r="BH166" s="22">
        <f>Constants!$H73*'Activity data'!BH15*Constants!$H91*EF!$H216*MMVolatEF*NtoN2O*kgtoGg</f>
        <v>0</v>
      </c>
      <c r="BI166" s="22">
        <f>Constants!$H73*'Activity data'!BI15*Constants!$H91*EF!$H216*MMVolatEF*NtoN2O*kgtoGg</f>
        <v>0</v>
      </c>
      <c r="BJ166" s="22">
        <f>Constants!$H73*'Activity data'!BJ15*Constants!$H91*EF!$H216*MMVolatEF*NtoN2O*kgtoGg</f>
        <v>0</v>
      </c>
      <c r="BK166" s="22">
        <f>Constants!$H73*'Activity data'!BK15*Constants!$H91*EF!$H216*MMVolatEF*NtoN2O*kgtoGg</f>
        <v>0</v>
      </c>
      <c r="BL166" s="22">
        <f>Constants!$H73*'Activity data'!BL15*Constants!$H91*EF!$H216*MMVolatEF*NtoN2O*kgtoGg</f>
        <v>0</v>
      </c>
      <c r="BM166" s="22">
        <f>Constants!$H73*'Activity data'!BM15*Constants!$H91*EF!$H216*MMVolatEF*NtoN2O*kgtoGg</f>
        <v>0</v>
      </c>
      <c r="BN166" s="22">
        <f>Constants!$H73*'Activity data'!BN15*Constants!$H91*EF!$H216*MMVolatEF*NtoN2O*kgtoGg</f>
        <v>0</v>
      </c>
      <c r="BO166" s="22">
        <f>Constants!$H73*'Activity data'!BO15*Constants!$H91*EF!$H216*MMVolatEF*NtoN2O*kgtoGg</f>
        <v>0</v>
      </c>
      <c r="BP166" s="22">
        <f>Constants!$H73*'Activity data'!BP15*Constants!$H91*EF!$H216*MMVolatEF*NtoN2O*kgtoGg</f>
        <v>0</v>
      </c>
    </row>
    <row r="167" spans="1:68" x14ac:dyDescent="0.25">
      <c r="A167" t="str">
        <f t="shared" si="58"/>
        <v>3C Aggregated and non-CO2 emissions on land</v>
      </c>
      <c r="B167" t="str">
        <f t="shared" si="62"/>
        <v>3C6 Indirect N2O from manure management (N2O)</v>
      </c>
      <c r="C167" t="str">
        <f t="shared" si="63"/>
        <v>Volatilisation</v>
      </c>
      <c r="D167" t="str">
        <f>'Activity data'!D77</f>
        <v xml:space="preserve"> - Mules &amp; Asses</v>
      </c>
      <c r="E167" t="str">
        <f t="shared" si="61"/>
        <v>Volatilisation - Mules &amp; Asses</v>
      </c>
      <c r="F167" t="str">
        <f t="shared" si="47"/>
        <v>N2O</v>
      </c>
      <c r="G167" t="str">
        <f t="shared" si="48"/>
        <v>Gg N2O</v>
      </c>
      <c r="H167" s="22">
        <f>Constants!$H74*'Activity data'!H16*Constants!$H92*EF!$H217*MMVolatEF*NtoN2O*kgtoGg</f>
        <v>0</v>
      </c>
      <c r="I167" s="22">
        <f>Constants!$H74*'Activity data'!I16*Constants!$H92*EF!$H217*MMVolatEF*NtoN2O*kgtoGg</f>
        <v>0</v>
      </c>
      <c r="J167" s="22">
        <f>Constants!$H74*'Activity data'!J16*Constants!$H92*EF!$H217*MMVolatEF*NtoN2O*kgtoGg</f>
        <v>0</v>
      </c>
      <c r="K167" s="22">
        <f>Constants!$H74*'Activity data'!K16*Constants!$H92*EF!$H217*MMVolatEF*NtoN2O*kgtoGg</f>
        <v>0</v>
      </c>
      <c r="L167" s="22">
        <f>Constants!$H74*'Activity data'!L16*Constants!$H92*EF!$H217*MMVolatEF*NtoN2O*kgtoGg</f>
        <v>0</v>
      </c>
      <c r="M167" s="22">
        <f>Constants!$H74*'Activity data'!M16*Constants!$H92*EF!$H217*MMVolatEF*NtoN2O*kgtoGg</f>
        <v>0</v>
      </c>
      <c r="N167" s="22">
        <f>Constants!$H74*'Activity data'!N16*Constants!$H92*EF!$H217*MMVolatEF*NtoN2O*kgtoGg</f>
        <v>0</v>
      </c>
      <c r="O167" s="22">
        <f>Constants!$H74*'Activity data'!O16*Constants!$H92*EF!$H217*MMVolatEF*NtoN2O*kgtoGg</f>
        <v>0</v>
      </c>
      <c r="P167" s="22">
        <f>Constants!$H74*'Activity data'!P16*Constants!$H92*EF!$H217*MMVolatEF*NtoN2O*kgtoGg</f>
        <v>0</v>
      </c>
      <c r="Q167" s="22">
        <f>Constants!$H74*'Activity data'!Q16*Constants!$H92*EF!$H217*MMVolatEF*NtoN2O*kgtoGg</f>
        <v>0</v>
      </c>
      <c r="R167" s="22">
        <f>Constants!$H74*'Activity data'!R16*Constants!$H92*EF!$H217*MMVolatEF*NtoN2O*kgtoGg</f>
        <v>0</v>
      </c>
      <c r="S167" s="22">
        <f>Constants!$H74*'Activity data'!S16*Constants!$H92*EF!$H217*MMVolatEF*NtoN2O*kgtoGg</f>
        <v>0</v>
      </c>
      <c r="T167" s="22">
        <f>Constants!$H74*'Activity data'!T16*Constants!$H92*EF!$H217*MMVolatEF*NtoN2O*kgtoGg</f>
        <v>0</v>
      </c>
      <c r="U167" s="22">
        <f>Constants!$H74*'Activity data'!U16*Constants!$H92*EF!$H217*MMVolatEF*NtoN2O*kgtoGg</f>
        <v>0</v>
      </c>
      <c r="V167" s="22">
        <f>Constants!$H74*'Activity data'!V16*Constants!$H92*EF!$H217*MMVolatEF*NtoN2O*kgtoGg</f>
        <v>0</v>
      </c>
      <c r="W167" s="22">
        <f>Constants!$H74*'Activity data'!W16*Constants!$H92*EF!$H217*MMVolatEF*NtoN2O*kgtoGg</f>
        <v>0</v>
      </c>
      <c r="X167" s="22">
        <f>Constants!$H74*'Activity data'!X16*Constants!$H92*EF!$H217*MMVolatEF*NtoN2O*kgtoGg</f>
        <v>0</v>
      </c>
      <c r="Y167" s="22">
        <f>Constants!$H74*'Activity data'!Y16*Constants!$H92*EF!$H217*MMVolatEF*NtoN2O*kgtoGg</f>
        <v>0</v>
      </c>
      <c r="Z167" s="22">
        <f>Constants!$H74*'Activity data'!Z16*Constants!$H92*EF!$H217*MMVolatEF*NtoN2O*kgtoGg</f>
        <v>0</v>
      </c>
      <c r="AA167" s="22">
        <f>Constants!$H74*'Activity data'!AA16*Constants!$H92*EF!$H217*MMVolatEF*NtoN2O*kgtoGg</f>
        <v>0</v>
      </c>
      <c r="AB167" s="22">
        <f>Constants!$H74*'Activity data'!AB16*Constants!$H92*EF!$H217*MMVolatEF*NtoN2O*kgtoGg</f>
        <v>0</v>
      </c>
      <c r="AC167" s="22">
        <f>Constants!$H74*'Activity data'!AC16*Constants!$H92*EF!$H217*MMVolatEF*NtoN2O*kgtoGg</f>
        <v>0</v>
      </c>
      <c r="AD167" s="22">
        <f>Constants!$H74*'Activity data'!AD16*Constants!$H92*EF!$H217*MMVolatEF*NtoN2O*kgtoGg</f>
        <v>0</v>
      </c>
      <c r="AE167" s="22">
        <f>Constants!$H74*'Activity data'!AE16*Constants!$H92*EF!$H217*MMVolatEF*NtoN2O*kgtoGg</f>
        <v>0</v>
      </c>
      <c r="AF167" s="22">
        <f>Constants!$H74*'Activity data'!AF16*Constants!$H92*EF!$H217*MMVolatEF*NtoN2O*kgtoGg</f>
        <v>0</v>
      </c>
      <c r="AG167" s="22">
        <f>Constants!$H74*'Activity data'!AG16*Constants!$H92*EF!$H217*MMVolatEF*NtoN2O*kgtoGg</f>
        <v>0</v>
      </c>
      <c r="AH167" s="22">
        <f>Constants!$H74*'Activity data'!AH16*Constants!$H92*EF!$H217*MMVolatEF*NtoN2O*kgtoGg</f>
        <v>0</v>
      </c>
      <c r="AI167" s="22">
        <f>Constants!$H74*'Activity data'!AI16*Constants!$H92*EF!$H217*MMVolatEF*NtoN2O*kgtoGg</f>
        <v>0</v>
      </c>
      <c r="AJ167" s="22">
        <f>Constants!$H74*'Activity data'!AJ16*Constants!$H92*EF!$H217*MMVolatEF*NtoN2O*kgtoGg</f>
        <v>0</v>
      </c>
      <c r="AK167" s="22">
        <f>Constants!$H74*'Activity data'!AK16*Constants!$H92*EF!$H217*MMVolatEF*NtoN2O*kgtoGg</f>
        <v>0</v>
      </c>
      <c r="AL167" s="22">
        <f>Constants!$H74*'Activity data'!AL16*Constants!$H92*EF!$H217*MMVolatEF*NtoN2O*kgtoGg</f>
        <v>0</v>
      </c>
      <c r="AM167" s="22">
        <f>Constants!$H74*'Activity data'!AM16*Constants!$H92*EF!$H217*MMVolatEF*NtoN2O*kgtoGg</f>
        <v>0</v>
      </c>
      <c r="AN167" s="22">
        <f>Constants!$H74*'Activity data'!AN16*Constants!$H92*EF!$H217*MMVolatEF*NtoN2O*kgtoGg</f>
        <v>0</v>
      </c>
      <c r="AO167" s="22">
        <f>Constants!$H74*'Activity data'!AO16*Constants!$H92*EF!$H217*MMVolatEF*NtoN2O*kgtoGg</f>
        <v>0</v>
      </c>
      <c r="AP167" s="22">
        <f>Constants!$H74*'Activity data'!AP16*Constants!$H92*EF!$H217*MMVolatEF*NtoN2O*kgtoGg</f>
        <v>0</v>
      </c>
      <c r="AQ167" s="22">
        <f>Constants!$H74*'Activity data'!AQ16*Constants!$H92*EF!$H217*MMVolatEF*NtoN2O*kgtoGg</f>
        <v>0</v>
      </c>
      <c r="AR167" s="22">
        <f>Constants!$H74*'Activity data'!AR16*Constants!$H92*EF!$H217*MMVolatEF*NtoN2O*kgtoGg</f>
        <v>0</v>
      </c>
      <c r="AS167" s="22">
        <f>Constants!$H74*'Activity data'!AS16*Constants!$H92*EF!$H217*MMVolatEF*NtoN2O*kgtoGg</f>
        <v>0</v>
      </c>
      <c r="AT167" s="22">
        <f>Constants!$H74*'Activity data'!AT16*Constants!$H92*EF!$H217*MMVolatEF*NtoN2O*kgtoGg</f>
        <v>0</v>
      </c>
      <c r="AU167" s="22">
        <f>Constants!$H74*'Activity data'!AU16*Constants!$H92*EF!$H217*MMVolatEF*NtoN2O*kgtoGg</f>
        <v>0</v>
      </c>
      <c r="AV167" s="22">
        <f>Constants!$H74*'Activity data'!AV16*Constants!$H92*EF!$H217*MMVolatEF*NtoN2O*kgtoGg</f>
        <v>0</v>
      </c>
      <c r="AW167" s="22">
        <f>Constants!$H74*'Activity data'!AW16*Constants!$H92*EF!$H217*MMVolatEF*NtoN2O*kgtoGg</f>
        <v>0</v>
      </c>
      <c r="AX167" s="22">
        <f>Constants!$H74*'Activity data'!AX16*Constants!$H92*EF!$H217*MMVolatEF*NtoN2O*kgtoGg</f>
        <v>0</v>
      </c>
      <c r="AY167" s="22">
        <f>Constants!$H74*'Activity data'!AY16*Constants!$H92*EF!$H217*MMVolatEF*NtoN2O*kgtoGg</f>
        <v>0</v>
      </c>
      <c r="AZ167" s="22">
        <f>Constants!$H74*'Activity data'!AZ16*Constants!$H92*EF!$H217*MMVolatEF*NtoN2O*kgtoGg</f>
        <v>0</v>
      </c>
      <c r="BA167" s="22">
        <f>Constants!$H74*'Activity data'!BA16*Constants!$H92*EF!$H217*MMVolatEF*NtoN2O*kgtoGg</f>
        <v>0</v>
      </c>
      <c r="BB167" s="22">
        <f>Constants!$H74*'Activity data'!BB16*Constants!$H92*EF!$H217*MMVolatEF*NtoN2O*kgtoGg</f>
        <v>0</v>
      </c>
      <c r="BC167" s="22">
        <f>Constants!$H74*'Activity data'!BC16*Constants!$H92*EF!$H217*MMVolatEF*NtoN2O*kgtoGg</f>
        <v>0</v>
      </c>
      <c r="BD167" s="22">
        <f>Constants!$H74*'Activity data'!BD16*Constants!$H92*EF!$H217*MMVolatEF*NtoN2O*kgtoGg</f>
        <v>0</v>
      </c>
      <c r="BE167" s="22">
        <f>Constants!$H74*'Activity data'!BE16*Constants!$H92*EF!$H217*MMVolatEF*NtoN2O*kgtoGg</f>
        <v>0</v>
      </c>
      <c r="BF167" s="22">
        <f>Constants!$H74*'Activity data'!BF16*Constants!$H92*EF!$H217*MMVolatEF*NtoN2O*kgtoGg</f>
        <v>0</v>
      </c>
      <c r="BG167" s="22">
        <f>Constants!$H74*'Activity data'!BG16*Constants!$H92*EF!$H217*MMVolatEF*NtoN2O*kgtoGg</f>
        <v>0</v>
      </c>
      <c r="BH167" s="22">
        <f>Constants!$H74*'Activity data'!BH16*Constants!$H92*EF!$H217*MMVolatEF*NtoN2O*kgtoGg</f>
        <v>0</v>
      </c>
      <c r="BI167" s="22">
        <f>Constants!$H74*'Activity data'!BI16*Constants!$H92*EF!$H217*MMVolatEF*NtoN2O*kgtoGg</f>
        <v>0</v>
      </c>
      <c r="BJ167" s="22">
        <f>Constants!$H74*'Activity data'!BJ16*Constants!$H92*EF!$H217*MMVolatEF*NtoN2O*kgtoGg</f>
        <v>0</v>
      </c>
      <c r="BK167" s="22">
        <f>Constants!$H74*'Activity data'!BK16*Constants!$H92*EF!$H217*MMVolatEF*NtoN2O*kgtoGg</f>
        <v>0</v>
      </c>
      <c r="BL167" s="22">
        <f>Constants!$H74*'Activity data'!BL16*Constants!$H92*EF!$H217*MMVolatEF*NtoN2O*kgtoGg</f>
        <v>0</v>
      </c>
      <c r="BM167" s="22">
        <f>Constants!$H74*'Activity data'!BM16*Constants!$H92*EF!$H217*MMVolatEF*NtoN2O*kgtoGg</f>
        <v>0</v>
      </c>
      <c r="BN167" s="22">
        <f>Constants!$H74*'Activity data'!BN16*Constants!$H92*EF!$H217*MMVolatEF*NtoN2O*kgtoGg</f>
        <v>0</v>
      </c>
      <c r="BO167" s="22">
        <f>Constants!$H74*'Activity data'!BO16*Constants!$H92*EF!$H217*MMVolatEF*NtoN2O*kgtoGg</f>
        <v>0</v>
      </c>
      <c r="BP167" s="22">
        <f>Constants!$H74*'Activity data'!BP16*Constants!$H92*EF!$H217*MMVolatEF*NtoN2O*kgtoGg</f>
        <v>0</v>
      </c>
    </row>
    <row r="168" spans="1:68" x14ac:dyDescent="0.25">
      <c r="A168" t="str">
        <f t="shared" si="58"/>
        <v>3C Aggregated and non-CO2 emissions on land</v>
      </c>
      <c r="B168" t="str">
        <f t="shared" si="62"/>
        <v>3C6 Indirect N2O from manure management (N2O)</v>
      </c>
      <c r="C168" t="str">
        <f t="shared" si="63"/>
        <v>Volatilisation</v>
      </c>
      <c r="D168" t="str">
        <f>'Activity data'!D78</f>
        <v xml:space="preserve"> - Commercial swine</v>
      </c>
      <c r="E168" t="str">
        <f t="shared" si="61"/>
        <v>Volatilisation - Commercial swine</v>
      </c>
      <c r="F168" t="str">
        <f t="shared" si="47"/>
        <v>N2O</v>
      </c>
      <c r="G168" t="str">
        <f t="shared" si="48"/>
        <v>Gg N2O</v>
      </c>
      <c r="H168" s="22">
        <f>Constants!$H75*'Activity data'!H17*Constants!$H93*EF!$H218*MMVolatEF*NtoN2O*kgtoGg</f>
        <v>0.12033024471222856</v>
      </c>
      <c r="I168" s="22">
        <f>Constants!$H75*'Activity data'!I17*Constants!$H93*EF!$H218*MMVolatEF*NtoN2O*kgtoGg</f>
        <v>0.13146316105371428</v>
      </c>
      <c r="J168" s="22">
        <f>Constants!$H75*'Activity data'!J17*Constants!$H93*EF!$H218*MMVolatEF*NtoN2O*kgtoGg</f>
        <v>0.13059463566537144</v>
      </c>
      <c r="K168" s="22">
        <f>Constants!$H75*'Activity data'!K17*Constants!$H93*EF!$H218*MMVolatEF*NtoN2O*kgtoGg</f>
        <v>0.13051567881188572</v>
      </c>
      <c r="L168" s="22">
        <f>Constants!$H75*'Activity data'!L17*Constants!$H93*EF!$H218*MMVolatEF*NtoN2O*kgtoGg</f>
        <v>0.12396225997257142</v>
      </c>
      <c r="M168" s="22">
        <f>Constants!$H75*'Activity data'!M17*Constants!$H93*EF!$H218*MMVolatEF*NtoN2O*kgtoGg</f>
        <v>0.12514661277485714</v>
      </c>
      <c r="N168" s="22">
        <f>Constants!$H75*'Activity data'!N17*Constants!$H93*EF!$H218*MMVolatEF*NtoN2O*kgtoGg</f>
        <v>0.13477934890011425</v>
      </c>
      <c r="O168" s="22">
        <f>Constants!$H75*'Activity data'!O17*Constants!$H93*EF!$H218*MMVolatEF*NtoN2O*kgtoGg</f>
        <v>0.1341476940722286</v>
      </c>
      <c r="P168" s="22">
        <f>Constants!$H75*'Activity data'!P17*Constants!$H93*EF!$H218*MMVolatEF*NtoN2O*kgtoGg</f>
        <v>0.13706909765120001</v>
      </c>
      <c r="Q168" s="22">
        <f>Constants!$H75*'Activity data'!Q17*Constants!$H93*EF!$H218*MMVolatEF*NtoN2O*kgtoGg</f>
        <v>0.14054319920457142</v>
      </c>
      <c r="R168" s="22">
        <f>Constants!$H75*'Activity data'!R17*Constants!$H93*EF!$H218*MMVolatEF*NtoN2O*kgtoGg</f>
        <v>0.13004193769097142</v>
      </c>
      <c r="S168" s="22">
        <f>Constants!$H75*'Activity data'!S17*Constants!$H93*EF!$H218*MMVolatEF*NtoN2O*kgtoGg</f>
        <v>0.13248960014902858</v>
      </c>
      <c r="T168" s="22">
        <f>Constants!$H75*'Activity data'!T17*Constants!$H93*EF!$H218*MMVolatEF*NtoN2O*kgtoGg</f>
        <v>0.13501621946057141</v>
      </c>
      <c r="U168" s="22">
        <f>Constants!$H75*'Activity data'!U17*Constants!$H93*EF!$H218*MMVolatEF*NtoN2O*kgtoGg</f>
        <v>0.13130524734674287</v>
      </c>
      <c r="V168" s="22">
        <f>Constants!$H75*'Activity data'!V17*Constants!$H93*EF!$H218*MMVolatEF*NtoN2O*kgtoGg</f>
        <v>0.13130524734674287</v>
      </c>
      <c r="W168" s="22">
        <f>Constants!$H75*'Activity data'!W17*Constants!$H93*EF!$H218*MMVolatEF*NtoN2O*kgtoGg</f>
        <v>0.13035776510491429</v>
      </c>
      <c r="X168" s="22">
        <f>Constants!$H75*'Activity data'!X17*Constants!$H93*EF!$H218*MMVolatEF*NtoN2O*kgtoGg</f>
        <v>0.12806801635382858</v>
      </c>
      <c r="Y168" s="22">
        <f>Constants!$H75*'Activity data'!Y17*Constants!$H93*EF!$H218*MMVolatEF*NtoN2O*kgtoGg</f>
        <v>0.13035776510491429</v>
      </c>
      <c r="Z168" s="22">
        <f>Constants!$H75*'Activity data'!Z17*Constants!$H93*EF!$H218*MMVolatEF*NtoN2O*kgtoGg</f>
        <v>0.12751531837942856</v>
      </c>
      <c r="AA168" s="22">
        <f>Constants!$H75*'Activity data'!AA17*Constants!$H93*EF!$H218*MMVolatEF*NtoN2O*kgtoGg</f>
        <v>0.12735740467245713</v>
      </c>
      <c r="AB168" s="22">
        <f>Constants!$H75*'Activity data'!AB17*Constants!$H93*EF!$H218*MMVolatEF*NtoN2O*kgtoGg</f>
        <v>0.1258572244562286</v>
      </c>
      <c r="AC168" s="22">
        <f>Constants!$H75*'Activity data'!AC17*Constants!$H93*EF!$H218*MMVolatEF*NtoN2O*kgtoGg</f>
        <v>0.12506765592137145</v>
      </c>
      <c r="AD168" s="22">
        <f>Constants!$H75*'Activity data'!AD17*Constants!$H93*EF!$H218*MMVolatEF*NtoN2O*kgtoGg</f>
        <v>0.13078892720375054</v>
      </c>
      <c r="AE168" s="22">
        <f>Constants!$H75*'Activity data'!AE17*Constants!$H93*EF!$H218*MMVolatEF*NtoN2O*kgtoGg</f>
        <v>0.13077908213680656</v>
      </c>
      <c r="AF168" s="22">
        <f>Constants!$H75*'Activity data'!AF17*Constants!$H93*EF!$H218*MMVolatEF*NtoN2O*kgtoGg</f>
        <v>0.12987549731114092</v>
      </c>
      <c r="AG168" s="22">
        <f>Constants!$H75*'Activity data'!AG17*Constants!$H93*EF!$H218*MMVolatEF*NtoN2O*kgtoGg</f>
        <v>0.12834327034144041</v>
      </c>
      <c r="AH168" s="22">
        <f>Constants!$H75*'Activity data'!AH17*Constants!$H93*EF!$H218*MMVolatEF*NtoN2O*kgtoGg</f>
        <v>0.12616971760421924</v>
      </c>
      <c r="AI168" s="22">
        <f>Constants!$H75*'Activity data'!AI17*Constants!$H93*EF!$H218*MMVolatEF*NtoN2O*kgtoGg</f>
        <v>0.12499215263963652</v>
      </c>
      <c r="AJ168" s="22">
        <f>Constants!$H75*'Activity data'!AJ17*Constants!$H93*EF!$H218*MMVolatEF*NtoN2O*kgtoGg</f>
        <v>0.12368768961196679</v>
      </c>
      <c r="AK168" s="22">
        <f>Constants!$H75*'Activity data'!AK17*Constants!$H93*EF!$H218*MMVolatEF*NtoN2O*kgtoGg</f>
        <v>0.12237505400773056</v>
      </c>
      <c r="AL168" s="22">
        <f>Constants!$H75*'Activity data'!AL17*Constants!$H93*EF!$H218*MMVolatEF*NtoN2O*kgtoGg</f>
        <v>0.10755502495802045</v>
      </c>
      <c r="AM168" s="22">
        <f>Constants!$H75*'Activity data'!AM17*Constants!$H93*EF!$H218*MMVolatEF*NtoN2O*kgtoGg</f>
        <v>0.10844464300182514</v>
      </c>
      <c r="AN168" s="22">
        <f>Constants!$H75*'Activity data'!AN17*Constants!$H93*EF!$H218*MMVolatEF*NtoN2O*kgtoGg</f>
        <v>0.1091442187617656</v>
      </c>
      <c r="AO168" s="22">
        <f>Constants!$H75*'Activity data'!AO17*Constants!$H93*EF!$H218*MMVolatEF*NtoN2O*kgtoGg</f>
        <v>0.10988830826918207</v>
      </c>
      <c r="AP168" s="22">
        <f>Constants!$H75*'Activity data'!AP17*Constants!$H93*EF!$H218*MMVolatEF*NtoN2O*kgtoGg</f>
        <v>0.11083593328429303</v>
      </c>
      <c r="AQ168" s="22">
        <f>Constants!$H75*'Activity data'!AQ17*Constants!$H93*EF!$H218*MMVolatEF*NtoN2O*kgtoGg</f>
        <v>0.1120905965276847</v>
      </c>
      <c r="AR168" s="22">
        <f>Constants!$H75*'Activity data'!AR17*Constants!$H93*EF!$H218*MMVolatEF*NtoN2O*kgtoGg</f>
        <v>0.11346785638960726</v>
      </c>
      <c r="AS168" s="22">
        <f>Constants!$H75*'Activity data'!AS17*Constants!$H93*EF!$H218*MMVolatEF*NtoN2O*kgtoGg</f>
        <v>0.11502114842765002</v>
      </c>
      <c r="AT168" s="22">
        <f>Constants!$H75*'Activity data'!AT17*Constants!$H93*EF!$H218*MMVolatEF*NtoN2O*kgtoGg</f>
        <v>0.11676639501530441</v>
      </c>
      <c r="AU168" s="22">
        <f>Constants!$H75*'Activity data'!AU17*Constants!$H93*EF!$H218*MMVolatEF*NtoN2O*kgtoGg</f>
        <v>0.11892201489196155</v>
      </c>
      <c r="AV168" s="22">
        <f>Constants!$H75*'Activity data'!AV17*Constants!$H93*EF!$H218*MMVolatEF*NtoN2O*kgtoGg</f>
        <v>0.12097204393373294</v>
      </c>
      <c r="AW168" s="22">
        <f>Constants!$H75*'Activity data'!AW17*Constants!$H93*EF!$H218*MMVolatEF*NtoN2O*kgtoGg</f>
        <v>0.12366511543656371</v>
      </c>
      <c r="AX168" s="22">
        <f>Constants!$H75*'Activity data'!AX17*Constants!$H93*EF!$H218*MMVolatEF*NtoN2O*kgtoGg</f>
        <v>0.12643007090528388</v>
      </c>
      <c r="AY168" s="22">
        <f>Constants!$H75*'Activity data'!AY17*Constants!$H93*EF!$H218*MMVolatEF*NtoN2O*kgtoGg</f>
        <v>0.12924084754873882</v>
      </c>
      <c r="AZ168" s="22">
        <f>Constants!$H75*'Activity data'!AZ17*Constants!$H93*EF!$H218*MMVolatEF*NtoN2O*kgtoGg</f>
        <v>0.13207130054149743</v>
      </c>
      <c r="BA168" s="22">
        <f>Constants!$H75*'Activity data'!BA17*Constants!$H93*EF!$H218*MMVolatEF*NtoN2O*kgtoGg</f>
        <v>0.13444575099742187</v>
      </c>
      <c r="BB168" s="22">
        <f>Constants!$H75*'Activity data'!BB17*Constants!$H93*EF!$H218*MMVolatEF*NtoN2O*kgtoGg</f>
        <v>0.13695030326532634</v>
      </c>
      <c r="BC168" s="22">
        <f>Constants!$H75*'Activity data'!BC17*Constants!$H93*EF!$H218*MMVolatEF*NtoN2O*kgtoGg</f>
        <v>0.13968397008069663</v>
      </c>
      <c r="BD168" s="22">
        <f>Constants!$H75*'Activity data'!BD17*Constants!$H93*EF!$H218*MMVolatEF*NtoN2O*kgtoGg</f>
        <v>0.14254425691246922</v>
      </c>
      <c r="BE168" s="22">
        <f>Constants!$H75*'Activity data'!BE17*Constants!$H93*EF!$H218*MMVolatEF*NtoN2O*kgtoGg</f>
        <v>0.14519401070164223</v>
      </c>
      <c r="BF168" s="22">
        <f>Constants!$H75*'Activity data'!BF17*Constants!$H93*EF!$H218*MMVolatEF*NtoN2O*kgtoGg</f>
        <v>0.14781763816012075</v>
      </c>
      <c r="BG168" s="22">
        <f>Constants!$H75*'Activity data'!BG17*Constants!$H93*EF!$H218*MMVolatEF*NtoN2O*kgtoGg</f>
        <v>0.15054129342381845</v>
      </c>
      <c r="BH168" s="22">
        <f>Constants!$H75*'Activity data'!BH17*Constants!$H93*EF!$H218*MMVolatEF*NtoN2O*kgtoGg</f>
        <v>0.15340011801237516</v>
      </c>
      <c r="BI168" s="22">
        <f>Constants!$H75*'Activity data'!BI17*Constants!$H93*EF!$H218*MMVolatEF*NtoN2O*kgtoGg</f>
        <v>0.15644396804291991</v>
      </c>
      <c r="BJ168" s="22">
        <f>Constants!$H75*'Activity data'!BJ17*Constants!$H93*EF!$H218*MMVolatEF*NtoN2O*kgtoGg</f>
        <v>0.1596403957236594</v>
      </c>
      <c r="BK168" s="22">
        <f>Constants!$H75*'Activity data'!BK17*Constants!$H93*EF!$H218*MMVolatEF*NtoN2O*kgtoGg</f>
        <v>0.16309921874151817</v>
      </c>
      <c r="BL168" s="22">
        <f>Constants!$H75*'Activity data'!BL17*Constants!$H93*EF!$H218*MMVolatEF*NtoN2O*kgtoGg</f>
        <v>0.16676205512646242</v>
      </c>
      <c r="BM168" s="22">
        <f>Constants!$H75*'Activity data'!BM17*Constants!$H93*EF!$H218*MMVolatEF*NtoN2O*kgtoGg</f>
        <v>0.1705473709606532</v>
      </c>
      <c r="BN168" s="22">
        <f>Constants!$H75*'Activity data'!BN17*Constants!$H93*EF!$H218*MMVolatEF*NtoN2O*kgtoGg</f>
        <v>0.17415935264070517</v>
      </c>
      <c r="BO168" s="22">
        <f>Constants!$H75*'Activity data'!BO17*Constants!$H93*EF!$H218*MMVolatEF*NtoN2O*kgtoGg</f>
        <v>0.1779090128204768</v>
      </c>
      <c r="BP168" s="22">
        <f>Constants!$H75*'Activity data'!BP17*Constants!$H93*EF!$H218*MMVolatEF*NtoN2O*kgtoGg</f>
        <v>0.18185708220051511</v>
      </c>
    </row>
    <row r="169" spans="1:68" x14ac:dyDescent="0.25">
      <c r="A169" t="str">
        <f t="shared" si="58"/>
        <v>3C Aggregated and non-CO2 emissions on land</v>
      </c>
      <c r="B169" t="str">
        <f t="shared" si="62"/>
        <v>3C6 Indirect N2O from manure management (N2O)</v>
      </c>
      <c r="C169" t="str">
        <f t="shared" si="63"/>
        <v>Volatilisation</v>
      </c>
      <c r="D169" t="str">
        <f>'Activity data'!D79</f>
        <v xml:space="preserve"> - Subsistence swine</v>
      </c>
      <c r="E169" t="str">
        <f t="shared" si="61"/>
        <v>Volatilisation - Subsistence swine</v>
      </c>
      <c r="F169" t="str">
        <f t="shared" si="47"/>
        <v>N2O</v>
      </c>
      <c r="G169" t="str">
        <f t="shared" si="48"/>
        <v>Gg N2O</v>
      </c>
      <c r="H169" s="22">
        <f>Constants!$H76*'Activity data'!H18*Constants!$H94*EF!$H219*MMVolatEF*NtoN2O*kgtoGg</f>
        <v>1.1213700344412847E-2</v>
      </c>
      <c r="I169" s="22">
        <f>Constants!$H76*'Activity data'!I18*Constants!$H94*EF!$H219*MMVolatEF*NtoN2O*kgtoGg</f>
        <v>1.2251188368403802E-2</v>
      </c>
      <c r="J169" s="22">
        <f>Constants!$H76*'Activity data'!J18*Constants!$H94*EF!$H219*MMVolatEF*NtoN2O*kgtoGg</f>
        <v>1.2170249586390321E-2</v>
      </c>
      <c r="K169" s="22">
        <f>Constants!$H76*'Activity data'!K18*Constants!$H94*EF!$H219*MMVolatEF*NtoN2O*kgtoGg</f>
        <v>1.2162891515298188E-2</v>
      </c>
      <c r="L169" s="22">
        <f>Constants!$H76*'Activity data'!L18*Constants!$H94*EF!$H219*MMVolatEF*NtoN2O*kgtoGg</f>
        <v>1.1552171614651031E-2</v>
      </c>
      <c r="M169" s="22">
        <f>Constants!$H76*'Activity data'!M18*Constants!$H94*EF!$H219*MMVolatEF*NtoN2O*kgtoGg</f>
        <v>1.1662542681033047E-2</v>
      </c>
      <c r="N169" s="22">
        <f>Constants!$H76*'Activity data'!N18*Constants!$H94*EF!$H219*MMVolatEF*NtoN2O*kgtoGg</f>
        <v>1.2560227354273448E-2</v>
      </c>
      <c r="O169" s="22">
        <f>Constants!$H76*'Activity data'!O18*Constants!$H94*EF!$H219*MMVolatEF*NtoN2O*kgtoGg</f>
        <v>1.2501362785536372E-2</v>
      </c>
      <c r="P169" s="22">
        <f>Constants!$H76*'Activity data'!P18*Constants!$H94*EF!$H219*MMVolatEF*NtoN2O*kgtoGg</f>
        <v>1.2773611415945345E-2</v>
      </c>
      <c r="Q169" s="22">
        <f>Constants!$H76*'Activity data'!Q18*Constants!$H94*EF!$H219*MMVolatEF*NtoN2O*kgtoGg</f>
        <v>1.3097366543999258E-2</v>
      </c>
      <c r="R169" s="22">
        <f>Constants!$H76*'Activity data'!R18*Constants!$H94*EF!$H219*MMVolatEF*NtoN2O*kgtoGg</f>
        <v>1.2118743088745379E-2</v>
      </c>
      <c r="S169" s="22">
        <f>Constants!$H76*'Activity data'!S18*Constants!$H94*EF!$H219*MMVolatEF*NtoN2O*kgtoGg</f>
        <v>1.2346843292601547E-2</v>
      </c>
      <c r="T169" s="22">
        <f>Constants!$H76*'Activity data'!T18*Constants!$H94*EF!$H219*MMVolatEF*NtoN2O*kgtoGg</f>
        <v>1.2582301567549848E-2</v>
      </c>
      <c r="U169" s="22">
        <f>Constants!$H76*'Activity data'!U18*Constants!$H94*EF!$H219*MMVolatEF*NtoN2O*kgtoGg</f>
        <v>1.2236472226219531E-2</v>
      </c>
      <c r="V169" s="22">
        <f>Constants!$H76*'Activity data'!V18*Constants!$H94*EF!$H219*MMVolatEF*NtoN2O*kgtoGg</f>
        <v>1.2236472226219531E-2</v>
      </c>
      <c r="W169" s="22">
        <f>Constants!$H76*'Activity data'!W18*Constants!$H94*EF!$H219*MMVolatEF*NtoN2O*kgtoGg</f>
        <v>1.2148175373113919E-2</v>
      </c>
      <c r="X169" s="22">
        <f>Constants!$H76*'Activity data'!X18*Constants!$H94*EF!$H219*MMVolatEF*NtoN2O*kgtoGg</f>
        <v>1.1934791311442018E-2</v>
      </c>
      <c r="Y169" s="22">
        <f>Constants!$H76*'Activity data'!Y18*Constants!$H94*EF!$H219*MMVolatEF*NtoN2O*kgtoGg</f>
        <v>1.2148175373113919E-2</v>
      </c>
      <c r="Z169" s="22">
        <f>Constants!$H76*'Activity data'!Z18*Constants!$H94*EF!$H219*MMVolatEF*NtoN2O*kgtoGg</f>
        <v>1.1883284813797081E-2</v>
      </c>
      <c r="AA169" s="22">
        <f>Constants!$H76*'Activity data'!AA18*Constants!$H94*EF!$H219*MMVolatEF*NtoN2O*kgtoGg</f>
        <v>1.186856867161281E-2</v>
      </c>
      <c r="AB169" s="22">
        <f>Constants!$H76*'Activity data'!AB18*Constants!$H94*EF!$H219*MMVolatEF*NtoN2O*kgtoGg</f>
        <v>1.1728765320862257E-2</v>
      </c>
      <c r="AC169" s="22">
        <f>Constants!$H76*'Activity data'!AC18*Constants!$H94*EF!$H219*MMVolatEF*NtoN2O*kgtoGg</f>
        <v>1.1655184609940911E-2</v>
      </c>
      <c r="AD169" s="22">
        <f>Constants!$H76*'Activity data'!AD18*Constants!$H94*EF!$H219*MMVolatEF*NtoN2O*kgtoGg</f>
        <v>1.272781292979883E-2</v>
      </c>
      <c r="AE169" s="22">
        <f>Constants!$H76*'Activity data'!AE18*Constants!$H94*EF!$H219*MMVolatEF*NtoN2O*kgtoGg</f>
        <v>1.2726854850448966E-2</v>
      </c>
      <c r="AF169" s="22">
        <f>Constants!$H76*'Activity data'!AF18*Constants!$H94*EF!$H219*MMVolatEF*NtoN2O*kgtoGg</f>
        <v>1.2638921881862412E-2</v>
      </c>
      <c r="AG169" s="22">
        <f>Constants!$H76*'Activity data'!AG18*Constants!$H94*EF!$H219*MMVolatEF*NtoN2O*kgtoGg</f>
        <v>1.2489812177751454E-2</v>
      </c>
      <c r="AH169" s="22">
        <f>Constants!$H76*'Activity data'!AH18*Constants!$H94*EF!$H219*MMVolatEF*NtoN2O*kgtoGg</f>
        <v>1.2278291422716085E-2</v>
      </c>
      <c r="AI169" s="22">
        <f>Constants!$H76*'Activity data'!AI18*Constants!$H94*EF!$H219*MMVolatEF*NtoN2O*kgtoGg</f>
        <v>1.2163695891562704E-2</v>
      </c>
      <c r="AJ169" s="22">
        <f>Constants!$H76*'Activity data'!AJ18*Constants!$H94*EF!$H219*MMVolatEF*NtoN2O*kgtoGg</f>
        <v>1.2036751189553229E-2</v>
      </c>
      <c r="AK169" s="22">
        <f>Constants!$H76*'Activity data'!AK18*Constants!$H94*EF!$H219*MMVolatEF*NtoN2O*kgtoGg</f>
        <v>1.1909011167726418E-2</v>
      </c>
      <c r="AL169" s="22">
        <f>Constants!$H76*'Activity data'!AL18*Constants!$H94*EF!$H219*MMVolatEF*NtoN2O*kgtoGg</f>
        <v>1.0466790014975153E-2</v>
      </c>
      <c r="AM169" s="22">
        <f>Constants!$H76*'Activity data'!AM18*Constants!$H94*EF!$H219*MMVolatEF*NtoN2O*kgtoGg</f>
        <v>1.0553363796736357E-2</v>
      </c>
      <c r="AN169" s="22">
        <f>Constants!$H76*'Activity data'!AN18*Constants!$H94*EF!$H219*MMVolatEF*NtoN2O*kgtoGg</f>
        <v>1.0621443485079337E-2</v>
      </c>
      <c r="AO169" s="22">
        <f>Constants!$H76*'Activity data'!AO18*Constants!$H94*EF!$H219*MMVolatEF*NtoN2O*kgtoGg</f>
        <v>1.0693855058871583E-2</v>
      </c>
      <c r="AP169" s="22">
        <f>Constants!$H76*'Activity data'!AP18*Constants!$H94*EF!$H219*MMVolatEF*NtoN2O*kgtoGg</f>
        <v>1.0786073828287286E-2</v>
      </c>
      <c r="AQ169" s="22">
        <f>Constants!$H76*'Activity data'!AQ18*Constants!$H94*EF!$H219*MMVolatEF*NtoN2O*kgtoGg</f>
        <v>1.0908172230600097E-2</v>
      </c>
      <c r="AR169" s="22">
        <f>Constants!$H76*'Activity data'!AR18*Constants!$H94*EF!$H219*MMVolatEF*NtoN2O*kgtoGg</f>
        <v>1.1042201205782086E-2</v>
      </c>
      <c r="AS169" s="22">
        <f>Constants!$H76*'Activity data'!AS18*Constants!$H94*EF!$H219*MMVolatEF*NtoN2O*kgtoGg</f>
        <v>1.1193360871269327E-2</v>
      </c>
      <c r="AT169" s="22">
        <f>Constants!$H76*'Activity data'!AT18*Constants!$H94*EF!$H219*MMVolatEF*NtoN2O*kgtoGg</f>
        <v>1.1363200723609653E-2</v>
      </c>
      <c r="AU169" s="22">
        <f>Constants!$H76*'Activity data'!AU18*Constants!$H94*EF!$H219*MMVolatEF*NtoN2O*kgtoGg</f>
        <v>1.1572976330187621E-2</v>
      </c>
      <c r="AV169" s="22">
        <f>Constants!$H76*'Activity data'!AV18*Constants!$H94*EF!$H219*MMVolatEF*NtoN2O*kgtoGg</f>
        <v>1.1772476293236273E-2</v>
      </c>
      <c r="AW169" s="22">
        <f>Constants!$H76*'Activity data'!AW18*Constants!$H94*EF!$H219*MMVolatEF*NtoN2O*kgtoGg</f>
        <v>1.2034554368402407E-2</v>
      </c>
      <c r="AX169" s="22">
        <f>Constants!$H76*'Activity data'!AX18*Constants!$H94*EF!$H219*MMVolatEF*NtoN2O*kgtoGg</f>
        <v>1.2303627880338704E-2</v>
      </c>
      <c r="AY169" s="22">
        <f>Constants!$H76*'Activity data'!AY18*Constants!$H94*EF!$H219*MMVolatEF*NtoN2O*kgtoGg</f>
        <v>1.2577160510892442E-2</v>
      </c>
      <c r="AZ169" s="22">
        <f>Constants!$H76*'Activity data'!AZ18*Constants!$H94*EF!$H219*MMVolatEF*NtoN2O*kgtoGg</f>
        <v>1.2852607958689746E-2</v>
      </c>
      <c r="BA169" s="22">
        <f>Constants!$H76*'Activity data'!BA18*Constants!$H94*EF!$H219*MMVolatEF*NtoN2O*kgtoGg</f>
        <v>1.3083679211128426E-2</v>
      </c>
      <c r="BB169" s="22">
        <f>Constants!$H76*'Activity data'!BB18*Constants!$H94*EF!$H219*MMVolatEF*NtoN2O*kgtoGg</f>
        <v>1.3327411409414066E-2</v>
      </c>
      <c r="BC169" s="22">
        <f>Constants!$H76*'Activity data'!BC18*Constants!$H94*EF!$H219*MMVolatEF*NtoN2O*kgtoGg</f>
        <v>1.3593440044882794E-2</v>
      </c>
      <c r="BD169" s="22">
        <f>Constants!$H76*'Activity data'!BD18*Constants!$H94*EF!$H219*MMVolatEF*NtoN2O*kgtoGg</f>
        <v>1.3871790792906392E-2</v>
      </c>
      <c r="BE169" s="22">
        <f>Constants!$H76*'Activity data'!BE18*Constants!$H94*EF!$H219*MMVolatEF*NtoN2O*kgtoGg</f>
        <v>1.4129653375463401E-2</v>
      </c>
      <c r="BF169" s="22">
        <f>Constants!$H76*'Activity data'!BF18*Constants!$H94*EF!$H219*MMVolatEF*NtoN2O*kgtoGg</f>
        <v>1.4384973456474362E-2</v>
      </c>
      <c r="BG169" s="22">
        <f>Constants!$H76*'Activity data'!BG18*Constants!$H94*EF!$H219*MMVolatEF*NtoN2O*kgtoGg</f>
        <v>1.4650027811019234E-2</v>
      </c>
      <c r="BH169" s="22">
        <f>Constants!$H76*'Activity data'!BH18*Constants!$H94*EF!$H219*MMVolatEF*NtoN2O*kgtoGg</f>
        <v>1.4928236259855078E-2</v>
      </c>
      <c r="BI169" s="22">
        <f>Constants!$H76*'Activity data'!BI18*Constants!$H94*EF!$H219*MMVolatEF*NtoN2O*kgtoGg</f>
        <v>1.5224450584748051E-2</v>
      </c>
      <c r="BJ169" s="22">
        <f>Constants!$H76*'Activity data'!BJ18*Constants!$H94*EF!$H219*MMVolatEF*NtoN2O*kgtoGg</f>
        <v>1.5535513106888811E-2</v>
      </c>
      <c r="BK169" s="22">
        <f>Constants!$H76*'Activity data'!BK18*Constants!$H94*EF!$H219*MMVolatEF*NtoN2O*kgtoGg</f>
        <v>1.5872110808772297E-2</v>
      </c>
      <c r="BL169" s="22">
        <f>Constants!$H76*'Activity data'!BL18*Constants!$H94*EF!$H219*MMVolatEF*NtoN2O*kgtoGg</f>
        <v>1.622856220948915E-2</v>
      </c>
      <c r="BM169" s="22">
        <f>Constants!$H76*'Activity data'!BM18*Constants!$H94*EF!$H219*MMVolatEF*NtoN2O*kgtoGg</f>
        <v>1.6596932780667012E-2</v>
      </c>
      <c r="BN169" s="22">
        <f>Constants!$H76*'Activity data'!BN18*Constants!$H94*EF!$H219*MMVolatEF*NtoN2O*kgtoGg</f>
        <v>1.6948435221373962E-2</v>
      </c>
      <c r="BO169" s="22">
        <f>Constants!$H76*'Activity data'!BO18*Constants!$H94*EF!$H219*MMVolatEF*NtoN2O*kgtoGg</f>
        <v>1.7313335938420913E-2</v>
      </c>
      <c r="BP169" s="22">
        <f>Constants!$H76*'Activity data'!BP18*Constants!$H94*EF!$H219*MMVolatEF*NtoN2O*kgtoGg</f>
        <v>1.7697544981016014E-2</v>
      </c>
    </row>
    <row r="170" spans="1:68" x14ac:dyDescent="0.25">
      <c r="A170" t="str">
        <f t="shared" si="58"/>
        <v>3C Aggregated and non-CO2 emissions on land</v>
      </c>
      <c r="B170" t="str">
        <f t="shared" si="62"/>
        <v>3C6 Indirect N2O from manure management (N2O)</v>
      </c>
      <c r="C170" t="str">
        <f t="shared" si="63"/>
        <v>Volatilisation</v>
      </c>
      <c r="D170" t="str">
        <f>'Activity data'!D80</f>
        <v xml:space="preserve"> - Commercial layers</v>
      </c>
      <c r="E170" t="str">
        <f t="shared" si="61"/>
        <v>Volatilisation - Commercial layers</v>
      </c>
      <c r="F170" t="str">
        <f t="shared" si="47"/>
        <v>N2O</v>
      </c>
      <c r="G170" t="str">
        <f t="shared" si="48"/>
        <v>Gg N2O</v>
      </c>
      <c r="H170" s="22">
        <f>Constants!$H77*'Activity data'!H19*Constants!$H95*EF!$H220*MMVolatEF*NtoN2O*kgtoGg</f>
        <v>3.9901922234143378E-2</v>
      </c>
      <c r="I170" s="22">
        <f>Constants!$H77*'Activity data'!I19*Constants!$H95*EF!$H220*MMVolatEF*NtoN2O*kgtoGg</f>
        <v>3.8764119662049575E-2</v>
      </c>
      <c r="J170" s="22">
        <f>Constants!$H77*'Activity data'!J19*Constants!$H95*EF!$H220*MMVolatEF*NtoN2O*kgtoGg</f>
        <v>3.6765071039765375E-2</v>
      </c>
      <c r="K170" s="22">
        <f>Constants!$H77*'Activity data'!K19*Constants!$H95*EF!$H220*MMVolatEF*NtoN2O*kgtoGg</f>
        <v>3.6187005010116235E-2</v>
      </c>
      <c r="L170" s="22">
        <f>Constants!$H77*'Activity data'!L19*Constants!$H95*EF!$H220*MMVolatEF*NtoN2O*kgtoGg</f>
        <v>3.4613000583397703E-2</v>
      </c>
      <c r="M170" s="22">
        <f>Constants!$H77*'Activity data'!M19*Constants!$H95*EF!$H220*MMVolatEF*NtoN2O*kgtoGg</f>
        <v>3.7767091699964048E-2</v>
      </c>
      <c r="N170" s="22">
        <f>Constants!$H77*'Activity data'!N19*Constants!$H95*EF!$H220*MMVolatEF*NtoN2O*kgtoGg</f>
        <v>3.9893574992700236E-2</v>
      </c>
      <c r="O170" s="22">
        <f>Constants!$H77*'Activity data'!O19*Constants!$H95*EF!$H220*MMVolatEF*NtoN2O*kgtoGg</f>
        <v>4.0024759793687768E-2</v>
      </c>
      <c r="P170" s="22">
        <f>Constants!$H77*'Activity data'!P19*Constants!$H95*EF!$H220*MMVolatEF*NtoN2O*kgtoGg</f>
        <v>4.5064502181051763E-2</v>
      </c>
      <c r="Q170" s="22">
        <f>Constants!$H77*'Activity data'!Q19*Constants!$H95*EF!$H220*MMVolatEF*NtoN2O*kgtoGg</f>
        <v>4.8313668520703602E-2</v>
      </c>
      <c r="R170" s="22">
        <f>Constants!$H77*'Activity data'!R19*Constants!$H95*EF!$H220*MMVolatEF*NtoN2O*kgtoGg</f>
        <v>4.7289979406797474E-2</v>
      </c>
      <c r="S170" s="22">
        <f>Constants!$H77*'Activity data'!S19*Constants!$H95*EF!$H220*MMVolatEF*NtoN2O*kgtoGg</f>
        <v>4.8551507364098793E-2</v>
      </c>
      <c r="T170" s="22">
        <f>Constants!$H77*'Activity data'!T19*Constants!$H95*EF!$H220*MMVolatEF*NtoN2O*kgtoGg</f>
        <v>4.8170447709819791E-2</v>
      </c>
      <c r="U170" s="22">
        <f>Constants!$H77*'Activity data'!U19*Constants!$H95*EF!$H220*MMVolatEF*NtoN2O*kgtoGg</f>
        <v>4.6247362930646907E-2</v>
      </c>
      <c r="V170" s="22">
        <f>Constants!$H77*'Activity data'!V19*Constants!$H95*EF!$H220*MMVolatEF*NtoN2O*kgtoGg</f>
        <v>4.7924340253760342E-2</v>
      </c>
      <c r="W170" s="22">
        <f>Constants!$H77*'Activity data'!W19*Constants!$H95*EF!$H220*MMVolatEF*NtoN2O*kgtoGg</f>
        <v>5.0814203111068781E-2</v>
      </c>
      <c r="X170" s="22">
        <f>Constants!$H77*'Activity data'!X19*Constants!$H95*EF!$H220*MMVolatEF*NtoN2O*kgtoGg</f>
        <v>5.6079445071930599E-2</v>
      </c>
      <c r="Y170" s="22">
        <f>Constants!$H77*'Activity data'!Y19*Constants!$H95*EF!$H220*MMVolatEF*NtoN2O*kgtoGg</f>
        <v>6.2061568790031385E-2</v>
      </c>
      <c r="Z170" s="22">
        <f>Constants!$H77*'Activity data'!Z19*Constants!$H95*EF!$H220*MMVolatEF*NtoN2O*kgtoGg</f>
        <v>6.2878912050452387E-2</v>
      </c>
      <c r="AA170" s="22">
        <f>Constants!$H77*'Activity data'!AA19*Constants!$H95*EF!$H220*MMVolatEF*NtoN2O*kgtoGg</f>
        <v>6.0560791025763831E-2</v>
      </c>
      <c r="AB170" s="22">
        <f>Constants!$H77*'Activity data'!AB19*Constants!$H95*EF!$H220*MMVolatEF*NtoN2O*kgtoGg</f>
        <v>6.291984308956225E-2</v>
      </c>
      <c r="AC170" s="22">
        <f>Constants!$H77*'Activity data'!AC19*Constants!$H95*EF!$H220*MMVolatEF*NtoN2O*kgtoGg</f>
        <v>6.5824054338964127E-2</v>
      </c>
      <c r="AD170" s="22">
        <f>Constants!$H77*'Activity data'!AD19*Constants!$H95*EF!$H220*MMVolatEF*NtoN2O*kgtoGg</f>
        <v>6.4459389931532191E-2</v>
      </c>
      <c r="AE170" s="22">
        <f>Constants!$H77*'Activity data'!AE19*Constants!$H95*EF!$H220*MMVolatEF*NtoN2O*kgtoGg</f>
        <v>6.5965645341109991E-2</v>
      </c>
      <c r="AF170" s="22">
        <f>Constants!$H77*'Activity data'!AF19*Constants!$H95*EF!$H220*MMVolatEF*NtoN2O*kgtoGg</f>
        <v>6.7225894877679535E-2</v>
      </c>
      <c r="AG170" s="22">
        <f>Constants!$H77*'Activity data'!AG19*Constants!$H95*EF!$H220*MMVolatEF*NtoN2O*kgtoGg</f>
        <v>6.8300168669846312E-2</v>
      </c>
      <c r="AH170" s="22">
        <f>Constants!$H77*'Activity data'!AH19*Constants!$H95*EF!$H220*MMVolatEF*NtoN2O*kgtoGg</f>
        <v>6.9172461842987032E-2</v>
      </c>
      <c r="AI170" s="22">
        <f>Constants!$H77*'Activity data'!AI19*Constants!$H95*EF!$H220*MMVolatEF*NtoN2O*kgtoGg</f>
        <v>7.0339048005401153E-2</v>
      </c>
      <c r="AJ170" s="22">
        <f>Constants!$H77*'Activity data'!AJ19*Constants!$H95*EF!$H220*MMVolatEF*NtoN2O*kgtoGg</f>
        <v>7.1454126494723658E-2</v>
      </c>
      <c r="AK170" s="22">
        <f>Constants!$H77*'Activity data'!AK19*Constants!$H95*EF!$H220*MMVolatEF*NtoN2O*kgtoGg</f>
        <v>7.2556307196408085E-2</v>
      </c>
      <c r="AL170" s="22">
        <f>Constants!$H77*'Activity data'!AL19*Constants!$H95*EF!$H220*MMVolatEF*NtoN2O*kgtoGg</f>
        <v>6.9136595690123301E-2</v>
      </c>
      <c r="AM170" s="22">
        <f>Constants!$H77*'Activity data'!AM19*Constants!$H95*EF!$H220*MMVolatEF*NtoN2O*kgtoGg</f>
        <v>7.0699461327259988E-2</v>
      </c>
      <c r="AN170" s="22">
        <f>Constants!$H77*'Activity data'!AN19*Constants!$H95*EF!$H220*MMVolatEF*NtoN2O*kgtoGg</f>
        <v>7.2217945521869831E-2</v>
      </c>
      <c r="AO170" s="22">
        <f>Constants!$H77*'Activity data'!AO19*Constants!$H95*EF!$H220*MMVolatEF*NtoN2O*kgtoGg</f>
        <v>7.3772322101689283E-2</v>
      </c>
      <c r="AP170" s="22">
        <f>Constants!$H77*'Activity data'!AP19*Constants!$H95*EF!$H220*MMVolatEF*NtoN2O*kgtoGg</f>
        <v>7.54226119084455E-2</v>
      </c>
      <c r="AQ170" s="22">
        <f>Constants!$H77*'Activity data'!AQ19*Constants!$H95*EF!$H220*MMVolatEF*NtoN2O*kgtoGg</f>
        <v>7.7213162740257635E-2</v>
      </c>
      <c r="AR170" s="22">
        <f>Constants!$H77*'Activity data'!AR19*Constants!$H95*EF!$H220*MMVolatEF*NtoN2O*kgtoGg</f>
        <v>7.9017583054610499E-2</v>
      </c>
      <c r="AS170" s="22">
        <f>Constants!$H77*'Activity data'!AS19*Constants!$H95*EF!$H220*MMVolatEF*NtoN2O*kgtoGg</f>
        <v>8.0923468577577942E-2</v>
      </c>
      <c r="AT170" s="22">
        <f>Constants!$H77*'Activity data'!AT19*Constants!$H95*EF!$H220*MMVolatEF*NtoN2O*kgtoGg</f>
        <v>8.2942376031839654E-2</v>
      </c>
      <c r="AU170" s="22">
        <f>Constants!$H77*'Activity data'!AU19*Constants!$H95*EF!$H220*MMVolatEF*NtoN2O*kgtoGg</f>
        <v>8.5168673093506453E-2</v>
      </c>
      <c r="AV170" s="22">
        <f>Constants!$H77*'Activity data'!AV19*Constants!$H95*EF!$H220*MMVolatEF*NtoN2O*kgtoGg</f>
        <v>8.739989198537218E-2</v>
      </c>
      <c r="AW170" s="22">
        <f>Constants!$H77*'Activity data'!AW19*Constants!$H95*EF!$H220*MMVolatEF*NtoN2O*kgtoGg</f>
        <v>8.989779918311526E-2</v>
      </c>
      <c r="AX170" s="22">
        <f>Constants!$H77*'Activity data'!AX19*Constants!$H95*EF!$H220*MMVolatEF*NtoN2O*kgtoGg</f>
        <v>9.2485836918644065E-2</v>
      </c>
      <c r="AY170" s="22">
        <f>Constants!$H77*'Activity data'!AY19*Constants!$H95*EF!$H220*MMVolatEF*NtoN2O*kgtoGg</f>
        <v>9.5155772397308519E-2</v>
      </c>
      <c r="AZ170" s="22">
        <f>Constants!$H77*'Activity data'!AZ19*Constants!$H95*EF!$H220*MMVolatEF*NtoN2O*kgtoGg</f>
        <v>9.7898527738008861E-2</v>
      </c>
      <c r="BA170" s="22">
        <f>Constants!$H77*'Activity data'!BA19*Constants!$H95*EF!$H220*MMVolatEF*NtoN2O*kgtoGg</f>
        <v>0.10049873924277271</v>
      </c>
      <c r="BB170" s="22">
        <f>Constants!$H77*'Activity data'!BB19*Constants!$H95*EF!$H220*MMVolatEF*NtoN2O*kgtoGg</f>
        <v>0.10316769101309418</v>
      </c>
      <c r="BC170" s="22">
        <f>Constants!$H77*'Activity data'!BC19*Constants!$H95*EF!$H220*MMVolatEF*NtoN2O*kgtoGg</f>
        <v>0.10600783034472896</v>
      </c>
      <c r="BD170" s="22">
        <f>Constants!$H77*'Activity data'!BD19*Constants!$H95*EF!$H220*MMVolatEF*NtoN2O*kgtoGg</f>
        <v>0.10897739202117659</v>
      </c>
      <c r="BE170" s="22">
        <f>Constants!$H77*'Activity data'!BE19*Constants!$H95*EF!$H220*MMVolatEF*NtoN2O*kgtoGg</f>
        <v>0.11191532628544762</v>
      </c>
      <c r="BF170" s="22">
        <f>Constants!$H77*'Activity data'!BF19*Constants!$H95*EF!$H220*MMVolatEF*NtoN2O*kgtoGg</f>
        <v>0.11491025151684212</v>
      </c>
      <c r="BG170" s="22">
        <f>Constants!$H77*'Activity data'!BG19*Constants!$H95*EF!$H220*MMVolatEF*NtoN2O*kgtoGg</f>
        <v>0.11797921695867164</v>
      </c>
      <c r="BH170" s="22">
        <f>Constants!$H77*'Activity data'!BH19*Constants!$H95*EF!$H220*MMVolatEF*NtoN2O*kgtoGg</f>
        <v>0.12119332452886772</v>
      </c>
      <c r="BI170" s="22">
        <f>Constants!$H77*'Activity data'!BI19*Constants!$H95*EF!$H220*MMVolatEF*NtoN2O*kgtoGg</f>
        <v>0.12458504237382968</v>
      </c>
      <c r="BJ170" s="22">
        <f>Constants!$H77*'Activity data'!BJ19*Constants!$H95*EF!$H220*MMVolatEF*NtoN2O*kgtoGg</f>
        <v>0.12814446561050039</v>
      </c>
      <c r="BK170" s="22">
        <f>Constants!$H77*'Activity data'!BK19*Constants!$H95*EF!$H220*MMVolatEF*NtoN2O*kgtoGg</f>
        <v>0.13193909022348863</v>
      </c>
      <c r="BL170" s="22">
        <f>Constants!$H77*'Activity data'!BL19*Constants!$H95*EF!$H220*MMVolatEF*NtoN2O*kgtoGg</f>
        <v>0.1358966979625206</v>
      </c>
      <c r="BM170" s="22">
        <f>Constants!$H77*'Activity data'!BM19*Constants!$H95*EF!$H220*MMVolatEF*NtoN2O*kgtoGg</f>
        <v>0.14002917685927466</v>
      </c>
      <c r="BN170" s="22">
        <f>Constants!$H77*'Activity data'!BN19*Constants!$H95*EF!$H220*MMVolatEF*NtoN2O*kgtoGg</f>
        <v>0.14417102813346433</v>
      </c>
      <c r="BO170" s="22">
        <f>Constants!$H77*'Activity data'!BO19*Constants!$H95*EF!$H220*MMVolatEF*NtoN2O*kgtoGg</f>
        <v>0.14850436226796296</v>
      </c>
      <c r="BP170" s="22">
        <f>Constants!$H77*'Activity data'!BP19*Constants!$H95*EF!$H220*MMVolatEF*NtoN2O*kgtoGg</f>
        <v>0.15307359883421931</v>
      </c>
    </row>
    <row r="171" spans="1:68" x14ac:dyDescent="0.25">
      <c r="A171" t="str">
        <f t="shared" si="58"/>
        <v>3C Aggregated and non-CO2 emissions on land</v>
      </c>
      <c r="B171" t="str">
        <f t="shared" si="62"/>
        <v>3C6 Indirect N2O from manure management (N2O)</v>
      </c>
      <c r="C171" t="str">
        <f t="shared" si="63"/>
        <v>Volatilisation</v>
      </c>
      <c r="D171" t="str">
        <f>'Activity data'!D81</f>
        <v xml:space="preserve"> - Commercial broilers</v>
      </c>
      <c r="E171" t="str">
        <f t="shared" si="61"/>
        <v>Volatilisation - Commercial broilers</v>
      </c>
      <c r="F171" t="str">
        <f t="shared" si="47"/>
        <v>N2O</v>
      </c>
      <c r="G171" t="str">
        <f t="shared" si="48"/>
        <v>Gg N2O</v>
      </c>
      <c r="H171" s="22">
        <f>Constants!$H78*'Activity data'!H20*Constants!$H96*EF!$H221*MMVolatEF*NtoN2O*kgtoGg</f>
        <v>0.13300481081505974</v>
      </c>
      <c r="I171" s="22">
        <f>Constants!$H78*'Activity data'!I20*Constants!$H96*EF!$H221*MMVolatEF*NtoN2O*kgtoGg</f>
        <v>0.12502452232752509</v>
      </c>
      <c r="J171" s="22">
        <f>Constants!$H78*'Activity data'!J20*Constants!$H96*EF!$H221*MMVolatEF*NtoN2O*kgtoGg</f>
        <v>0.11815711721981632</v>
      </c>
      <c r="K171" s="22">
        <f>Constants!$H78*'Activity data'!K20*Constants!$H96*EF!$H221*MMVolatEF*NtoN2O*kgtoGg</f>
        <v>0.13288475431749616</v>
      </c>
      <c r="L171" s="22">
        <f>Constants!$H78*'Activity data'!L20*Constants!$H96*EF!$H221*MMVolatEF*NtoN2O*kgtoGg</f>
        <v>0.13163846288812139</v>
      </c>
      <c r="M171" s="22">
        <f>Constants!$H78*'Activity data'!M20*Constants!$H96*EF!$H221*MMVolatEF*NtoN2O*kgtoGg</f>
        <v>0.15067946452756478</v>
      </c>
      <c r="N171" s="22">
        <f>Constants!$H78*'Activity data'!N20*Constants!$H96*EF!$H221*MMVolatEF*NtoN2O*kgtoGg</f>
        <v>0.17520137856774748</v>
      </c>
      <c r="O171" s="22">
        <f>Constants!$H78*'Activity data'!O20*Constants!$H96*EF!$H221*MMVolatEF*NtoN2O*kgtoGg</f>
        <v>0.17833497655174868</v>
      </c>
      <c r="P171" s="22">
        <f>Constants!$H78*'Activity data'!P20*Constants!$H96*EF!$H221*MMVolatEF*NtoN2O*kgtoGg</f>
        <v>0.19540750250200264</v>
      </c>
      <c r="Q171" s="22">
        <f>Constants!$H78*'Activity data'!Q20*Constants!$H96*EF!$H221*MMVolatEF*NtoN2O*kgtoGg</f>
        <v>0.20400324067875486</v>
      </c>
      <c r="R171" s="22">
        <f>Constants!$H78*'Activity data'!R20*Constants!$H96*EF!$H221*MMVolatEF*NtoN2O*kgtoGg</f>
        <v>0.2194924541960066</v>
      </c>
      <c r="S171" s="22">
        <f>Constants!$H78*'Activity data'!S20*Constants!$H96*EF!$H221*MMVolatEF*NtoN2O*kgtoGg</f>
        <v>0.21194302789750966</v>
      </c>
      <c r="T171" s="22">
        <f>Constants!$H78*'Activity data'!T20*Constants!$H96*EF!$H221*MMVolatEF*NtoN2O*kgtoGg</f>
        <v>0.23490162161460634</v>
      </c>
      <c r="U171" s="22">
        <f>Constants!$H78*'Activity data'!U20*Constants!$H96*EF!$H221*MMVolatEF*NtoN2O*kgtoGg</f>
        <v>0.22342690340629309</v>
      </c>
      <c r="V171" s="22">
        <f>Constants!$H78*'Activity data'!V20*Constants!$H96*EF!$H221*MMVolatEF*NtoN2O*kgtoGg</f>
        <v>0.22882062376153647</v>
      </c>
      <c r="W171" s="22">
        <f>Constants!$H78*'Activity data'!W20*Constants!$H96*EF!$H221*MMVolatEF*NtoN2O*kgtoGg</f>
        <v>0.25318423090083292</v>
      </c>
      <c r="X171" s="22">
        <f>Constants!$H78*'Activity data'!X20*Constants!$H96*EF!$H221*MMVolatEF*NtoN2O*kgtoGg</f>
        <v>0.27080419841374809</v>
      </c>
      <c r="Y171" s="22">
        <f>Constants!$H78*'Activity data'!Y20*Constants!$H96*EF!$H221*MMVolatEF*NtoN2O*kgtoGg</f>
        <v>0.28333542117093263</v>
      </c>
      <c r="Z171" s="22">
        <f>Constants!$H78*'Activity data'!Z20*Constants!$H96*EF!$H221*MMVolatEF*NtoN2O*kgtoGg</f>
        <v>0.30167528975381169</v>
      </c>
      <c r="AA171" s="22">
        <f>Constants!$H78*'Activity data'!AA20*Constants!$H96*EF!$H221*MMVolatEF*NtoN2O*kgtoGg</f>
        <v>0.28466366211683397</v>
      </c>
      <c r="AB171" s="22">
        <f>Constants!$H78*'Activity data'!AB20*Constants!$H96*EF!$H221*MMVolatEF*NtoN2O*kgtoGg</f>
        <v>0.29182318020337894</v>
      </c>
      <c r="AC171" s="22">
        <f>Constants!$H78*'Activity data'!AC20*Constants!$H96*EF!$H221*MMVolatEF*NtoN2O*kgtoGg</f>
        <v>0.30182167573697893</v>
      </c>
      <c r="AD171" s="22">
        <f>Constants!$H78*'Activity data'!AD20*Constants!$H96*EF!$H221*MMVolatEF*NtoN2O*kgtoGg</f>
        <v>0.31050611651418231</v>
      </c>
      <c r="AE171" s="22">
        <f>Constants!$H78*'Activity data'!AE20*Constants!$H96*EF!$H221*MMVolatEF*NtoN2O*kgtoGg</f>
        <v>0.31705597515267392</v>
      </c>
      <c r="AF171" s="22">
        <f>Constants!$H78*'Activity data'!AF20*Constants!$H96*EF!$H221*MMVolatEF*NtoN2O*kgtoGg</f>
        <v>0.32023878593565197</v>
      </c>
      <c r="AG171" s="22">
        <f>Constants!$H78*'Activity data'!AG20*Constants!$H96*EF!$H221*MMVolatEF*NtoN2O*kgtoGg</f>
        <v>0.32089237004204652</v>
      </c>
      <c r="AH171" s="22">
        <f>Constants!$H78*'Activity data'!AH20*Constants!$H96*EF!$H221*MMVolatEF*NtoN2O*kgtoGg</f>
        <v>0.31888941558638023</v>
      </c>
      <c r="AI171" s="22">
        <f>Constants!$H78*'Activity data'!AI20*Constants!$H96*EF!$H221*MMVolatEF*NtoN2O*kgtoGg</f>
        <v>0.32023151321245225</v>
      </c>
      <c r="AJ171" s="22">
        <f>Constants!$H78*'Activity data'!AJ20*Constants!$H96*EF!$H221*MMVolatEF*NtoN2O*kgtoGg</f>
        <v>0.32091310729028349</v>
      </c>
      <c r="AK171" s="22">
        <f>Constants!$H78*'Activity data'!AK20*Constants!$H96*EF!$H221*MMVolatEF*NtoN2O*kgtoGg</f>
        <v>0.32137298875961245</v>
      </c>
      <c r="AL171" s="22">
        <f>Constants!$H78*'Activity data'!AL20*Constants!$H96*EF!$H221*MMVolatEF*NtoN2O*kgtoGg</f>
        <v>0.26931170642323576</v>
      </c>
      <c r="AM171" s="22">
        <f>Constants!$H78*'Activity data'!AM20*Constants!$H96*EF!$H221*MMVolatEF*NtoN2O*kgtoGg</f>
        <v>0.27808028349726022</v>
      </c>
      <c r="AN171" s="22">
        <f>Constants!$H78*'Activity data'!AN20*Constants!$H96*EF!$H221*MMVolatEF*NtoN2O*kgtoGg</f>
        <v>0.28616430834153977</v>
      </c>
      <c r="AO171" s="22">
        <f>Constants!$H78*'Activity data'!AO20*Constants!$H96*EF!$H221*MMVolatEF*NtoN2O*kgtoGg</f>
        <v>0.29448804428938802</v>
      </c>
      <c r="AP171" s="22">
        <f>Constants!$H78*'Activity data'!AP20*Constants!$H96*EF!$H221*MMVolatEF*NtoN2O*kgtoGg</f>
        <v>0.30371634745829862</v>
      </c>
      <c r="AQ171" s="22">
        <f>Constants!$H78*'Activity data'!AQ20*Constants!$H96*EF!$H221*MMVolatEF*NtoN2O*kgtoGg</f>
        <v>0.31431805210733016</v>
      </c>
      <c r="AR171" s="22">
        <f>Constants!$H78*'Activity data'!AR20*Constants!$H96*EF!$H221*MMVolatEF*NtoN2O*kgtoGg</f>
        <v>0.32583937394345119</v>
      </c>
      <c r="AS171" s="22">
        <f>Constants!$H78*'Activity data'!AS20*Constants!$H96*EF!$H221*MMVolatEF*NtoN2O*kgtoGg</f>
        <v>0.33827359155368159</v>
      </c>
      <c r="AT171" s="22">
        <f>Constants!$H78*'Activity data'!AT20*Constants!$H96*EF!$H221*MMVolatEF*NtoN2O*kgtoGg</f>
        <v>0.35172597059287547</v>
      </c>
      <c r="AU171" s="22">
        <f>Constants!$H78*'Activity data'!AU20*Constants!$H96*EF!$H221*MMVolatEF*NtoN2O*kgtoGg</f>
        <v>0.36718859106525387</v>
      </c>
      <c r="AV171" s="22">
        <f>Constants!$H78*'Activity data'!AV20*Constants!$H96*EF!$H221*MMVolatEF*NtoN2O*kgtoGg</f>
        <v>0.38246013301227211</v>
      </c>
      <c r="AW171" s="22">
        <f>Constants!$H78*'Activity data'!AW20*Constants!$H96*EF!$H221*MMVolatEF*NtoN2O*kgtoGg</f>
        <v>0.40108868668187936</v>
      </c>
      <c r="AX171" s="22">
        <f>Constants!$H78*'Activity data'!AX20*Constants!$H96*EF!$H221*MMVolatEF*NtoN2O*kgtoGg</f>
        <v>0.4203981300348778</v>
      </c>
      <c r="AY171" s="22">
        <f>Constants!$H78*'Activity data'!AY20*Constants!$H96*EF!$H221*MMVolatEF*NtoN2O*kgtoGg</f>
        <v>0.44029162474945588</v>
      </c>
      <c r="AZ171" s="22">
        <f>Constants!$H78*'Activity data'!AZ20*Constants!$H96*EF!$H221*MMVolatEF*NtoN2O*kgtoGg</f>
        <v>0.46066639408508853</v>
      </c>
      <c r="BA171" s="22">
        <f>Constants!$H78*'Activity data'!BA20*Constants!$H96*EF!$H221*MMVolatEF*NtoN2O*kgtoGg</f>
        <v>0.47929893612937119</v>
      </c>
      <c r="BB171" s="22">
        <f>Constants!$H78*'Activity data'!BB20*Constants!$H96*EF!$H221*MMVolatEF*NtoN2O*kgtoGg</f>
        <v>0.49910620545046036</v>
      </c>
      <c r="BC171" s="22">
        <f>Constants!$H78*'Activity data'!BC20*Constants!$H96*EF!$H221*MMVolatEF*NtoN2O*kgtoGg</f>
        <v>0.52040611730275699</v>
      </c>
      <c r="BD171" s="22">
        <f>Constants!$H78*'Activity data'!BD20*Constants!$H96*EF!$H221*MMVolatEF*NtoN2O*kgtoGg</f>
        <v>0.54275140576094816</v>
      </c>
      <c r="BE171" s="22">
        <f>Constants!$H78*'Activity data'!BE20*Constants!$H96*EF!$H221*MMVolatEF*NtoN2O*kgtoGg</f>
        <v>0.56450943672939935</v>
      </c>
      <c r="BF171" s="22">
        <f>Constants!$H78*'Activity data'!BF20*Constants!$H96*EF!$H221*MMVolatEF*NtoN2O*kgtoGg</f>
        <v>0.58657766968775815</v>
      </c>
      <c r="BG171" s="22">
        <f>Constants!$H78*'Activity data'!BG20*Constants!$H96*EF!$H221*MMVolatEF*NtoN2O*kgtoGg</f>
        <v>0.60978363935514801</v>
      </c>
      <c r="BH171" s="22">
        <f>Constants!$H78*'Activity data'!BH20*Constants!$H96*EF!$H221*MMVolatEF*NtoN2O*kgtoGg</f>
        <v>0.63416185915638001</v>
      </c>
      <c r="BI171" s="22">
        <f>Constants!$H78*'Activity data'!BI20*Constants!$H96*EF!$H221*MMVolatEF*NtoN2O*kgtoGg</f>
        <v>0.66001277633672961</v>
      </c>
      <c r="BJ171" s="22">
        <f>Constants!$H78*'Activity data'!BJ20*Constants!$H96*EF!$H221*MMVolatEF*NtoN2O*kgtoGg</f>
        <v>0.68721745067081996</v>
      </c>
      <c r="BK171" s="22">
        <f>Constants!$H78*'Activity data'!BK20*Constants!$H96*EF!$H221*MMVolatEF*NtoN2O*kgtoGg</f>
        <v>0.71640982787392349</v>
      </c>
      <c r="BL171" s="22">
        <f>Constants!$H78*'Activity data'!BL20*Constants!$H96*EF!$H221*MMVolatEF*NtoN2O*kgtoGg</f>
        <v>0.74752470416980976</v>
      </c>
      <c r="BM171" s="22">
        <f>Constants!$H78*'Activity data'!BM20*Constants!$H96*EF!$H221*MMVolatEF*NtoN2O*kgtoGg</f>
        <v>0.77999808334820309</v>
      </c>
      <c r="BN171" s="22">
        <f>Constants!$H78*'Activity data'!BN20*Constants!$H96*EF!$H221*MMVolatEF*NtoN2O*kgtoGg</f>
        <v>0.81223405231975054</v>
      </c>
      <c r="BO171" s="22">
        <f>Constants!$H78*'Activity data'!BO20*Constants!$H96*EF!$H221*MMVolatEF*NtoN2O*kgtoGg</f>
        <v>0.84596609282192281</v>
      </c>
      <c r="BP171" s="22">
        <f>Constants!$H78*'Activity data'!BP20*Constants!$H96*EF!$H221*MMVolatEF*NtoN2O*kgtoGg</f>
        <v>0.88159279365916743</v>
      </c>
    </row>
    <row r="172" spans="1:68" x14ac:dyDescent="0.25">
      <c r="A172" t="str">
        <f t="shared" si="58"/>
        <v>3C Aggregated and non-CO2 emissions on land</v>
      </c>
      <c r="B172" t="str">
        <f>B171</f>
        <v>3C6 Indirect N2O from manure management (N2O)</v>
      </c>
      <c r="C172" t="str">
        <f>'IPCC Categories'!C81</f>
        <v>Leaching/runoff</v>
      </c>
      <c r="D172" t="str">
        <f>D156</f>
        <v xml:space="preserve"> - TMR</v>
      </c>
      <c r="E172" t="str">
        <f t="shared" ref="E172:E187" si="64">C172&amp;D172</f>
        <v>Leaching/runoff - TMR</v>
      </c>
      <c r="F172" t="str">
        <f t="shared" si="47"/>
        <v>N2O</v>
      </c>
      <c r="G172" t="str">
        <f t="shared" si="48"/>
        <v>Gg N2O</v>
      </c>
      <c r="H172" s="22">
        <f>Constants!$H63*'Activity data'!H5*Constants!$H81*FracLEACHMM*MMLeachEF*NtoN2O*kgtoGg</f>
        <v>7.3742305268764158E-2</v>
      </c>
      <c r="I172" s="22">
        <f>Constants!$H63*'Activity data'!I5*Constants!$H81*FracLEACHMM*MMLeachEF*NtoN2O*kgtoGg</f>
        <v>8.4896547684682147E-2</v>
      </c>
      <c r="J172" s="22">
        <f>Constants!$H63*'Activity data'!J5*Constants!$H81*FracLEACHMM*MMLeachEF*NtoN2O*kgtoGg</f>
        <v>7.3446498482406364E-2</v>
      </c>
      <c r="K172" s="22">
        <f>Constants!$H63*'Activity data'!K5*Constants!$H81*FracLEACHMM*MMLeachEF*NtoN2O*kgtoGg</f>
        <v>7.7896894964800331E-2</v>
      </c>
      <c r="L172" s="22">
        <f>Constants!$H63*'Activity data'!L5*Constants!$H81*FracLEACHMM*MMLeachEF*NtoN2O*kgtoGg</f>
        <v>7.2263271336975257E-2</v>
      </c>
      <c r="M172" s="22">
        <f>Constants!$H63*'Activity data'!M5*Constants!$H81*FracLEACHMM*MMLeachEF*NtoN2O*kgtoGg</f>
        <v>7.7305281392084785E-2</v>
      </c>
      <c r="N172" s="22">
        <f>Constants!$H63*'Activity data'!N5*Constants!$H81*FracLEACHMM*MMLeachEF*NtoN2O*kgtoGg</f>
        <v>7.7601088178442565E-2</v>
      </c>
      <c r="O172" s="22">
        <f>Constants!$H63*'Activity data'!O5*Constants!$H81*FracLEACHMM*MMLeachEF*NtoN2O*kgtoGg</f>
        <v>7.4812527574463092E-2</v>
      </c>
      <c r="P172" s="22">
        <f>Constants!$H63*'Activity data'!P5*Constants!$H81*FracLEACHMM*MMLeachEF*NtoN2O*kgtoGg</f>
        <v>7.3925107215389751E-2</v>
      </c>
      <c r="Q172" s="22">
        <f>Constants!$H63*'Activity data'!Q5*Constants!$H81*FracLEACHMM*MMLeachEF*NtoN2O*kgtoGg</f>
        <v>7.2615580543199124E-2</v>
      </c>
      <c r="R172" s="22">
        <f>Constants!$H63*'Activity data'!R5*Constants!$H81*FracLEACHMM*MMLeachEF*NtoN2O*kgtoGg</f>
        <v>9.3501533863112316E-2</v>
      </c>
      <c r="S172" s="22">
        <f>Constants!$H63*'Activity data'!S5*Constants!$H81*FracLEACHMM*MMLeachEF*NtoN2O*kgtoGg</f>
        <v>9.3205727076754535E-2</v>
      </c>
      <c r="T172" s="22">
        <f>Constants!$H63*'Activity data'!T5*Constants!$H81*FracLEACHMM*MMLeachEF*NtoN2O*kgtoGg</f>
        <v>8.127706914149542E-2</v>
      </c>
      <c r="U172" s="22">
        <f>Constants!$H63*'Activity data'!U5*Constants!$H81*FracLEACHMM*MMLeachEF*NtoN2O*kgtoGg</f>
        <v>7.3925107215389751E-2</v>
      </c>
      <c r="V172" s="22">
        <f>Constants!$H63*'Activity data'!V5*Constants!$H81*FracLEACHMM*MMLeachEF*NtoN2O*kgtoGg</f>
        <v>7.1375850977901931E-2</v>
      </c>
      <c r="W172" s="22">
        <f>Constants!$H63*'Activity data'!W5*Constants!$H81*FracLEACHMM*MMLeachEF*NtoN2O*kgtoGg</f>
        <v>7.6417861033011458E-2</v>
      </c>
      <c r="X172" s="22">
        <f>Constants!$H63*'Activity data'!X5*Constants!$H81*FracLEACHMM*MMLeachEF*NtoN2O*kgtoGg</f>
        <v>7.4756025154596978E-2</v>
      </c>
      <c r="Y172" s="22">
        <f>Constants!$H63*'Activity data'!Y5*Constants!$H81*FracLEACHMM*MMLeachEF*NtoN2O*kgtoGg</f>
        <v>7.4220914001747532E-2</v>
      </c>
      <c r="Z172" s="22">
        <f>Constants!$H63*'Activity data'!Z5*Constants!$H81*FracLEACHMM*MMLeachEF*NtoN2O*kgtoGg</f>
        <v>9.0895775205758408E-2</v>
      </c>
      <c r="AA172" s="22">
        <f>Constants!$H63*'Activity data'!AA5*Constants!$H81*FracLEACHMM*MMLeachEF*NtoN2O*kgtoGg</f>
        <v>9.3149224656888435E-2</v>
      </c>
      <c r="AB172" s="22">
        <f>Constants!$H63*'Activity data'!AB5*Constants!$H81*FracLEACHMM*MMLeachEF*NtoN2O*kgtoGg</f>
        <v>9.3149224656888435E-2</v>
      </c>
      <c r="AC172" s="22">
        <f>Constants!$H63*'Activity data'!AC5*Constants!$H81*FracLEACHMM*MMLeachEF*NtoN2O*kgtoGg</f>
        <v>8.9769050480193388E-2</v>
      </c>
      <c r="AD172" s="22">
        <f>Constants!$H63*'Activity data'!AD5*Constants!$H81*FracLEACHMM*MMLeachEF*NtoN2O*kgtoGg</f>
        <v>8.9216281415747306E-2</v>
      </c>
      <c r="AE172" s="22">
        <f>Constants!$H63*'Activity data'!AE5*Constants!$H81*FracLEACHMM*MMLeachEF*NtoN2O*kgtoGg</f>
        <v>8.9871605223591083E-2</v>
      </c>
      <c r="AF172" s="22">
        <f>Constants!$H63*'Activity data'!AF5*Constants!$H81*FracLEACHMM*MMLeachEF*NtoN2O*kgtoGg</f>
        <v>9.0362518507354911E-2</v>
      </c>
      <c r="AG172" s="22">
        <f>Constants!$H63*'Activity data'!AG5*Constants!$H81*FracLEACHMM*MMLeachEF*NtoN2O*kgtoGg</f>
        <v>9.073757517704073E-2</v>
      </c>
      <c r="AH172" s="22">
        <f>Constants!$H63*'Activity data'!AH5*Constants!$H81*FracLEACHMM*MMLeachEF*NtoN2O*kgtoGg</f>
        <v>9.0984634423290661E-2</v>
      </c>
      <c r="AI172" s="22">
        <f>Constants!$H63*'Activity data'!AI5*Constants!$H81*FracLEACHMM*MMLeachEF*NtoN2O*kgtoGg</f>
        <v>9.1489702736043052E-2</v>
      </c>
      <c r="AJ172" s="22">
        <f>Constants!$H63*'Activity data'!AJ5*Constants!$H81*FracLEACHMM*MMLeachEF*NtoN2O*kgtoGg</f>
        <v>9.1973834481135705E-2</v>
      </c>
      <c r="AK172" s="22">
        <f>Constants!$H63*'Activity data'!AK5*Constants!$H81*FracLEACHMM*MMLeachEF*NtoN2O*kgtoGg</f>
        <v>9.2466188231933116E-2</v>
      </c>
      <c r="AL172" s="22">
        <f>Constants!$H63*'Activity data'!AL5*Constants!$H81*FracLEACHMM*MMLeachEF*NtoN2O*kgtoGg</f>
        <v>8.9532304608824137E-2</v>
      </c>
      <c r="AM172" s="22">
        <f>Constants!$H63*'Activity data'!AM5*Constants!$H81*FracLEACHMM*MMLeachEF*NtoN2O*kgtoGg</f>
        <v>9.0356625657996334E-2</v>
      </c>
      <c r="AN172" s="22">
        <f>Constants!$H63*'Activity data'!AN5*Constants!$H81*FracLEACHMM*MMLeachEF*NtoN2O*kgtoGg</f>
        <v>9.1155663409993218E-2</v>
      </c>
      <c r="AO172" s="22">
        <f>Constants!$H63*'Activity data'!AO5*Constants!$H81*FracLEACHMM*MMLeachEF*NtoN2O*kgtoGg</f>
        <v>9.1989250864524127E-2</v>
      </c>
      <c r="AP172" s="22">
        <f>Constants!$H63*'Activity data'!AP5*Constants!$H81*FracLEACHMM*MMLeachEF*NtoN2O*kgtoGg</f>
        <v>9.2900922341898826E-2</v>
      </c>
      <c r="AQ172" s="22">
        <f>Constants!$H63*'Activity data'!AQ5*Constants!$H81*FracLEACHMM*MMLeachEF*NtoN2O*kgtoGg</f>
        <v>9.3921801346518091E-2</v>
      </c>
      <c r="AR172" s="22">
        <f>Constants!$H63*'Activity data'!AR5*Constants!$H81*FracLEACHMM*MMLeachEF*NtoN2O*kgtoGg</f>
        <v>9.4931237542116534E-2</v>
      </c>
      <c r="AS172" s="22">
        <f>Constants!$H63*'Activity data'!AS5*Constants!$H81*FracLEACHMM*MMLeachEF*NtoN2O*kgtoGg</f>
        <v>9.6018094370954377E-2</v>
      </c>
      <c r="AT172" s="22">
        <f>Constants!$H63*'Activity data'!AT5*Constants!$H81*FracLEACHMM*MMLeachEF*NtoN2O*kgtoGg</f>
        <v>9.7189404615768638E-2</v>
      </c>
      <c r="AU172" s="22">
        <f>Constants!$H63*'Activity data'!AU5*Constants!$H81*FracLEACHMM*MMLeachEF*NtoN2O*kgtoGg</f>
        <v>9.8512307850410333E-2</v>
      </c>
      <c r="AV172" s="22">
        <f>Constants!$H63*'Activity data'!AV5*Constants!$H81*FracLEACHMM*MMLeachEF*NtoN2O*kgtoGg</f>
        <v>9.9838161723940513E-2</v>
      </c>
      <c r="AW172" s="22">
        <f>Constants!$H63*'Activity data'!AW5*Constants!$H81*FracLEACHMM*MMLeachEF*NtoN2O*kgtoGg</f>
        <v>0.10133471099659244</v>
      </c>
      <c r="AX172" s="22">
        <f>Constants!$H63*'Activity data'!AX5*Constants!$H81*FracLEACHMM*MMLeachEF*NtoN2O*kgtoGg</f>
        <v>0.10289318545968082</v>
      </c>
      <c r="AY172" s="22">
        <f>Constants!$H63*'Activity data'!AY5*Constants!$H81*FracLEACHMM*MMLeachEF*NtoN2O*kgtoGg</f>
        <v>0.10450688079597535</v>
      </c>
      <c r="AZ172" s="22">
        <f>Constants!$H63*'Activity data'!AZ5*Constants!$H81*FracLEACHMM*MMLeachEF*NtoN2O*kgtoGg</f>
        <v>0.10616863992405305</v>
      </c>
      <c r="BA172" s="22">
        <f>Constants!$H63*'Activity data'!BA5*Constants!$H81*FracLEACHMM*MMLeachEF*NtoN2O*kgtoGg</f>
        <v>0.10772535838463405</v>
      </c>
      <c r="BB172" s="22">
        <f>Constants!$H63*'Activity data'!BB5*Constants!$H81*FracLEACHMM*MMLeachEF*NtoN2O*kgtoGg</f>
        <v>0.10930788339728366</v>
      </c>
      <c r="BC172" s="22">
        <f>Constants!$H63*'Activity data'!BC5*Constants!$H81*FracLEACHMM*MMLeachEF*NtoN2O*kgtoGg</f>
        <v>0.11100696148474953</v>
      </c>
      <c r="BD172" s="22">
        <f>Constants!$H63*'Activity data'!BD5*Constants!$H81*FracLEACHMM*MMLeachEF*NtoN2O*kgtoGg</f>
        <v>0.11279204505448184</v>
      </c>
      <c r="BE172" s="22">
        <f>Constants!$H63*'Activity data'!BE5*Constants!$H81*FracLEACHMM*MMLeachEF*NtoN2O*kgtoGg</f>
        <v>0.11454986466404554</v>
      </c>
      <c r="BF172" s="22">
        <f>Constants!$H63*'Activity data'!BF5*Constants!$H81*FracLEACHMM*MMLeachEF*NtoN2O*kgtoGg</f>
        <v>0.11634235202305529</v>
      </c>
      <c r="BG172" s="22">
        <f>Constants!$H63*'Activity data'!BG5*Constants!$H81*FracLEACHMM*MMLeachEF*NtoN2O*kgtoGg</f>
        <v>0.11816287293708039</v>
      </c>
      <c r="BH172" s="22">
        <f>Constants!$H63*'Activity data'!BH5*Constants!$H81*FracLEACHMM*MMLeachEF*NtoN2O*kgtoGg</f>
        <v>0.12007807120957183</v>
      </c>
      <c r="BI172" s="22">
        <f>Constants!$H63*'Activity data'!BI5*Constants!$H81*FracLEACHMM*MMLeachEF*NtoN2O*kgtoGg</f>
        <v>0.12210937172118165</v>
      </c>
      <c r="BJ172" s="22">
        <f>Constants!$H63*'Activity data'!BJ5*Constants!$H81*FracLEACHMM*MMLeachEF*NtoN2O*kgtoGg</f>
        <v>0.1242488889671924</v>
      </c>
      <c r="BK172" s="22">
        <f>Constants!$H63*'Activity data'!BK5*Constants!$H81*FracLEACHMM*MMLeachEF*NtoN2O*kgtoGg</f>
        <v>0.12654177515740486</v>
      </c>
      <c r="BL172" s="22">
        <f>Constants!$H63*'Activity data'!BL5*Constants!$H81*FracLEACHMM*MMLeachEF*NtoN2O*kgtoGg</f>
        <v>0.12891913669482455</v>
      </c>
      <c r="BM172" s="22">
        <f>Constants!$H63*'Activity data'!BM5*Constants!$H81*FracLEACHMM*MMLeachEF*NtoN2O*kgtoGg</f>
        <v>0.13140640425772929</v>
      </c>
      <c r="BN172" s="22">
        <f>Constants!$H63*'Activity data'!BN5*Constants!$H81*FracLEACHMM*MMLeachEF*NtoN2O*kgtoGg</f>
        <v>0.13389061850467845</v>
      </c>
      <c r="BO172" s="22">
        <f>Constants!$H63*'Activity data'!BO5*Constants!$H81*FracLEACHMM*MMLeachEF*NtoN2O*kgtoGg</f>
        <v>0.13649485606749107</v>
      </c>
      <c r="BP172" s="22">
        <f>Constants!$H63*'Activity data'!BP5*Constants!$H81*FracLEACHMM*MMLeachEF*NtoN2O*kgtoGg</f>
        <v>0.13924805338084204</v>
      </c>
    </row>
    <row r="173" spans="1:68" x14ac:dyDescent="0.25">
      <c r="A173" t="str">
        <f t="shared" si="58"/>
        <v>3C Aggregated and non-CO2 emissions on land</v>
      </c>
      <c r="B173" t="str">
        <f t="shared" ref="B173:B184" si="65">B172</f>
        <v>3C6 Indirect N2O from manure management (N2O)</v>
      </c>
      <c r="C173" t="str">
        <f>C172</f>
        <v>Leaching/runoff</v>
      </c>
      <c r="D173" t="str">
        <f t="shared" ref="D173:D186" si="66">D157</f>
        <v xml:space="preserve"> - Pasture</v>
      </c>
      <c r="E173" t="str">
        <f t="shared" si="64"/>
        <v>Leaching/runoff - Pasture</v>
      </c>
      <c r="F173" t="str">
        <f t="shared" si="47"/>
        <v>N2O</v>
      </c>
      <c r="G173" t="str">
        <f t="shared" si="48"/>
        <v>Gg N2O</v>
      </c>
      <c r="H173" s="22">
        <f>Constants!$H64*'Activity data'!H6*Constants!$H82*FracLEACHMM*MMLeachEF*NtoN2O*kgtoGg</f>
        <v>2.2025932152541016E-2</v>
      </c>
      <c r="I173" s="22">
        <f>Constants!$H64*'Activity data'!I6*Constants!$H82*FracLEACHMM*MMLeachEF*NtoN2O*kgtoGg</f>
        <v>2.5357569070733093E-2</v>
      </c>
      <c r="J173" s="22">
        <f>Constants!$H64*'Activity data'!J6*Constants!$H82*FracLEACHMM*MMLeachEF*NtoN2O*kgtoGg</f>
        <v>2.1937578253339852E-2</v>
      </c>
      <c r="K173" s="22">
        <f>Constants!$H64*'Activity data'!K6*Constants!$H82*FracLEACHMM*MMLeachEF*NtoN2O*kgtoGg</f>
        <v>2.3266857703119107E-2</v>
      </c>
      <c r="L173" s="22">
        <f>Constants!$H64*'Activity data'!L6*Constants!$H82*FracLEACHMM*MMLeachEF*NtoN2O*kgtoGg</f>
        <v>2.1584162656535212E-2</v>
      </c>
      <c r="M173" s="22">
        <f>Constants!$H64*'Activity data'!M6*Constants!$H82*FracLEACHMM*MMLeachEF*NtoN2O*kgtoGg</f>
        <v>2.3090149904716788E-2</v>
      </c>
      <c r="N173" s="22">
        <f>Constants!$H64*'Activity data'!N6*Constants!$H82*FracLEACHMM*MMLeachEF*NtoN2O*kgtoGg</f>
        <v>2.3178503803917949E-2</v>
      </c>
      <c r="O173" s="22">
        <f>Constants!$H64*'Activity data'!O6*Constants!$H82*FracLEACHMM*MMLeachEF*NtoN2O*kgtoGg</f>
        <v>2.234559457436993E-2</v>
      </c>
      <c r="P173" s="22">
        <f>Constants!$H64*'Activity data'!P6*Constants!$H82*FracLEACHMM*MMLeachEF*NtoN2O*kgtoGg</f>
        <v>2.2080532876766451E-2</v>
      </c>
      <c r="Q173" s="22">
        <f>Constants!$H64*'Activity data'!Q6*Constants!$H82*FracLEACHMM*MMLeachEF*NtoN2O*kgtoGg</f>
        <v>2.1689393143224225E-2</v>
      </c>
      <c r="R173" s="22">
        <f>Constants!$H64*'Activity data'!R6*Constants!$H82*FracLEACHMM*MMLeachEF*NtoN2O*kgtoGg</f>
        <v>2.7927774071090448E-2</v>
      </c>
      <c r="S173" s="22">
        <f>Constants!$H64*'Activity data'!S6*Constants!$H82*FracLEACHMM*MMLeachEF*NtoN2O*kgtoGg</f>
        <v>2.7839420171889291E-2</v>
      </c>
      <c r="T173" s="22">
        <f>Constants!$H64*'Activity data'!T6*Constants!$H82*FracLEACHMM*MMLeachEF*NtoN2O*kgtoGg</f>
        <v>2.4276474731069451E-2</v>
      </c>
      <c r="U173" s="22">
        <f>Constants!$H64*'Activity data'!U6*Constants!$H82*FracLEACHMM*MMLeachEF*NtoN2O*kgtoGg</f>
        <v>2.2080532876766451E-2</v>
      </c>
      <c r="V173" s="22">
        <f>Constants!$H64*'Activity data'!V6*Constants!$H82*FracLEACHMM*MMLeachEF*NtoN2O*kgtoGg</f>
        <v>2.1319100958931726E-2</v>
      </c>
      <c r="W173" s="22">
        <f>Constants!$H64*'Activity data'!W6*Constants!$H82*FracLEACHMM*MMLeachEF*NtoN2O*kgtoGg</f>
        <v>2.2825088207113309E-2</v>
      </c>
      <c r="X173" s="22">
        <f>Constants!$H64*'Activity data'!X6*Constants!$H82*FracLEACHMM*MMLeachEF*NtoN2O*kgtoGg</f>
        <v>2.2328717986882064E-2</v>
      </c>
      <c r="Y173" s="22">
        <f>Constants!$H64*'Activity data'!Y6*Constants!$H82*FracLEACHMM*MMLeachEF*NtoN2O*kgtoGg</f>
        <v>2.2168886775967608E-2</v>
      </c>
      <c r="Z173" s="22">
        <f>Constants!$H64*'Activity data'!Z6*Constants!$H82*FracLEACHMM*MMLeachEF*NtoN2O*kgtoGg</f>
        <v>2.7149465565767861E-2</v>
      </c>
      <c r="AA173" s="22">
        <f>Constants!$H64*'Activity data'!AA6*Constants!$H82*FracLEACHMM*MMLeachEF*NtoN2O*kgtoGg</f>
        <v>2.7822543584401425E-2</v>
      </c>
      <c r="AB173" s="22">
        <f>Constants!$H64*'Activity data'!AB6*Constants!$H82*FracLEACHMM*MMLeachEF*NtoN2O*kgtoGg</f>
        <v>2.7822543584401425E-2</v>
      </c>
      <c r="AC173" s="22">
        <f>Constants!$H64*'Activity data'!AC6*Constants!$H82*FracLEACHMM*MMLeachEF*NtoN2O*kgtoGg</f>
        <v>2.681292655645108E-2</v>
      </c>
      <c r="AD173" s="22">
        <f>Constants!$H64*'Activity data'!AD6*Constants!$H82*FracLEACHMM*MMLeachEF*NtoN2O*kgtoGg</f>
        <v>2.6941053568141107E-2</v>
      </c>
      <c r="AE173" s="22">
        <f>Constants!$H64*'Activity data'!AE6*Constants!$H82*FracLEACHMM*MMLeachEF*NtoN2O*kgtoGg</f>
        <v>2.7138944732527627E-2</v>
      </c>
      <c r="AF173" s="22">
        <f>Constants!$H64*'Activity data'!AF6*Constants!$H82*FracLEACHMM*MMLeachEF*NtoN2O*kgtoGg</f>
        <v>2.7287188089741343E-2</v>
      </c>
      <c r="AG173" s="22">
        <f>Constants!$H64*'Activity data'!AG6*Constants!$H82*FracLEACHMM*MMLeachEF*NtoN2O*kgtoGg</f>
        <v>2.7400445688788848E-2</v>
      </c>
      <c r="AH173" s="22">
        <f>Constants!$H64*'Activity data'!AH6*Constants!$H82*FracLEACHMM*MMLeachEF*NtoN2O*kgtoGg</f>
        <v>2.747505131325672E-2</v>
      </c>
      <c r="AI173" s="22">
        <f>Constants!$H64*'Activity data'!AI6*Constants!$H82*FracLEACHMM*MMLeachEF*NtoN2O*kgtoGg</f>
        <v>2.7627569130111513E-2</v>
      </c>
      <c r="AJ173" s="22">
        <f>Constants!$H64*'Activity data'!AJ6*Constants!$H82*FracLEACHMM*MMLeachEF*NtoN2O*kgtoGg</f>
        <v>2.7773764634694338E-2</v>
      </c>
      <c r="AK173" s="22">
        <f>Constants!$H64*'Activity data'!AK6*Constants!$H82*FracLEACHMM*MMLeachEF*NtoN2O*kgtoGg</f>
        <v>2.7922442976407513E-2</v>
      </c>
      <c r="AL173" s="22">
        <f>Constants!$H64*'Activity data'!AL6*Constants!$H82*FracLEACHMM*MMLeachEF*NtoN2O*kgtoGg</f>
        <v>2.7036484554933564E-2</v>
      </c>
      <c r="AM173" s="22">
        <f>Constants!$H64*'Activity data'!AM6*Constants!$H82*FracLEACHMM*MMLeachEF*NtoN2O*kgtoGg</f>
        <v>2.728540859873679E-2</v>
      </c>
      <c r="AN173" s="22">
        <f>Constants!$H64*'Activity data'!AN6*Constants!$H82*FracLEACHMM*MMLeachEF*NtoN2O*kgtoGg</f>
        <v>2.7526697728230992E-2</v>
      </c>
      <c r="AO173" s="22">
        <f>Constants!$H64*'Activity data'!AO6*Constants!$H82*FracLEACHMM*MMLeachEF*NtoN2O*kgtoGg</f>
        <v>2.7778419991363597E-2</v>
      </c>
      <c r="AP173" s="22">
        <f>Constants!$H64*'Activity data'!AP6*Constants!$H82*FracLEACHMM*MMLeachEF*NtoN2O*kgtoGg</f>
        <v>2.8053721648401302E-2</v>
      </c>
      <c r="AQ173" s="22">
        <f>Constants!$H64*'Activity data'!AQ6*Constants!$H82*FracLEACHMM*MMLeachEF*NtoN2O*kgtoGg</f>
        <v>2.8362001208069032E-2</v>
      </c>
      <c r="AR173" s="22">
        <f>Constants!$H64*'Activity data'!AR6*Constants!$H82*FracLEACHMM*MMLeachEF*NtoN2O*kgtoGg</f>
        <v>2.8666825329716827E-2</v>
      </c>
      <c r="AS173" s="22">
        <f>Constants!$H64*'Activity data'!AS6*Constants!$H82*FracLEACHMM*MMLeachEF*NtoN2O*kgtoGg</f>
        <v>2.8995028518439426E-2</v>
      </c>
      <c r="AT173" s="22">
        <f>Constants!$H64*'Activity data'!AT6*Constants!$H82*FracLEACHMM*MMLeachEF*NtoN2O*kgtoGg</f>
        <v>2.9348734496201498E-2</v>
      </c>
      <c r="AU173" s="22">
        <f>Constants!$H64*'Activity data'!AU6*Constants!$H82*FracLEACHMM*MMLeachEF*NtoN2O*kgtoGg</f>
        <v>2.9748217710973308E-2</v>
      </c>
      <c r="AV173" s="22">
        <f>Constants!$H64*'Activity data'!AV6*Constants!$H82*FracLEACHMM*MMLeachEF*NtoN2O*kgtoGg</f>
        <v>3.0148591943831644E-2</v>
      </c>
      <c r="AW173" s="22">
        <f>Constants!$H64*'Activity data'!AW6*Constants!$H82*FracLEACHMM*MMLeachEF*NtoN2O*kgtoGg</f>
        <v>3.0600511856677986E-2</v>
      </c>
      <c r="AX173" s="22">
        <f>Constants!$H64*'Activity data'!AX6*Constants!$H82*FracLEACHMM*MMLeachEF*NtoN2O*kgtoGg</f>
        <v>3.1071131605992407E-2</v>
      </c>
      <c r="AY173" s="22">
        <f>Constants!$H64*'Activity data'!AY6*Constants!$H82*FracLEACHMM*MMLeachEF*NtoN2O*kgtoGg</f>
        <v>3.1558426658060072E-2</v>
      </c>
      <c r="AZ173" s="22">
        <f>Constants!$H64*'Activity data'!AZ6*Constants!$H82*FracLEACHMM*MMLeachEF*NtoN2O*kgtoGg</f>
        <v>3.2060235755866598E-2</v>
      </c>
      <c r="BA173" s="22">
        <f>Constants!$H64*'Activity data'!BA6*Constants!$H82*FracLEACHMM*MMLeachEF*NtoN2O*kgtoGg</f>
        <v>3.2530325236973627E-2</v>
      </c>
      <c r="BB173" s="22">
        <f>Constants!$H64*'Activity data'!BB6*Constants!$H82*FracLEACHMM*MMLeachEF*NtoN2O*kgtoGg</f>
        <v>3.3008207642092446E-2</v>
      </c>
      <c r="BC173" s="22">
        <f>Constants!$H64*'Activity data'!BC6*Constants!$H82*FracLEACHMM*MMLeachEF*NtoN2O*kgtoGg</f>
        <v>3.3521286118851218E-2</v>
      </c>
      <c r="BD173" s="22">
        <f>Constants!$H64*'Activity data'!BD6*Constants!$H82*FracLEACHMM*MMLeachEF*NtoN2O*kgtoGg</f>
        <v>3.4060336069293103E-2</v>
      </c>
      <c r="BE173" s="22">
        <f>Constants!$H64*'Activity data'!BE6*Constants!$H82*FracLEACHMM*MMLeachEF*NtoN2O*kgtoGg</f>
        <v>3.4591152995451423E-2</v>
      </c>
      <c r="BF173" s="22">
        <f>Constants!$H64*'Activity data'!BF6*Constants!$H82*FracLEACHMM*MMLeachEF*NtoN2O*kgtoGg</f>
        <v>3.5132438702420762E-2</v>
      </c>
      <c r="BG173" s="22">
        <f>Constants!$H64*'Activity data'!BG6*Constants!$H82*FracLEACHMM*MMLeachEF*NtoN2O*kgtoGg</f>
        <v>3.5682189831792693E-2</v>
      </c>
      <c r="BH173" s="22">
        <f>Constants!$H64*'Activity data'!BH6*Constants!$H82*FracLEACHMM*MMLeachEF*NtoN2O*kgtoGg</f>
        <v>3.6260531121454373E-2</v>
      </c>
      <c r="BI173" s="22">
        <f>Constants!$H64*'Activity data'!BI6*Constants!$H82*FracLEACHMM*MMLeachEF*NtoN2O*kgtoGg</f>
        <v>3.6873932341812951E-2</v>
      </c>
      <c r="BJ173" s="22">
        <f>Constants!$H64*'Activity data'!BJ6*Constants!$H82*FracLEACHMM*MMLeachEF*NtoN2O*kgtoGg</f>
        <v>3.7520012270499184E-2</v>
      </c>
      <c r="BK173" s="22">
        <f>Constants!$H64*'Activity data'!BK6*Constants!$H82*FracLEACHMM*MMLeachEF*NtoN2O*kgtoGg</f>
        <v>3.8212405729360174E-2</v>
      </c>
      <c r="BL173" s="22">
        <f>Constants!$H64*'Activity data'!BL6*Constants!$H82*FracLEACHMM*MMLeachEF*NtoN2O*kgtoGg</f>
        <v>3.8930308599935959E-2</v>
      </c>
      <c r="BM173" s="22">
        <f>Constants!$H64*'Activity data'!BM6*Constants!$H82*FracLEACHMM*MMLeachEF*NtoN2O*kgtoGg</f>
        <v>3.9681400301889463E-2</v>
      </c>
      <c r="BN173" s="22">
        <f>Constants!$H64*'Activity data'!BN6*Constants!$H82*FracLEACHMM*MMLeachEF*NtoN2O*kgtoGg</f>
        <v>4.0431569979887096E-2</v>
      </c>
      <c r="BO173" s="22">
        <f>Constants!$H64*'Activity data'!BO6*Constants!$H82*FracLEACHMM*MMLeachEF*NtoN2O*kgtoGg</f>
        <v>4.1217983654280789E-2</v>
      </c>
      <c r="BP173" s="22">
        <f>Constants!$H64*'Activity data'!BP6*Constants!$H82*FracLEACHMM*MMLeachEF*NtoN2O*kgtoGg</f>
        <v>4.2049379394224269E-2</v>
      </c>
    </row>
    <row r="174" spans="1:68" x14ac:dyDescent="0.25">
      <c r="A174" t="str">
        <f t="shared" si="58"/>
        <v>3C Aggregated and non-CO2 emissions on land</v>
      </c>
      <c r="B174" t="str">
        <f t="shared" si="65"/>
        <v>3C6 Indirect N2O from manure management (N2O)</v>
      </c>
      <c r="C174" t="str">
        <f t="shared" ref="C174:C187" si="67">C173</f>
        <v>Leaching/runoff</v>
      </c>
      <c r="D174" t="str">
        <f t="shared" si="66"/>
        <v xml:space="preserve"> - Non-lactating</v>
      </c>
      <c r="E174" t="str">
        <f t="shared" si="64"/>
        <v>Leaching/runoff - Non-lactating</v>
      </c>
      <c r="F174" t="str">
        <f t="shared" si="47"/>
        <v>N2O</v>
      </c>
      <c r="G174" t="str">
        <f t="shared" si="48"/>
        <v>Gg N2O</v>
      </c>
      <c r="H174" s="22">
        <f>Constants!$H65*'Activity data'!H7*Constants!$H83*FracLEACHMM*MMLeachEF*NtoN2O*kgtoGg</f>
        <v>1.3979514898089494E-3</v>
      </c>
      <c r="I174" s="22">
        <f>Constants!$H65*'Activity data'!I7*Constants!$H83*FracLEACHMM*MMLeachEF*NtoN2O*kgtoGg</f>
        <v>1.5889950208478596E-3</v>
      </c>
      <c r="J174" s="22">
        <f>Constants!$H65*'Activity data'!J7*Constants!$H83*FracLEACHMM*MMLeachEF*NtoN2O*kgtoGg</f>
        <v>1.3744848308576839E-3</v>
      </c>
      <c r="K174" s="22">
        <f>Constants!$H65*'Activity data'!K7*Constants!$H83*FracLEACHMM*MMLeachEF*NtoN2O*kgtoGg</f>
        <v>1.4384418628230538E-3</v>
      </c>
      <c r="L174" s="22">
        <f>Constants!$H65*'Activity data'!L7*Constants!$H83*FracLEACHMM*MMLeachEF*NtoN2O*kgtoGg</f>
        <v>1.280618195052625E-3</v>
      </c>
      <c r="M174" s="22">
        <f>Constants!$H65*'Activity data'!M7*Constants!$H83*FracLEACHMM*MMLeachEF*NtoN2O*kgtoGg</f>
        <v>1.3915085449205237E-3</v>
      </c>
      <c r="N174" s="22">
        <f>Constants!$H65*'Activity data'!N7*Constants!$H83*FracLEACHMM*MMLeachEF*NtoN2O*kgtoGg</f>
        <v>1.4149752038717883E-3</v>
      </c>
      <c r="O174" s="22">
        <f>Constants!$H65*'Activity data'!O7*Constants!$H83*FracLEACHMM*MMLeachEF*NtoN2O*kgtoGg</f>
        <v>1.367214321112061E-3</v>
      </c>
      <c r="P174" s="22">
        <f>Constants!$H65*'Activity data'!P7*Constants!$H83*FracLEACHMM*MMLeachEF*NtoN2O*kgtoGg</f>
        <v>1.2968143442582665E-3</v>
      </c>
      <c r="Q174" s="22">
        <f>Constants!$H65*'Activity data'!Q7*Constants!$H83*FracLEACHMM*MMLeachEF*NtoN2O*kgtoGg</f>
        <v>1.3663867562548632E-3</v>
      </c>
      <c r="R174" s="22">
        <f>Constants!$H65*'Activity data'!R7*Constants!$H83*FracLEACHMM*MMLeachEF*NtoN2O*kgtoGg</f>
        <v>1.6934424258273329E-3</v>
      </c>
      <c r="S174" s="22">
        <f>Constants!$H65*'Activity data'!S7*Constants!$H83*FracLEACHMM*MMLeachEF*NtoN2O*kgtoGg</f>
        <v>1.669975766876068E-3</v>
      </c>
      <c r="T174" s="22">
        <f>Constants!$H65*'Activity data'!T7*Constants!$H83*FracLEACHMM*MMLeachEF*NtoN2O*kgtoGg</f>
        <v>1.5331360634853108E-3</v>
      </c>
      <c r="U174" s="22">
        <f>Constants!$H65*'Activity data'!U7*Constants!$H83*FracLEACHMM*MMLeachEF*NtoN2O*kgtoGg</f>
        <v>1.2968143442582665E-3</v>
      </c>
      <c r="V174" s="22">
        <f>Constants!$H65*'Activity data'!V7*Constants!$H83*FracLEACHMM*MMLeachEF*NtoN2O*kgtoGg</f>
        <v>1.21021821819883E-3</v>
      </c>
      <c r="W174" s="22">
        <f>Constants!$H65*'Activity data'!W7*Constants!$H83*FracLEACHMM*MMLeachEF*NtoN2O*kgtoGg</f>
        <v>1.3211085680667292E-3</v>
      </c>
      <c r="X174" s="22">
        <f>Constants!$H65*'Activity data'!X7*Constants!$H83*FracLEACHMM*MMLeachEF*NtoN2O*kgtoGg</f>
        <v>1.3049124188610874E-3</v>
      </c>
      <c r="Y174" s="22">
        <f>Constants!$H65*'Activity data'!Y7*Constants!$H83*FracLEACHMM*MMLeachEF*NtoN2O*kgtoGg</f>
        <v>1.3202810032095314E-3</v>
      </c>
      <c r="Z174" s="22">
        <f>Constants!$H65*'Activity data'!Z7*Constants!$H83*FracLEACHMM*MMLeachEF*NtoN2O*kgtoGg</f>
        <v>1.5445443975169234E-3</v>
      </c>
      <c r="AA174" s="22">
        <f>Constants!$H65*'Activity data'!AA7*Constants!$H83*FracLEACHMM*MMLeachEF*NtoN2O*kgtoGg</f>
        <v>1.6076738646250944E-3</v>
      </c>
      <c r="AB174" s="22">
        <f>Constants!$H65*'Activity data'!AB7*Constants!$H83*FracLEACHMM*MMLeachEF*NtoN2O*kgtoGg</f>
        <v>1.6076738646250944E-3</v>
      </c>
      <c r="AC174" s="22">
        <f>Constants!$H65*'Activity data'!AC7*Constants!$H83*FracLEACHMM*MMLeachEF*NtoN2O*kgtoGg</f>
        <v>1.5129796639628376E-3</v>
      </c>
      <c r="AD174" s="22">
        <f>Constants!$H65*'Activity data'!AD7*Constants!$H83*FracLEACHMM*MMLeachEF*NtoN2O*kgtoGg</f>
        <v>1.448450669443969E-3</v>
      </c>
      <c r="AE174" s="22">
        <f>Constants!$H65*'Activity data'!AE7*Constants!$H83*FracLEACHMM*MMLeachEF*NtoN2O*kgtoGg</f>
        <v>1.4590900302547006E-3</v>
      </c>
      <c r="AF174" s="22">
        <f>Constants!$H65*'Activity data'!AF7*Constants!$H83*FracLEACHMM*MMLeachEF*NtoN2O*kgtoGg</f>
        <v>1.4670601413512739E-3</v>
      </c>
      <c r="AG174" s="22">
        <f>Constants!$H65*'Activity data'!AG7*Constants!$H83*FracLEACHMM*MMLeachEF*NtoN2O*kgtoGg</f>
        <v>1.4731492887094142E-3</v>
      </c>
      <c r="AH174" s="22">
        <f>Constants!$H65*'Activity data'!AH7*Constants!$H83*FracLEACHMM*MMLeachEF*NtoN2O*kgtoGg</f>
        <v>1.4771603629768505E-3</v>
      </c>
      <c r="AI174" s="22">
        <f>Constants!$H65*'Activity data'!AI7*Constants!$H83*FracLEACHMM*MMLeachEF*NtoN2O*kgtoGg</f>
        <v>1.4853602848309351E-3</v>
      </c>
      <c r="AJ174" s="22">
        <f>Constants!$H65*'Activity data'!AJ7*Constants!$H83*FracLEACHMM*MMLeachEF*NtoN2O*kgtoGg</f>
        <v>1.4932202957969908E-3</v>
      </c>
      <c r="AK174" s="22">
        <f>Constants!$H65*'Activity data'!AK7*Constants!$H83*FracLEACHMM*MMLeachEF*NtoN2O*kgtoGg</f>
        <v>1.5012137932688538E-3</v>
      </c>
      <c r="AL174" s="22">
        <f>Constants!$H65*'Activity data'!AL7*Constants!$H83*FracLEACHMM*MMLeachEF*NtoN2O*kgtoGg</f>
        <v>1.4535813922034043E-3</v>
      </c>
      <c r="AM174" s="22">
        <f>Constants!$H65*'Activity data'!AM7*Constants!$H83*FracLEACHMM*MMLeachEF*NtoN2O*kgtoGg</f>
        <v>1.4669644693342055E-3</v>
      </c>
      <c r="AN174" s="22">
        <f>Constants!$H65*'Activity data'!AN7*Constants!$H83*FracLEACHMM*MMLeachEF*NtoN2O*kgtoGg</f>
        <v>1.4799370652373858E-3</v>
      </c>
      <c r="AO174" s="22">
        <f>Constants!$H65*'Activity data'!AO7*Constants!$H83*FracLEACHMM*MMLeachEF*NtoN2O*kgtoGg</f>
        <v>1.4934705849873164E-3</v>
      </c>
      <c r="AP174" s="22">
        <f>Constants!$H65*'Activity data'!AP7*Constants!$H83*FracLEACHMM*MMLeachEF*NtoN2O*kgtoGg</f>
        <v>1.5082718201515888E-3</v>
      </c>
      <c r="AQ174" s="22">
        <f>Constants!$H65*'Activity data'!AQ7*Constants!$H83*FracLEACHMM*MMLeachEF*NtoN2O*kgtoGg</f>
        <v>1.5248460693154978E-3</v>
      </c>
      <c r="AR174" s="22">
        <f>Constants!$H65*'Activity data'!AR7*Constants!$H83*FracLEACHMM*MMLeachEF*NtoN2O*kgtoGg</f>
        <v>1.5412345413530406E-3</v>
      </c>
      <c r="AS174" s="22">
        <f>Constants!$H65*'Activity data'!AS7*Constants!$H83*FracLEACHMM*MMLeachEF*NtoN2O*kgtoGg</f>
        <v>1.5588799584937074E-3</v>
      </c>
      <c r="AT174" s="22">
        <f>Constants!$H65*'Activity data'!AT7*Constants!$H83*FracLEACHMM*MMLeachEF*NtoN2O*kgtoGg</f>
        <v>1.5778964998839689E-3</v>
      </c>
      <c r="AU174" s="22">
        <f>Constants!$H65*'Activity data'!AU7*Constants!$H83*FracLEACHMM*MMLeachEF*NtoN2O*kgtoGg</f>
        <v>1.5993741948228226E-3</v>
      </c>
      <c r="AV174" s="22">
        <f>Constants!$H65*'Activity data'!AV7*Constants!$H83*FracLEACHMM*MMLeachEF*NtoN2O*kgtoGg</f>
        <v>1.620899794189046E-3</v>
      </c>
      <c r="AW174" s="22">
        <f>Constants!$H65*'Activity data'!AW7*Constants!$H83*FracLEACHMM*MMLeachEF*NtoN2O*kgtoGg</f>
        <v>1.6451966799304197E-3</v>
      </c>
      <c r="AX174" s="22">
        <f>Constants!$H65*'Activity data'!AX7*Constants!$H83*FracLEACHMM*MMLeachEF*NtoN2O*kgtoGg</f>
        <v>1.6704989380334262E-3</v>
      </c>
      <c r="AY174" s="22">
        <f>Constants!$H65*'Activity data'!AY7*Constants!$H83*FracLEACHMM*MMLeachEF*NtoN2O*kgtoGg</f>
        <v>1.6966977220787092E-3</v>
      </c>
      <c r="AZ174" s="22">
        <f>Constants!$H65*'Activity data'!AZ7*Constants!$H83*FracLEACHMM*MMLeachEF*NtoN2O*kgtoGg</f>
        <v>1.7236768348967194E-3</v>
      </c>
      <c r="BA174" s="22">
        <f>Constants!$H65*'Activity data'!BA7*Constants!$H83*FracLEACHMM*MMLeachEF*NtoN2O*kgtoGg</f>
        <v>1.7489505838199331E-3</v>
      </c>
      <c r="BB174" s="22">
        <f>Constants!$H65*'Activity data'!BB7*Constants!$H83*FracLEACHMM*MMLeachEF*NtoN2O*kgtoGg</f>
        <v>1.774643309156718E-3</v>
      </c>
      <c r="BC174" s="22">
        <f>Constants!$H65*'Activity data'!BC7*Constants!$H83*FracLEACHMM*MMLeachEF*NtoN2O*kgtoGg</f>
        <v>1.8022283054620351E-3</v>
      </c>
      <c r="BD174" s="22">
        <f>Constants!$H65*'Activity data'!BD7*Constants!$H83*FracLEACHMM*MMLeachEF*NtoN2O*kgtoGg</f>
        <v>1.8312096242366132E-3</v>
      </c>
      <c r="BE174" s="22">
        <f>Constants!$H65*'Activity data'!BE7*Constants!$H83*FracLEACHMM*MMLeachEF*NtoN2O*kgtoGg</f>
        <v>1.859748305179493E-3</v>
      </c>
      <c r="BF174" s="22">
        <f>Constants!$H65*'Activity data'!BF7*Constants!$H83*FracLEACHMM*MMLeachEF*NtoN2O*kgtoGg</f>
        <v>1.8888498264929478E-3</v>
      </c>
      <c r="BG174" s="22">
        <f>Constants!$H65*'Activity data'!BG7*Constants!$H83*FracLEACHMM*MMLeachEF*NtoN2O*kgtoGg</f>
        <v>1.9184064802204026E-3</v>
      </c>
      <c r="BH174" s="22">
        <f>Constants!$H65*'Activity data'!BH7*Constants!$H83*FracLEACHMM*MMLeachEF*NtoN2O*kgtoGg</f>
        <v>1.9495002466931499E-3</v>
      </c>
      <c r="BI174" s="22">
        <f>Constants!$H65*'Activity data'!BI7*Constants!$H83*FracLEACHMM*MMLeachEF*NtoN2O*kgtoGg</f>
        <v>1.982478964693874E-3</v>
      </c>
      <c r="BJ174" s="22">
        <f>Constants!$H65*'Activity data'!BJ7*Constants!$H83*FracLEACHMM*MMLeachEF*NtoN2O*kgtoGg</f>
        <v>2.0172146109021022E-3</v>
      </c>
      <c r="BK174" s="22">
        <f>Constants!$H65*'Activity data'!BK7*Constants!$H83*FracLEACHMM*MMLeachEF*NtoN2O*kgtoGg</f>
        <v>2.0544402437627195E-3</v>
      </c>
      <c r="BL174" s="22">
        <f>Constants!$H65*'Activity data'!BL7*Constants!$H83*FracLEACHMM*MMLeachEF*NtoN2O*kgtoGg</f>
        <v>2.0930373569324474E-3</v>
      </c>
      <c r="BM174" s="22">
        <f>Constants!$H65*'Activity data'!BM7*Constants!$H83*FracLEACHMM*MMLeachEF*NtoN2O*kgtoGg</f>
        <v>2.1334188244113159E-3</v>
      </c>
      <c r="BN174" s="22">
        <f>Constants!$H65*'Activity data'!BN7*Constants!$H83*FracLEACHMM*MMLeachEF*NtoN2O*kgtoGg</f>
        <v>2.1737507204726185E-3</v>
      </c>
      <c r="BO174" s="22">
        <f>Constants!$H65*'Activity data'!BO7*Constants!$H83*FracLEACHMM*MMLeachEF*NtoN2O*kgtoGg</f>
        <v>2.2160312278126297E-3</v>
      </c>
      <c r="BP174" s="22">
        <f>Constants!$H65*'Activity data'!BP7*Constants!$H83*FracLEACHMM*MMLeachEF*NtoN2O*kgtoGg</f>
        <v>2.2607301373429546E-3</v>
      </c>
    </row>
    <row r="175" spans="1:68" x14ac:dyDescent="0.25">
      <c r="A175" t="str">
        <f t="shared" si="58"/>
        <v>3C Aggregated and non-CO2 emissions on land</v>
      </c>
      <c r="B175" t="str">
        <f t="shared" si="65"/>
        <v>3C6 Indirect N2O from manure management (N2O)</v>
      </c>
      <c r="C175" t="str">
        <f t="shared" si="67"/>
        <v>Leaching/runoff</v>
      </c>
      <c r="D175" t="str">
        <f t="shared" si="66"/>
        <v xml:space="preserve"> - Commercial cattle</v>
      </c>
      <c r="E175" t="str">
        <f t="shared" si="64"/>
        <v>Leaching/runoff - Commercial cattle</v>
      </c>
      <c r="F175" t="str">
        <f t="shared" si="47"/>
        <v>N2O</v>
      </c>
      <c r="G175" t="str">
        <f t="shared" si="48"/>
        <v>Gg N2O</v>
      </c>
      <c r="H175" s="22">
        <f>Constants!$H66*'Activity data'!H8*Constants!$H84*FracLEACHMM*MMLeachEF*NtoN2O*kgtoGg</f>
        <v>3.4690652670041754E-2</v>
      </c>
      <c r="I175" s="22">
        <f>Constants!$H66*'Activity data'!I8*Constants!$H84*FracLEACHMM*MMLeachEF*NtoN2O*kgtoGg</f>
        <v>3.3193333041221122E-2</v>
      </c>
      <c r="J175" s="22">
        <f>Constants!$H66*'Activity data'!J8*Constants!$H84*FracLEACHMM*MMLeachEF*NtoN2O*kgtoGg</f>
        <v>3.3181272656772016E-2</v>
      </c>
      <c r="K175" s="22">
        <f>Constants!$H66*'Activity data'!K8*Constants!$H84*FracLEACHMM*MMLeachEF*NtoN2O*kgtoGg</f>
        <v>3.104225915494201E-2</v>
      </c>
      <c r="L175" s="22">
        <f>Constants!$H66*'Activity data'!L8*Constants!$H84*FracLEACHMM*MMLeachEF*NtoN2O*kgtoGg</f>
        <v>3.1978083922954904E-2</v>
      </c>
      <c r="M175" s="22">
        <f>Constants!$H66*'Activity data'!M8*Constants!$H84*FracLEACHMM*MMLeachEF*NtoN2O*kgtoGg</f>
        <v>3.2705167353371874E-2</v>
      </c>
      <c r="N175" s="22">
        <f>Constants!$H66*'Activity data'!N8*Constants!$H84*FracLEACHMM*MMLeachEF*NtoN2O*kgtoGg</f>
        <v>3.4061884272349123E-2</v>
      </c>
      <c r="O175" s="22">
        <f>Constants!$H66*'Activity data'!O8*Constants!$H84*FracLEACHMM*MMLeachEF*NtoN2O*kgtoGg</f>
        <v>3.5352192745309145E-2</v>
      </c>
      <c r="P175" s="22">
        <f>Constants!$H66*'Activity data'!P8*Constants!$H84*FracLEACHMM*MMLeachEF*NtoN2O*kgtoGg</f>
        <v>3.565838402476177E-2</v>
      </c>
      <c r="Q175" s="22">
        <f>Constants!$H66*'Activity data'!Q8*Constants!$H84*FracLEACHMM*MMLeachEF*NtoN2O*kgtoGg</f>
        <v>3.5081368416034292E-2</v>
      </c>
      <c r="R175" s="22">
        <f>Constants!$H66*'Activity data'!R8*Constants!$H84*FracLEACHMM*MMLeachEF*NtoN2O*kgtoGg</f>
        <v>3.2698246626430616E-2</v>
      </c>
      <c r="S175" s="22">
        <f>Constants!$H66*'Activity data'!S8*Constants!$H84*FracLEACHMM*MMLeachEF*NtoN2O*kgtoGg</f>
        <v>3.2868160650378141E-2</v>
      </c>
      <c r="T175" s="22">
        <f>Constants!$H66*'Activity data'!T8*Constants!$H84*FracLEACHMM*MMLeachEF*NtoN2O*kgtoGg</f>
        <v>3.0633427388426761E-2</v>
      </c>
      <c r="U175" s="22">
        <f>Constants!$H66*'Activity data'!U8*Constants!$H84*FracLEACHMM*MMLeachEF*NtoN2O*kgtoGg</f>
        <v>3.1434705082669871E-2</v>
      </c>
      <c r="V175" s="22">
        <f>Constants!$H66*'Activity data'!V8*Constants!$H84*FracLEACHMM*MMLeachEF*NtoN2O*kgtoGg</f>
        <v>3.1724510523335088E-2</v>
      </c>
      <c r="W175" s="22">
        <f>Constants!$H66*'Activity data'!W8*Constants!$H84*FracLEACHMM*MMLeachEF*NtoN2O*kgtoGg</f>
        <v>3.1993604670874635E-2</v>
      </c>
      <c r="X175" s="22">
        <f>Constants!$H66*'Activity data'!X8*Constants!$H84*FracLEACHMM*MMLeachEF*NtoN2O*kgtoGg</f>
        <v>3.1264791058722347E-2</v>
      </c>
      <c r="Y175" s="22">
        <f>Constants!$H66*'Activity data'!Y8*Constants!$H84*FracLEACHMM*MMLeachEF*NtoN2O*kgtoGg</f>
        <v>3.2180769624477204E-2</v>
      </c>
      <c r="Z175" s="22">
        <f>Constants!$H66*'Activity data'!Z8*Constants!$H84*FracLEACHMM*MMLeachEF*NtoN2O*kgtoGg</f>
        <v>3.1286531555542049E-2</v>
      </c>
      <c r="AA175" s="22">
        <f>Constants!$H66*'Activity data'!AA8*Constants!$H84*FracLEACHMM*MMLeachEF*NtoN2O*kgtoGg</f>
        <v>3.0761209366798613E-2</v>
      </c>
      <c r="AB175" s="22">
        <f>Constants!$H66*'Activity data'!AB8*Constants!$H84*FracLEACHMM*MMLeachEF*NtoN2O*kgtoGg</f>
        <v>3.0664507898168103E-2</v>
      </c>
      <c r="AC175" s="22">
        <f>Constants!$H66*'Activity data'!AC8*Constants!$H84*FracLEACHMM*MMLeachEF*NtoN2O*kgtoGg</f>
        <v>3.0554397945153043E-2</v>
      </c>
      <c r="AD175" s="22">
        <f>Constants!$H66*'Activity data'!AD8*Constants!$H84*FracLEACHMM*MMLeachEF*NtoN2O*kgtoGg</f>
        <v>3.0309234728822364E-2</v>
      </c>
      <c r="AE175" s="22">
        <f>Constants!$H66*'Activity data'!AE8*Constants!$H84*FracLEACHMM*MMLeachEF*NtoN2O*kgtoGg</f>
        <v>3.0206970913249805E-2</v>
      </c>
      <c r="AF175" s="22">
        <f>Constants!$H66*'Activity data'!AF8*Constants!$H84*FracLEACHMM*MMLeachEF*NtoN2O*kgtoGg</f>
        <v>2.9885373356082243E-2</v>
      </c>
      <c r="AG175" s="22">
        <f>Constants!$H66*'Activity data'!AG8*Constants!$H84*FracLEACHMM*MMLeachEF*NtoN2O*kgtoGg</f>
        <v>2.9409725620143195E-2</v>
      </c>
      <c r="AH175" s="22">
        <f>Constants!$H66*'Activity data'!AH8*Constants!$H84*FracLEACHMM*MMLeachEF*NtoN2O*kgtoGg</f>
        <v>2.8781365621260543E-2</v>
      </c>
      <c r="AI175" s="22">
        <f>Constants!$H66*'Activity data'!AI8*Constants!$H84*FracLEACHMM*MMLeachEF*NtoN2O*kgtoGg</f>
        <v>2.8369941026047167E-2</v>
      </c>
      <c r="AJ175" s="22">
        <f>Constants!$H66*'Activity data'!AJ8*Constants!$H84*FracLEACHMM*MMLeachEF*NtoN2O*kgtoGg</f>
        <v>2.7920390894573169E-2</v>
      </c>
      <c r="AK175" s="22">
        <f>Constants!$H66*'Activity data'!AK8*Constants!$H84*FracLEACHMM*MMLeachEF*NtoN2O*kgtoGg</f>
        <v>2.746051451404766E-2</v>
      </c>
      <c r="AL175" s="22">
        <f>Constants!$H66*'Activity data'!AL8*Constants!$H84*FracLEACHMM*MMLeachEF*NtoN2O*kgtoGg</f>
        <v>2.4059181538287795E-2</v>
      </c>
      <c r="AM175" s="22">
        <f>Constants!$H66*'Activity data'!AM8*Constants!$H84*FracLEACHMM*MMLeachEF*NtoN2O*kgtoGg</f>
        <v>2.4345090698985508E-2</v>
      </c>
      <c r="AN175" s="22">
        <f>Constants!$H66*'Activity data'!AN8*Constants!$H84*FracLEACHMM*MMLeachEF*NtoN2O*kgtoGg</f>
        <v>2.4586366449014723E-2</v>
      </c>
      <c r="AO175" s="22">
        <f>Constants!$H66*'Activity data'!AO8*Constants!$H84*FracLEACHMM*MMLeachEF*NtoN2O*kgtoGg</f>
        <v>2.4834186110809078E-2</v>
      </c>
      <c r="AP175" s="22">
        <f>Constants!$H66*'Activity data'!AP8*Constants!$H84*FracLEACHMM*MMLeachEF*NtoN2O*kgtoGg</f>
        <v>2.5123545554341344E-2</v>
      </c>
      <c r="AQ175" s="22">
        <f>Constants!$H66*'Activity data'!AQ8*Constants!$H84*FracLEACHMM*MMLeachEF*NtoN2O*kgtoGg</f>
        <v>2.5477470278376473E-2</v>
      </c>
      <c r="AR175" s="22">
        <f>Constants!$H66*'Activity data'!AR8*Constants!$H84*FracLEACHMM*MMLeachEF*NtoN2O*kgtoGg</f>
        <v>2.5847420662574821E-2</v>
      </c>
      <c r="AS175" s="22">
        <f>Constants!$H66*'Activity data'!AS8*Constants!$H84*FracLEACHMM*MMLeachEF*NtoN2O*kgtoGg</f>
        <v>2.6253973620088206E-2</v>
      </c>
      <c r="AT175" s="22">
        <f>Constants!$H66*'Activity data'!AT8*Constants!$H84*FracLEACHMM*MMLeachEF*NtoN2O*kgtoGg</f>
        <v>2.6700852140025568E-2</v>
      </c>
      <c r="AU175" s="22">
        <f>Constants!$H66*'Activity data'!AU8*Constants!$H84*FracLEACHMM*MMLeachEF*NtoN2O*kgtoGg</f>
        <v>2.7236375178650987E-2</v>
      </c>
      <c r="AV175" s="22">
        <f>Constants!$H66*'Activity data'!AV8*Constants!$H84*FracLEACHMM*MMLeachEF*NtoN2O*kgtoGg</f>
        <v>2.7747120526747406E-2</v>
      </c>
      <c r="AW175" s="22">
        <f>Constants!$H66*'Activity data'!AW8*Constants!$H84*FracLEACHMM*MMLeachEF*NtoN2O*kgtoGg</f>
        <v>2.8153340681966725E-2</v>
      </c>
      <c r="AX175" s="22">
        <f>Constants!$H66*'Activity data'!AX8*Constants!$H84*FracLEACHMM*MMLeachEF*NtoN2O*kgtoGg</f>
        <v>2.8559135672082413E-2</v>
      </c>
      <c r="AY175" s="22">
        <f>Constants!$H66*'Activity data'!AY8*Constants!$H84*FracLEACHMM*MMLeachEF*NtoN2O*kgtoGg</f>
        <v>2.8958156772510547E-2</v>
      </c>
      <c r="AZ175" s="22">
        <f>Constants!$H66*'Activity data'!AZ8*Constants!$H84*FracLEACHMM*MMLeachEF*NtoN2O*kgtoGg</f>
        <v>2.934418867408595E-2</v>
      </c>
      <c r="BA175" s="22">
        <f>Constants!$H66*'Activity data'!BA8*Constants!$H84*FracLEACHMM*MMLeachEF*NtoN2O*kgtoGg</f>
        <v>2.9615901546965362E-2</v>
      </c>
      <c r="BB175" s="22">
        <f>Constants!$H66*'Activity data'!BB8*Constants!$H84*FracLEACHMM*MMLeachEF*NtoN2O*kgtoGg</f>
        <v>2.9893250920900259E-2</v>
      </c>
      <c r="BC175" s="22">
        <f>Constants!$H66*'Activity data'!BC8*Constants!$H84*FracLEACHMM*MMLeachEF*NtoN2O*kgtoGg</f>
        <v>3.0201255566264695E-2</v>
      </c>
      <c r="BD175" s="22">
        <f>Constants!$H66*'Activity data'!BD8*Constants!$H84*FracLEACHMM*MMLeachEF*NtoN2O*kgtoGg</f>
        <v>3.0517032070955311E-2</v>
      </c>
      <c r="BE175" s="22">
        <f>Constants!$H66*'Activity data'!BE8*Constants!$H84*FracLEACHMM*MMLeachEF*NtoN2O*kgtoGg</f>
        <v>3.0770515948846527E-2</v>
      </c>
      <c r="BF175" s="22">
        <f>Constants!$H66*'Activity data'!BF8*Constants!$H84*FracLEACHMM*MMLeachEF*NtoN2O*kgtoGg</f>
        <v>3.0999803123276666E-2</v>
      </c>
      <c r="BG175" s="22">
        <f>Constants!$H66*'Activity data'!BG8*Constants!$H84*FracLEACHMM*MMLeachEF*NtoN2O*kgtoGg</f>
        <v>3.1384781456628805E-2</v>
      </c>
      <c r="BH175" s="22">
        <f>Constants!$H66*'Activity data'!BH8*Constants!$H84*FracLEACHMM*MMLeachEF*NtoN2O*kgtoGg</f>
        <v>3.1785581171323296E-2</v>
      </c>
      <c r="BI175" s="22">
        <f>Constants!$H66*'Activity data'!BI8*Constants!$H84*FracLEACHMM*MMLeachEF*NtoN2O*kgtoGg</f>
        <v>3.2211366801956388E-2</v>
      </c>
      <c r="BJ175" s="22">
        <f>Constants!$H66*'Activity data'!BJ8*Constants!$H84*FracLEACHMM*MMLeachEF*NtoN2O*kgtoGg</f>
        <v>3.2654767093003398E-2</v>
      </c>
      <c r="BK175" s="22">
        <f>Constants!$H66*'Activity data'!BK8*Constants!$H84*FracLEACHMM*MMLeachEF*NtoN2O*kgtoGg</f>
        <v>3.3136465845021557E-2</v>
      </c>
      <c r="BL175" s="22">
        <f>Constants!$H66*'Activity data'!BL8*Constants!$H84*FracLEACHMM*MMLeachEF*NtoN2O*kgtoGg</f>
        <v>3.3639745906106126E-2</v>
      </c>
      <c r="BM175" s="22">
        <f>Constants!$H66*'Activity data'!BM8*Constants!$H84*FracLEACHMM*MMLeachEF*NtoN2O*kgtoGg</f>
        <v>3.415176192799519E-2</v>
      </c>
      <c r="BN175" s="22">
        <f>Constants!$H66*'Activity data'!BN8*Constants!$H84*FracLEACHMM*MMLeachEF*NtoN2O*kgtoGg</f>
        <v>3.4614636033169936E-2</v>
      </c>
      <c r="BO175" s="22">
        <f>Constants!$H66*'Activity data'!BO8*Constants!$H84*FracLEACHMM*MMLeachEF*NtoN2O*kgtoGg</f>
        <v>3.508808962162023E-2</v>
      </c>
      <c r="BP175" s="22">
        <f>Constants!$H66*'Activity data'!BP8*Constants!$H84*FracLEACHMM*MMLeachEF*NtoN2O*kgtoGg</f>
        <v>3.5582632106778714E-2</v>
      </c>
    </row>
    <row r="176" spans="1:68" x14ac:dyDescent="0.25">
      <c r="A176" t="str">
        <f t="shared" si="58"/>
        <v>3C Aggregated and non-CO2 emissions on land</v>
      </c>
      <c r="B176" t="str">
        <f t="shared" si="65"/>
        <v>3C6 Indirect N2O from manure management (N2O)</v>
      </c>
      <c r="C176" t="str">
        <f t="shared" si="67"/>
        <v>Leaching/runoff</v>
      </c>
      <c r="D176" t="str">
        <f t="shared" si="66"/>
        <v xml:space="preserve"> - Subsistence cattle</v>
      </c>
      <c r="E176" t="str">
        <f t="shared" si="64"/>
        <v>Leaching/runoff - Subsistence cattle</v>
      </c>
      <c r="F176" t="str">
        <f t="shared" si="47"/>
        <v>N2O</v>
      </c>
      <c r="G176" t="str">
        <f t="shared" si="48"/>
        <v>Gg N2O</v>
      </c>
      <c r="H176" s="22">
        <f>Constants!$H67*'Activity data'!H9*Constants!$H85*FracLEACHMM*MMLeachEF*NtoN2O*kgtoGg</f>
        <v>3.4964529273561099E-2</v>
      </c>
      <c r="I176" s="22">
        <f>Constants!$H67*'Activity data'!I9*Constants!$H85*FracLEACHMM*MMLeachEF*NtoN2O*kgtoGg</f>
        <v>3.7097441734693364E-2</v>
      </c>
      <c r="J176" s="22">
        <f>Constants!$H67*'Activity data'!J9*Constants!$H85*FracLEACHMM*MMLeachEF*NtoN2O*kgtoGg</f>
        <v>3.8849476970623444E-2</v>
      </c>
      <c r="K176" s="22">
        <f>Constants!$H67*'Activity data'!K9*Constants!$H85*FracLEACHMM*MMLeachEF*NtoN2O*kgtoGg</f>
        <v>3.8392424300380798E-2</v>
      </c>
      <c r="L176" s="22">
        <f>Constants!$H67*'Activity data'!L9*Constants!$H85*FracLEACHMM*MMLeachEF*NtoN2O*kgtoGg</f>
        <v>3.3441020372752331E-2</v>
      </c>
      <c r="M176" s="22">
        <f>Constants!$H67*'Activity data'!M9*Constants!$H85*FracLEACHMM*MMLeachEF*NtoN2O*kgtoGg</f>
        <v>3.2298388697145762E-2</v>
      </c>
      <c r="N176" s="22">
        <f>Constants!$H67*'Activity data'!N9*Constants!$H85*FracLEACHMM*MMLeachEF*NtoN2O*kgtoGg</f>
        <v>3.3212494037631018E-2</v>
      </c>
      <c r="O176" s="22">
        <f>Constants!$H67*'Activity data'!O9*Constants!$H85*FracLEACHMM*MMLeachEF*NtoN2O*kgtoGg</f>
        <v>3.4736002938439779E-2</v>
      </c>
      <c r="P176" s="22">
        <f>Constants!$H67*'Activity data'!P9*Constants!$H85*FracLEACHMM*MMLeachEF*NtoN2O*kgtoGg</f>
        <v>3.6868915399572051E-2</v>
      </c>
      <c r="Q176" s="22">
        <f>Constants!$H67*'Activity data'!Q9*Constants!$H85*FracLEACHMM*MMLeachEF*NtoN2O*kgtoGg</f>
        <v>3.8392424300380798E-2</v>
      </c>
      <c r="R176" s="22">
        <f>Constants!$H67*'Activity data'!R9*Constants!$H85*FracLEACHMM*MMLeachEF*NtoN2O*kgtoGg</f>
        <v>3.7478318959895555E-2</v>
      </c>
      <c r="S176" s="22">
        <f>Constants!$H67*'Activity data'!S9*Constants!$H85*FracLEACHMM*MMLeachEF*NtoN2O*kgtoGg</f>
        <v>3.6564213619410299E-2</v>
      </c>
      <c r="T176" s="22">
        <f>Constants!$H67*'Activity data'!T9*Constants!$H85*FracLEACHMM*MMLeachEF*NtoN2O*kgtoGg</f>
        <v>4.1439442101998333E-2</v>
      </c>
      <c r="U176" s="22">
        <f>Constants!$H67*'Activity data'!U9*Constants!$H85*FracLEACHMM*MMLeachEF*NtoN2O*kgtoGg</f>
        <v>4.242972288752403E-2</v>
      </c>
      <c r="V176" s="22">
        <f>Constants!$H67*'Activity data'!V9*Constants!$H85*FracLEACHMM*MMLeachEF*NtoN2O*kgtoGg</f>
        <v>4.1744143882160085E-2</v>
      </c>
      <c r="W176" s="22">
        <f>Constants!$H67*'Activity data'!W9*Constants!$H85*FracLEACHMM*MMLeachEF*NtoN2O*kgtoGg</f>
        <v>4.0525336761513077E-2</v>
      </c>
      <c r="X176" s="22">
        <f>Constants!$H67*'Activity data'!X9*Constants!$H85*FracLEACHMM*MMLeachEF*NtoN2O*kgtoGg</f>
        <v>4.1820319327200518E-2</v>
      </c>
      <c r="Y176" s="22">
        <f>Constants!$H67*'Activity data'!Y9*Constants!$H85*FracLEACHMM*MMLeachEF*NtoN2O*kgtoGg</f>
        <v>4.3496179118090159E-2</v>
      </c>
      <c r="Z176" s="22">
        <f>Constants!$H67*'Activity data'!Z9*Constants!$H85*FracLEACHMM*MMLeachEF*NtoN2O*kgtoGg</f>
        <v>4.2810600112726221E-2</v>
      </c>
      <c r="AA176" s="22">
        <f>Constants!$H67*'Activity data'!AA9*Constants!$H85*FracLEACHMM*MMLeachEF*NtoN2O*kgtoGg</f>
        <v>4.235354744248359E-2</v>
      </c>
      <c r="AB176" s="22">
        <f>Constants!$H67*'Activity data'!AB9*Constants!$H85*FracLEACHMM*MMLeachEF*NtoN2O*kgtoGg</f>
        <v>4.1744143882160085E-2</v>
      </c>
      <c r="AC176" s="22">
        <f>Constants!$H67*'Activity data'!AC9*Constants!$H85*FracLEACHMM*MMLeachEF*NtoN2O*kgtoGg</f>
        <v>4.2048845662321838E-2</v>
      </c>
      <c r="AD176" s="22">
        <f>Constants!$H67*'Activity data'!AD9*Constants!$H85*FracLEACHMM*MMLeachEF*NtoN2O*kgtoGg</f>
        <v>4.0234550484736897E-2</v>
      </c>
      <c r="AE176" s="22">
        <f>Constants!$H67*'Activity data'!AE9*Constants!$H85*FracLEACHMM*MMLeachEF*NtoN2O*kgtoGg</f>
        <v>4.0098798503955174E-2</v>
      </c>
      <c r="AF176" s="22">
        <f>Constants!$H67*'Activity data'!AF9*Constants!$H85*FracLEACHMM*MMLeachEF*NtoN2O*kgtoGg</f>
        <v>3.9671887918274112E-2</v>
      </c>
      <c r="AG176" s="22">
        <f>Constants!$H67*'Activity data'!AG9*Constants!$H85*FracLEACHMM*MMLeachEF*NtoN2O*kgtoGg</f>
        <v>3.9040480592559233E-2</v>
      </c>
      <c r="AH176" s="22">
        <f>Constants!$H67*'Activity data'!AH9*Constants!$H85*FracLEACHMM*MMLeachEF*NtoN2O*kgtoGg</f>
        <v>3.8206352567756556E-2</v>
      </c>
      <c r="AI176" s="22">
        <f>Constants!$H67*'Activity data'!AI9*Constants!$H85*FracLEACHMM*MMLeachEF*NtoN2O*kgtoGg</f>
        <v>3.7660199430111237E-2</v>
      </c>
      <c r="AJ176" s="22">
        <f>Constants!$H67*'Activity data'!AJ9*Constants!$H85*FracLEACHMM*MMLeachEF*NtoN2O*kgtoGg</f>
        <v>3.7063435848910996E-2</v>
      </c>
      <c r="AK176" s="22">
        <f>Constants!$H67*'Activity data'!AK9*Constants!$H85*FracLEACHMM*MMLeachEF*NtoN2O*kgtoGg</f>
        <v>3.6452964498692557E-2</v>
      </c>
      <c r="AL176" s="22">
        <f>Constants!$H67*'Activity data'!AL9*Constants!$H85*FracLEACHMM*MMLeachEF*NtoN2O*kgtoGg</f>
        <v>3.1937802550427559E-2</v>
      </c>
      <c r="AM176" s="22">
        <f>Constants!$H67*'Activity data'!AM9*Constants!$H85*FracLEACHMM*MMLeachEF*NtoN2O*kgtoGg</f>
        <v>3.2317337918544312E-2</v>
      </c>
      <c r="AN176" s="22">
        <f>Constants!$H67*'Activity data'!AN9*Constants!$H85*FracLEACHMM*MMLeachEF*NtoN2O*kgtoGg</f>
        <v>3.2637623845660178E-2</v>
      </c>
      <c r="AO176" s="22">
        <f>Constants!$H67*'Activity data'!AO9*Constants!$H85*FracLEACHMM*MMLeachEF*NtoN2O*kgtoGg</f>
        <v>3.2966596608674001E-2</v>
      </c>
      <c r="AP176" s="22">
        <f>Constants!$H67*'Activity data'!AP9*Constants!$H85*FracLEACHMM*MMLeachEF*NtoN2O*kgtoGg</f>
        <v>3.3350712118128401E-2</v>
      </c>
      <c r="AQ176" s="22">
        <f>Constants!$H67*'Activity data'!AQ9*Constants!$H85*FracLEACHMM*MMLeachEF*NtoN2O*kgtoGg</f>
        <v>3.3820535995385405E-2</v>
      </c>
      <c r="AR176" s="22">
        <f>Constants!$H67*'Activity data'!AR9*Constants!$H85*FracLEACHMM*MMLeachEF*NtoN2O*kgtoGg</f>
        <v>3.4311633429650927E-2</v>
      </c>
      <c r="AS176" s="22">
        <f>Constants!$H67*'Activity data'!AS9*Constants!$H85*FracLEACHMM*MMLeachEF*NtoN2O*kgtoGg</f>
        <v>3.4851319622329256E-2</v>
      </c>
      <c r="AT176" s="22">
        <f>Constants!$H67*'Activity data'!AT9*Constants!$H85*FracLEACHMM*MMLeachEF*NtoN2O*kgtoGg</f>
        <v>3.5444536723712089E-2</v>
      </c>
      <c r="AU176" s="22">
        <f>Constants!$H67*'Activity data'!AU9*Constants!$H85*FracLEACHMM*MMLeachEF*NtoN2O*kgtoGg</f>
        <v>3.6155426620012407E-2</v>
      </c>
      <c r="AV176" s="22">
        <f>Constants!$H67*'Activity data'!AV9*Constants!$H85*FracLEACHMM*MMLeachEF*NtoN2O*kgtoGg</f>
        <v>3.6833424915802035E-2</v>
      </c>
      <c r="AW176" s="22">
        <f>Constants!$H67*'Activity data'!AW9*Constants!$H85*FracLEACHMM*MMLeachEF*NtoN2O*kgtoGg</f>
        <v>3.7372669323960821E-2</v>
      </c>
      <c r="AX176" s="22">
        <f>Constants!$H67*'Activity data'!AX9*Constants!$H85*FracLEACHMM*MMLeachEF*NtoN2O*kgtoGg</f>
        <v>3.7911349338891613E-2</v>
      </c>
      <c r="AY176" s="22">
        <f>Constants!$H67*'Activity data'!AY9*Constants!$H85*FracLEACHMM*MMLeachEF*NtoN2O*kgtoGg</f>
        <v>3.8441037229506161E-2</v>
      </c>
      <c r="AZ176" s="22">
        <f>Constants!$H67*'Activity data'!AZ9*Constants!$H85*FracLEACHMM*MMLeachEF*NtoN2O*kgtoGg</f>
        <v>3.8953482369464922E-2</v>
      </c>
      <c r="BA176" s="22">
        <f>Constants!$H67*'Activity data'!BA9*Constants!$H85*FracLEACHMM*MMLeachEF*NtoN2O*kgtoGg</f>
        <v>3.9314172614501826E-2</v>
      </c>
      <c r="BB176" s="22">
        <f>Constants!$H67*'Activity data'!BB9*Constants!$H85*FracLEACHMM*MMLeachEF*NtoN2O*kgtoGg</f>
        <v>3.9682345136419106E-2</v>
      </c>
      <c r="BC176" s="22">
        <f>Constants!$H67*'Activity data'!BC9*Constants!$H85*FracLEACHMM*MMLeachEF*NtoN2O*kgtoGg</f>
        <v>4.0091211561596923E-2</v>
      </c>
      <c r="BD176" s="22">
        <f>Constants!$H67*'Activity data'!BD9*Constants!$H85*FracLEACHMM*MMLeachEF*NtoN2O*kgtoGg</f>
        <v>4.0510394884222568E-2</v>
      </c>
      <c r="BE176" s="22">
        <f>Constants!$H67*'Activity data'!BE9*Constants!$H85*FracLEACHMM*MMLeachEF*NtoN2O*kgtoGg</f>
        <v>4.0846886714957654E-2</v>
      </c>
      <c r="BF176" s="22">
        <f>Constants!$H67*'Activity data'!BF9*Constants!$H85*FracLEACHMM*MMLeachEF*NtoN2O*kgtoGg</f>
        <v>4.1151258187139356E-2</v>
      </c>
      <c r="BG176" s="22">
        <f>Constants!$H67*'Activity data'!BG9*Constants!$H85*FracLEACHMM*MMLeachEF*NtoN2O*kgtoGg</f>
        <v>4.1662304748603898E-2</v>
      </c>
      <c r="BH176" s="22">
        <f>Constants!$H67*'Activity data'!BH9*Constants!$H85*FracLEACHMM*MMLeachEF*NtoN2O*kgtoGg</f>
        <v>4.2194353693403186E-2</v>
      </c>
      <c r="BI176" s="22">
        <f>Constants!$H67*'Activity data'!BI9*Constants!$H85*FracLEACHMM*MMLeachEF*NtoN2O*kgtoGg</f>
        <v>4.2759570651358624E-2</v>
      </c>
      <c r="BJ176" s="22">
        <f>Constants!$H67*'Activity data'!BJ9*Constants!$H85*FracLEACHMM*MMLeachEF*NtoN2O*kgtoGg</f>
        <v>4.3348170513898651E-2</v>
      </c>
      <c r="BK176" s="22">
        <f>Constants!$H67*'Activity data'!BK9*Constants!$H85*FracLEACHMM*MMLeachEF*NtoN2O*kgtoGg</f>
        <v>4.3987610372077567E-2</v>
      </c>
      <c r="BL176" s="22">
        <f>Constants!$H67*'Activity data'!BL9*Constants!$H85*FracLEACHMM*MMLeachEF*NtoN2O*kgtoGg</f>
        <v>4.4655698735470387E-2</v>
      </c>
      <c r="BM176" s="22">
        <f>Constants!$H67*'Activity data'!BM9*Constants!$H85*FracLEACHMM*MMLeachEF*NtoN2O*kgtoGg</f>
        <v>4.5335383810531017E-2</v>
      </c>
      <c r="BN176" s="22">
        <f>Constants!$H67*'Activity data'!BN9*Constants!$H85*FracLEACHMM*MMLeachEF*NtoN2O*kgtoGg</f>
        <v>4.594983454540956E-2</v>
      </c>
      <c r="BO176" s="22">
        <f>Constants!$H67*'Activity data'!BO9*Constants!$H85*FracLEACHMM*MMLeachEF*NtoN2O*kgtoGg</f>
        <v>4.6578329209729416E-2</v>
      </c>
      <c r="BP176" s="22">
        <f>Constants!$H67*'Activity data'!BP9*Constants!$H85*FracLEACHMM*MMLeachEF*NtoN2O*kgtoGg</f>
        <v>4.7234818717431661E-2</v>
      </c>
    </row>
    <row r="177" spans="1:68" x14ac:dyDescent="0.25">
      <c r="A177" t="str">
        <f t="shared" si="58"/>
        <v>3C Aggregated and non-CO2 emissions on land</v>
      </c>
      <c r="B177" t="str">
        <f t="shared" si="65"/>
        <v>3C6 Indirect N2O from manure management (N2O)</v>
      </c>
      <c r="C177" t="str">
        <f t="shared" si="67"/>
        <v>Leaching/runoff</v>
      </c>
      <c r="D177" t="str">
        <f t="shared" si="66"/>
        <v xml:space="preserve"> - Feedlot</v>
      </c>
      <c r="E177" t="str">
        <f t="shared" si="64"/>
        <v>Leaching/runoff - Feedlot</v>
      </c>
      <c r="F177" t="str">
        <f t="shared" si="47"/>
        <v>N2O</v>
      </c>
      <c r="G177" t="str">
        <f t="shared" si="48"/>
        <v>Gg N2O</v>
      </c>
      <c r="H177" s="22">
        <f>Constants!$H68*'Activity data'!H10*Constants!$H86*FracLEACHMM*MMLeachEF*NtoN2O*kgtoGg</f>
        <v>3.2554021499999995E-2</v>
      </c>
      <c r="I177" s="22">
        <f>Constants!$H68*'Activity data'!I10*Constants!$H86*FracLEACHMM*MMLeachEF*NtoN2O*kgtoGg</f>
        <v>3.2554021499999995E-2</v>
      </c>
      <c r="J177" s="22">
        <f>Constants!$H68*'Activity data'!J10*Constants!$H86*FracLEACHMM*MMLeachEF*NtoN2O*kgtoGg</f>
        <v>3.2554021499999995E-2</v>
      </c>
      <c r="K177" s="22">
        <f>Constants!$H68*'Activity data'!K10*Constants!$H86*FracLEACHMM*MMLeachEF*NtoN2O*kgtoGg</f>
        <v>3.2554021499999995E-2</v>
      </c>
      <c r="L177" s="22">
        <f>Constants!$H68*'Activity data'!L10*Constants!$H86*FracLEACHMM*MMLeachEF*NtoN2O*kgtoGg</f>
        <v>3.2554021499999995E-2</v>
      </c>
      <c r="M177" s="22">
        <f>Constants!$H68*'Activity data'!M10*Constants!$H86*FracLEACHMM*MMLeachEF*NtoN2O*kgtoGg</f>
        <v>3.2554021499999995E-2</v>
      </c>
      <c r="N177" s="22">
        <f>Constants!$H68*'Activity data'!N10*Constants!$H86*FracLEACHMM*MMLeachEF*NtoN2O*kgtoGg</f>
        <v>3.2554021499999995E-2</v>
      </c>
      <c r="O177" s="22">
        <f>Constants!$H68*'Activity data'!O10*Constants!$H86*FracLEACHMM*MMLeachEF*NtoN2O*kgtoGg</f>
        <v>3.2554021499999995E-2</v>
      </c>
      <c r="P177" s="22">
        <f>Constants!$H68*'Activity data'!P10*Constants!$H86*FracLEACHMM*MMLeachEF*NtoN2O*kgtoGg</f>
        <v>3.2554021499999995E-2</v>
      </c>
      <c r="Q177" s="22">
        <f>Constants!$H68*'Activity data'!Q10*Constants!$H86*FracLEACHMM*MMLeachEF*NtoN2O*kgtoGg</f>
        <v>3.2554021499999995E-2</v>
      </c>
      <c r="R177" s="22">
        <f>Constants!$H68*'Activity data'!R10*Constants!$H86*FracLEACHMM*MMLeachEF*NtoN2O*kgtoGg</f>
        <v>3.2554021499999995E-2</v>
      </c>
      <c r="S177" s="22">
        <f>Constants!$H68*'Activity data'!S10*Constants!$H86*FracLEACHMM*MMLeachEF*NtoN2O*kgtoGg</f>
        <v>3.2554021499999995E-2</v>
      </c>
      <c r="T177" s="22">
        <f>Constants!$H68*'Activity data'!T10*Constants!$H86*FracLEACHMM*MMLeachEF*NtoN2O*kgtoGg</f>
        <v>3.2554021499999995E-2</v>
      </c>
      <c r="U177" s="22">
        <f>Constants!$H68*'Activity data'!U10*Constants!$H86*FracLEACHMM*MMLeachEF*NtoN2O*kgtoGg</f>
        <v>3.2554021499999995E-2</v>
      </c>
      <c r="V177" s="22">
        <f>Constants!$H68*'Activity data'!V10*Constants!$H86*FracLEACHMM*MMLeachEF*NtoN2O*kgtoGg</f>
        <v>3.2554021499999995E-2</v>
      </c>
      <c r="W177" s="22">
        <f>Constants!$H68*'Activity data'!W10*Constants!$H86*FracLEACHMM*MMLeachEF*NtoN2O*kgtoGg</f>
        <v>3.2554021499999995E-2</v>
      </c>
      <c r="X177" s="22">
        <f>Constants!$H68*'Activity data'!X10*Constants!$H86*FracLEACHMM*MMLeachEF*NtoN2O*kgtoGg</f>
        <v>3.2554021499999995E-2</v>
      </c>
      <c r="Y177" s="22">
        <f>Constants!$H68*'Activity data'!Y10*Constants!$H86*FracLEACHMM*MMLeachEF*NtoN2O*kgtoGg</f>
        <v>3.2554021499999995E-2</v>
      </c>
      <c r="Z177" s="22">
        <f>Constants!$H68*'Activity data'!Z10*Constants!$H86*FracLEACHMM*MMLeachEF*NtoN2O*kgtoGg</f>
        <v>3.0317695864706243E-2</v>
      </c>
      <c r="AA177" s="22">
        <f>Constants!$H68*'Activity data'!AA10*Constants!$H86*FracLEACHMM*MMLeachEF*NtoN2O*kgtoGg</f>
        <v>3.1067342637581243E-2</v>
      </c>
      <c r="AB177" s="22">
        <f>Constants!$H68*'Activity data'!AB10*Constants!$H86*FracLEACHMM*MMLeachEF*NtoN2O*kgtoGg</f>
        <v>3.0990059132174997E-2</v>
      </c>
      <c r="AC177" s="22">
        <f>Constants!$H68*'Activity data'!AC10*Constants!$H86*FracLEACHMM*MMLeachEF*NtoN2O*kgtoGg</f>
        <v>3.5793934653262499E-2</v>
      </c>
      <c r="AD177" s="22">
        <f>Constants!$H68*'Activity data'!AD10*Constants!$H86*FracLEACHMM*MMLeachEF*NtoN2O*kgtoGg</f>
        <v>4.1964142456862003E-2</v>
      </c>
      <c r="AE177" s="22">
        <f>Constants!$H68*'Activity data'!AE10*Constants!$H86*FracLEACHMM*MMLeachEF*NtoN2O*kgtoGg</f>
        <v>4.3610054593502874E-2</v>
      </c>
      <c r="AF177" s="22">
        <f>Constants!$H68*'Activity data'!AF10*Constants!$H86*FracLEACHMM*MMLeachEF*NtoN2O*kgtoGg</f>
        <v>4.4964974161806899E-2</v>
      </c>
      <c r="AG177" s="22">
        <f>Constants!$H68*'Activity data'!AG10*Constants!$H86*FracLEACHMM*MMLeachEF*NtoN2O*kgtoGg</f>
        <v>4.6093921993954498E-2</v>
      </c>
      <c r="AH177" s="22">
        <f>Constants!$H68*'Activity data'!AH10*Constants!$H86*FracLEACHMM*MMLeachEF*NtoN2O*kgtoGg</f>
        <v>4.697180945669259E-2</v>
      </c>
      <c r="AI177" s="22">
        <f>Constants!$H68*'Activity data'!AI10*Constants!$H86*FracLEACHMM*MMLeachEF*NtoN2O*kgtoGg</f>
        <v>4.8197538597645855E-2</v>
      </c>
      <c r="AJ177" s="22">
        <f>Constants!$H68*'Activity data'!AJ10*Constants!$H86*FracLEACHMM*MMLeachEF*NtoN2O*kgtoGg</f>
        <v>4.9365504839805271E-2</v>
      </c>
      <c r="AK177" s="22">
        <f>Constants!$H68*'Activity data'!AK10*Constants!$H86*FracLEACHMM*MMLeachEF*NtoN2O*kgtoGg</f>
        <v>5.0520386549385475E-2</v>
      </c>
      <c r="AL177" s="22">
        <f>Constants!$H68*'Activity data'!AL10*Constants!$H86*FracLEACHMM*MMLeachEF*NtoN2O*kgtoGg</f>
        <v>4.6050882301969E-2</v>
      </c>
      <c r="AM177" s="22">
        <f>Constants!$H68*'Activity data'!AM10*Constants!$H86*FracLEACHMM*MMLeachEF*NtoN2O*kgtoGg</f>
        <v>4.7719969692855288E-2</v>
      </c>
      <c r="AN177" s="22">
        <f>Constants!$H68*'Activity data'!AN10*Constants!$H86*FracLEACHMM*MMLeachEF*NtoN2O*kgtoGg</f>
        <v>4.9337206998680709E-2</v>
      </c>
      <c r="AO177" s="22">
        <f>Constants!$H68*'Activity data'!AO10*Constants!$H86*FracLEACHMM*MMLeachEF*NtoN2O*kgtoGg</f>
        <v>5.1002746306082557E-2</v>
      </c>
      <c r="AP177" s="22">
        <f>Constants!$H68*'Activity data'!AP10*Constants!$H86*FracLEACHMM*MMLeachEF*NtoN2O*kgtoGg</f>
        <v>5.2792336923851053E-2</v>
      </c>
      <c r="AQ177" s="22">
        <f>Constants!$H68*'Activity data'!AQ10*Constants!$H86*FracLEACHMM*MMLeachEF*NtoN2O*kgtoGg</f>
        <v>5.4762763974606596E-2</v>
      </c>
      <c r="AR177" s="22">
        <f>Constants!$H68*'Activity data'!AR10*Constants!$H86*FracLEACHMM*MMLeachEF*NtoN2O*kgtoGg</f>
        <v>5.6818148040121669E-2</v>
      </c>
      <c r="AS177" s="22">
        <f>Constants!$H68*'Activity data'!AS10*Constants!$H86*FracLEACHMM*MMLeachEF*NtoN2O*kgtoGg</f>
        <v>5.9008633745968452E-2</v>
      </c>
      <c r="AT177" s="22">
        <f>Constants!$H68*'Activity data'!AT10*Constants!$H86*FracLEACHMM*MMLeachEF*NtoN2O*kgtoGg</f>
        <v>6.134985899015348E-2</v>
      </c>
      <c r="AU177" s="22">
        <f>Constants!$H68*'Activity data'!AU10*Constants!$H86*FracLEACHMM*MMLeachEF*NtoN2O*kgtoGg</f>
        <v>6.3963142214456023E-2</v>
      </c>
      <c r="AV177" s="22">
        <f>Constants!$H68*'Activity data'!AV10*Constants!$H86*FracLEACHMM*MMLeachEF*NtoN2O*kgtoGg</f>
        <v>6.6591810999453924E-2</v>
      </c>
      <c r="AW177" s="22">
        <f>Constants!$H68*'Activity data'!AW10*Constants!$H86*FracLEACHMM*MMLeachEF*NtoN2O*kgtoGg</f>
        <v>6.9806329156558766E-2</v>
      </c>
      <c r="AX177" s="22">
        <f>Constants!$H68*'Activity data'!AX10*Constants!$H86*FracLEACHMM*MMLeachEF*NtoN2O*kgtoGg</f>
        <v>7.3164206134929188E-2</v>
      </c>
      <c r="AY177" s="22">
        <f>Constants!$H68*'Activity data'!AY10*Constants!$H86*FracLEACHMM*MMLeachEF*NtoN2O*kgtoGg</f>
        <v>7.6656499073891091E-2</v>
      </c>
      <c r="AZ177" s="22">
        <f>Constants!$H68*'Activity data'!AZ10*Constants!$H86*FracLEACHMM*MMLeachEF*NtoN2O*kgtoGg</f>
        <v>8.0272941557275476E-2</v>
      </c>
      <c r="BA177" s="22">
        <f>Constants!$H68*'Activity data'!BA10*Constants!$H86*FracLEACHMM*MMLeachEF*NtoN2O*kgtoGg</f>
        <v>8.3732553728275066E-2</v>
      </c>
      <c r="BB177" s="22">
        <f>Constants!$H68*'Activity data'!BB10*Constants!$H86*FracLEACHMM*MMLeachEF*NtoN2O*kgtoGg</f>
        <v>8.7362867191348698E-2</v>
      </c>
      <c r="BC177" s="22">
        <f>Constants!$H68*'Activity data'!BC10*Constants!$H86*FracLEACHMM*MMLeachEF*NtoN2O*kgtoGg</f>
        <v>9.125021555458139E-2</v>
      </c>
      <c r="BD177" s="22">
        <f>Constants!$H68*'Activity data'!BD10*Constants!$H86*FracLEACHMM*MMLeachEF*NtoN2O*kgtoGg</f>
        <v>9.5342389151157336E-2</v>
      </c>
      <c r="BE177" s="22">
        <f>Constants!$H68*'Activity data'!BE10*Constants!$H86*FracLEACHMM*MMLeachEF*NtoN2O*kgtoGg</f>
        <v>9.9426462487612999E-2</v>
      </c>
      <c r="BF177" s="22">
        <f>Constants!$H68*'Activity data'!BF10*Constants!$H86*FracLEACHMM*MMLeachEF*NtoN2O*kgtoGg</f>
        <v>0.10362090770727159</v>
      </c>
      <c r="BG177" s="22">
        <f>Constants!$H68*'Activity data'!BG10*Constants!$H86*FracLEACHMM*MMLeachEF*NtoN2O*kgtoGg</f>
        <v>0.1078661747334127</v>
      </c>
      <c r="BH177" s="22">
        <f>Constants!$H68*'Activity data'!BH10*Constants!$H86*FracLEACHMM*MMLeachEF*NtoN2O*kgtoGg</f>
        <v>0.11233504516900598</v>
      </c>
      <c r="BI177" s="22">
        <f>Constants!$H68*'Activity data'!BI10*Constants!$H86*FracLEACHMM*MMLeachEF*NtoN2O*kgtoGg</f>
        <v>0.11707382332230383</v>
      </c>
      <c r="BJ177" s="22">
        <f>Constants!$H68*'Activity data'!BJ10*Constants!$H86*FracLEACHMM*MMLeachEF*NtoN2O*kgtoGg</f>
        <v>0.12207163782611452</v>
      </c>
      <c r="BK177" s="22">
        <f>Constants!$H68*'Activity data'!BK10*Constants!$H86*FracLEACHMM*MMLeachEF*NtoN2O*kgtoGg</f>
        <v>0.12742343862973921</v>
      </c>
      <c r="BL177" s="22">
        <f>Constants!$H68*'Activity data'!BL10*Constants!$H86*FracLEACHMM*MMLeachEF*NtoN2O*kgtoGg</f>
        <v>0.13308640600980062</v>
      </c>
      <c r="BM177" s="22">
        <f>Constants!$H68*'Activity data'!BM10*Constants!$H86*FracLEACHMM*MMLeachEF*NtoN2O*kgtoGg</f>
        <v>0.13902740809121178</v>
      </c>
      <c r="BN177" s="22">
        <f>Constants!$H68*'Activity data'!BN10*Constants!$H86*FracLEACHMM*MMLeachEF*NtoN2O*kgtoGg</f>
        <v>0.14501987446748249</v>
      </c>
      <c r="BO177" s="22">
        <f>Constants!$H68*'Activity data'!BO10*Constants!$H86*FracLEACHMM*MMLeachEF*NtoN2O*kgtoGg</f>
        <v>0.15131703356505552</v>
      </c>
      <c r="BP177" s="22">
        <f>Constants!$H68*'Activity data'!BP10*Constants!$H86*FracLEACHMM*MMLeachEF*NtoN2O*kgtoGg</f>
        <v>0.15798371184786211</v>
      </c>
    </row>
    <row r="178" spans="1:68" x14ac:dyDescent="0.25">
      <c r="A178" t="str">
        <f t="shared" si="58"/>
        <v>3C Aggregated and non-CO2 emissions on land</v>
      </c>
      <c r="B178" t="str">
        <f t="shared" si="65"/>
        <v>3C6 Indirect N2O from manure management (N2O)</v>
      </c>
      <c r="C178" t="str">
        <f t="shared" si="67"/>
        <v>Leaching/runoff</v>
      </c>
      <c r="D178" t="str">
        <f t="shared" si="66"/>
        <v xml:space="preserve"> - Commercial sheep</v>
      </c>
      <c r="E178" t="str">
        <f t="shared" si="64"/>
        <v>Leaching/runoff - Commercial sheep</v>
      </c>
      <c r="F178" t="str">
        <f t="shared" si="47"/>
        <v>N2O</v>
      </c>
      <c r="G178" t="str">
        <f t="shared" si="48"/>
        <v>Gg N2O</v>
      </c>
      <c r="H178" s="22">
        <f>Constants!$H69*'Activity data'!H11*Constants!$H87*FracLEACHMM*MMLeachEF*NtoN2O*kgtoGg</f>
        <v>6.9270979206507962E-3</v>
      </c>
      <c r="I178" s="22">
        <f>Constants!$H69*'Activity data'!I11*Constants!$H87*FracLEACHMM*MMLeachEF*NtoN2O*kgtoGg</f>
        <v>6.6156222878065631E-3</v>
      </c>
      <c r="J178" s="22">
        <f>Constants!$H69*'Activity data'!J11*Constants!$H87*FracLEACHMM*MMLeachEF*NtoN2O*kgtoGg</f>
        <v>6.3422723815345083E-3</v>
      </c>
      <c r="K178" s="22">
        <f>Constants!$H69*'Activity data'!K11*Constants!$H87*FracLEACHMM*MMLeachEF*NtoN2O*kgtoGg</f>
        <v>5.9314387945930795E-3</v>
      </c>
      <c r="L178" s="22">
        <f>Constants!$H69*'Activity data'!L11*Constants!$H87*FracLEACHMM*MMLeachEF*NtoN2O*kgtoGg</f>
        <v>5.9732615613177133E-3</v>
      </c>
      <c r="M178" s="22">
        <f>Constants!$H69*'Activity data'!M11*Constants!$H87*FracLEACHMM*MMLeachEF*NtoN2O*kgtoGg</f>
        <v>5.8877675077922183E-3</v>
      </c>
      <c r="N178" s="22">
        <f>Constants!$H69*'Activity data'!N11*Constants!$H87*FracLEACHMM*MMLeachEF*NtoN2O*kgtoGg</f>
        <v>5.90740803360213E-3</v>
      </c>
      <c r="O178" s="22">
        <f>Constants!$H69*'Activity data'!O11*Constants!$H87*FracLEACHMM*MMLeachEF*NtoN2O*kgtoGg</f>
        <v>5.7789358883043596E-3</v>
      </c>
      <c r="P178" s="22">
        <f>Constants!$H69*'Activity data'!P11*Constants!$H87*FracLEACHMM*MMLeachEF*NtoN2O*kgtoGg</f>
        <v>5.7948793739618174E-3</v>
      </c>
      <c r="Q178" s="22">
        <f>Constants!$H69*'Activity data'!Q11*Constants!$H87*FracLEACHMM*MMLeachEF*NtoN2O*kgtoGg</f>
        <v>5.6525433280923453E-3</v>
      </c>
      <c r="R178" s="22">
        <f>Constants!$H69*'Activity data'!R11*Constants!$H87*FracLEACHMM*MMLeachEF*NtoN2O*kgtoGg</f>
        <v>5.449899314735971E-3</v>
      </c>
      <c r="S178" s="22">
        <f>Constants!$H69*'Activity data'!S11*Constants!$H87*FracLEACHMM*MMLeachEF*NtoN2O*kgtoGg</f>
        <v>5.3140330891332929E-3</v>
      </c>
      <c r="T178" s="22">
        <f>Constants!$H69*'Activity data'!T11*Constants!$H87*FracLEACHMM*MMLeachEF*NtoN2O*kgtoGg</f>
        <v>5.2253041254744018E-3</v>
      </c>
      <c r="U178" s="22">
        <f>Constants!$H69*'Activity data'!U11*Constants!$H87*FracLEACHMM*MMLeachEF*NtoN2O*kgtoGg</f>
        <v>5.2435582612271421E-3</v>
      </c>
      <c r="V178" s="22">
        <f>Constants!$H69*'Activity data'!V11*Constants!$H87*FracLEACHMM*MMLeachEF*NtoN2O*kgtoGg</f>
        <v>5.1502079973776843E-3</v>
      </c>
      <c r="W178" s="22">
        <f>Constants!$H69*'Activity data'!W11*Constants!$H87*FracLEACHMM*MMLeachEF*NtoN2O*kgtoGg</f>
        <v>5.1379615518726812E-3</v>
      </c>
      <c r="X178" s="22">
        <f>Constants!$H69*'Activity data'!X11*Constants!$H87*FracLEACHMM*MMLeachEF*NtoN2O*kgtoGg</f>
        <v>5.0707216340999273E-3</v>
      </c>
      <c r="Y178" s="22">
        <f>Constants!$H69*'Activity data'!Y11*Constants!$H87*FracLEACHMM*MMLeachEF*NtoN2O*kgtoGg</f>
        <v>5.0658692688998318E-3</v>
      </c>
      <c r="Z178" s="22">
        <f>Constants!$H69*'Activity data'!Z11*Constants!$H87*FracLEACHMM*MMLeachEF*NtoN2O*kgtoGg</f>
        <v>5.0822748845763448E-3</v>
      </c>
      <c r="AA178" s="22">
        <f>Constants!$H69*'Activity data'!AA11*Constants!$H87*FracLEACHMM*MMLeachEF*NtoN2O*kgtoGg</f>
        <v>5.0642518138331325E-3</v>
      </c>
      <c r="AB178" s="22">
        <f>Constants!$H69*'Activity data'!AB11*Constants!$H87*FracLEACHMM*MMLeachEF*NtoN2O*kgtoGg</f>
        <v>4.9662802497931072E-3</v>
      </c>
      <c r="AC178" s="22">
        <f>Constants!$H69*'Activity data'!AC11*Constants!$H87*FracLEACHMM*MMLeachEF*NtoN2O*kgtoGg</f>
        <v>4.9274613281923407E-3</v>
      </c>
      <c r="AD178" s="22">
        <f>Constants!$H69*'Activity data'!AD11*Constants!$H87*FracLEACHMM*MMLeachEF*NtoN2O*kgtoGg</f>
        <v>4.3937188119526471E-3</v>
      </c>
      <c r="AE178" s="22">
        <f>Constants!$H69*'Activity data'!AE11*Constants!$H87*FracLEACHMM*MMLeachEF*NtoN2O*kgtoGg</f>
        <v>4.3960996960187518E-3</v>
      </c>
      <c r="AF178" s="22">
        <f>Constants!$H69*'Activity data'!AF11*Constants!$H87*FracLEACHMM*MMLeachEF*NtoN2O*kgtoGg</f>
        <v>4.401515165315493E-3</v>
      </c>
      <c r="AG178" s="22">
        <f>Constants!$H69*'Activity data'!AG11*Constants!$H87*FracLEACHMM*MMLeachEF*NtoN2O*kgtoGg</f>
        <v>4.4098084663269262E-3</v>
      </c>
      <c r="AH178" s="22">
        <f>Constants!$H69*'Activity data'!AH11*Constants!$H87*FracLEACHMM*MMLeachEF*NtoN2O*kgtoGg</f>
        <v>4.4208259691058578E-3</v>
      </c>
      <c r="AI178" s="22">
        <f>Constants!$H69*'Activity data'!AI11*Constants!$H87*FracLEACHMM*MMLeachEF*NtoN2O*kgtoGg</f>
        <v>4.4346853916369978E-3</v>
      </c>
      <c r="AJ178" s="22">
        <f>Constants!$H69*'Activity data'!AJ11*Constants!$H87*FracLEACHMM*MMLeachEF*NtoN2O*kgtoGg</f>
        <v>4.4500466856368893E-3</v>
      </c>
      <c r="AK178" s="22">
        <f>Constants!$H69*'Activity data'!AK11*Constants!$H87*FracLEACHMM*MMLeachEF*NtoN2O*kgtoGg</f>
        <v>4.4669507634671826E-3</v>
      </c>
      <c r="AL178" s="22">
        <f>Constants!$H69*'Activity data'!AL11*Constants!$H87*FracLEACHMM*MMLeachEF*NtoN2O*kgtoGg</f>
        <v>4.4832474619252334E-3</v>
      </c>
      <c r="AM178" s="22">
        <f>Constants!$H69*'Activity data'!AM11*Constants!$H87*FracLEACHMM*MMLeachEF*NtoN2O*kgtoGg</f>
        <v>4.4897078040096183E-3</v>
      </c>
      <c r="AN178" s="22">
        <f>Constants!$H69*'Activity data'!AN11*Constants!$H87*FracLEACHMM*MMLeachEF*NtoN2O*kgtoGg</f>
        <v>4.4972532017230086E-3</v>
      </c>
      <c r="AO178" s="22">
        <f>Constants!$H69*'Activity data'!AO11*Constants!$H87*FracLEACHMM*MMLeachEF*NtoN2O*kgtoGg</f>
        <v>4.5058531479182035E-3</v>
      </c>
      <c r="AP178" s="22">
        <f>Constants!$H69*'Activity data'!AP11*Constants!$H87*FracLEACHMM*MMLeachEF*NtoN2O*kgtoGg</f>
        <v>4.5154753362526417E-3</v>
      </c>
      <c r="AQ178" s="22">
        <f>Constants!$H69*'Activity data'!AQ11*Constants!$H87*FracLEACHMM*MMLeachEF*NtoN2O*kgtoGg</f>
        <v>4.5260868327793649E-3</v>
      </c>
      <c r="AR178" s="22">
        <f>Constants!$H69*'Activity data'!AR11*Constants!$H87*FracLEACHMM*MMLeachEF*NtoN2O*kgtoGg</f>
        <v>4.5326034004993321E-3</v>
      </c>
      <c r="AS178" s="22">
        <f>Constants!$H69*'Activity data'!AS11*Constants!$H87*FracLEACHMM*MMLeachEF*NtoN2O*kgtoGg</f>
        <v>4.5399488011639653E-3</v>
      </c>
      <c r="AT178" s="22">
        <f>Constants!$H69*'Activity data'!AT11*Constants!$H87*FracLEACHMM*MMLeachEF*NtoN2O*kgtoGg</f>
        <v>4.5480883977595732E-3</v>
      </c>
      <c r="AU178" s="22">
        <f>Constants!$H69*'Activity data'!AU11*Constants!$H87*FracLEACHMM*MMLeachEF*NtoN2O*kgtoGg</f>
        <v>4.5570275275663855E-3</v>
      </c>
      <c r="AV178" s="22">
        <f>Constants!$H69*'Activity data'!AV11*Constants!$H87*FracLEACHMM*MMLeachEF*NtoN2O*kgtoGg</f>
        <v>4.5666456931117271E-3</v>
      </c>
      <c r="AW178" s="22">
        <f>Constants!$H69*'Activity data'!AW11*Constants!$H87*FracLEACHMM*MMLeachEF*NtoN2O*kgtoGg</f>
        <v>4.5730093036030562E-3</v>
      </c>
      <c r="AX178" s="22">
        <f>Constants!$H69*'Activity data'!AX11*Constants!$H87*FracLEACHMM*MMLeachEF*NtoN2O*kgtoGg</f>
        <v>4.5799956159965705E-3</v>
      </c>
      <c r="AY178" s="22">
        <f>Constants!$H69*'Activity data'!AY11*Constants!$H87*FracLEACHMM*MMLeachEF*NtoN2O*kgtoGg</f>
        <v>4.5875757841073745E-3</v>
      </c>
      <c r="AZ178" s="22">
        <f>Constants!$H69*'Activity data'!AZ11*Constants!$H87*FracLEACHMM*MMLeachEF*NtoN2O*kgtoGg</f>
        <v>4.5957228838202349E-3</v>
      </c>
      <c r="BA178" s="22">
        <f>Constants!$H69*'Activity data'!BA11*Constants!$H87*FracLEACHMM*MMLeachEF*NtoN2O*kgtoGg</f>
        <v>4.6043246055086978E-3</v>
      </c>
      <c r="BB178" s="22">
        <f>Constants!$H69*'Activity data'!BB11*Constants!$H87*FracLEACHMM*MMLeachEF*NtoN2O*kgtoGg</f>
        <v>4.6096577351275644E-3</v>
      </c>
      <c r="BC178" s="22">
        <f>Constants!$H69*'Activity data'!BC11*Constants!$H87*FracLEACHMM*MMLeachEF*NtoN2O*kgtoGg</f>
        <v>4.615512148048344E-3</v>
      </c>
      <c r="BD178" s="22">
        <f>Constants!$H69*'Activity data'!BD11*Constants!$H87*FracLEACHMM*MMLeachEF*NtoN2O*kgtoGg</f>
        <v>4.6218524770638173E-3</v>
      </c>
      <c r="BE178" s="22">
        <f>Constants!$H69*'Activity data'!BE11*Constants!$H87*FracLEACHMM*MMLeachEF*NtoN2O*kgtoGg</f>
        <v>4.6285952206574395E-3</v>
      </c>
      <c r="BF178" s="22">
        <f>Constants!$H69*'Activity data'!BF11*Constants!$H87*FracLEACHMM*MMLeachEF*NtoN2O*kgtoGg</f>
        <v>4.6357628727058137E-3</v>
      </c>
      <c r="BG178" s="22">
        <f>Constants!$H69*'Activity data'!BG11*Constants!$H87*FracLEACHMM*MMLeachEF*NtoN2O*kgtoGg</f>
        <v>4.6398155567091487E-3</v>
      </c>
      <c r="BH178" s="22">
        <f>Constants!$H69*'Activity data'!BH11*Constants!$H87*FracLEACHMM*MMLeachEF*NtoN2O*kgtoGg</f>
        <v>4.6442808857086078E-3</v>
      </c>
      <c r="BI178" s="22">
        <f>Constants!$H69*'Activity data'!BI11*Constants!$H87*FracLEACHMM*MMLeachEF*NtoN2O*kgtoGg</f>
        <v>4.649159241269317E-3</v>
      </c>
      <c r="BJ178" s="22">
        <f>Constants!$H69*'Activity data'!BJ11*Constants!$H87*FracLEACHMM*MMLeachEF*NtoN2O*kgtoGg</f>
        <v>4.6544343332087746E-3</v>
      </c>
      <c r="BK178" s="22">
        <f>Constants!$H69*'Activity data'!BK11*Constants!$H87*FracLEACHMM*MMLeachEF*NtoN2O*kgtoGg</f>
        <v>4.6601223351065918E-3</v>
      </c>
      <c r="BL178" s="22">
        <f>Constants!$H69*'Activity data'!BL11*Constants!$H87*FracLEACHMM*MMLeachEF*NtoN2O*kgtoGg</f>
        <v>4.6626146563354814E-3</v>
      </c>
      <c r="BM178" s="22">
        <f>Constants!$H69*'Activity data'!BM11*Constants!$H87*FracLEACHMM*MMLeachEF*NtoN2O*kgtoGg</f>
        <v>4.6654576716528345E-3</v>
      </c>
      <c r="BN178" s="22">
        <f>Constants!$H69*'Activity data'!BN11*Constants!$H87*FracLEACHMM*MMLeachEF*NtoN2O*kgtoGg</f>
        <v>4.668574459067763E-3</v>
      </c>
      <c r="BO178" s="22">
        <f>Constants!$H69*'Activity data'!BO11*Constants!$H87*FracLEACHMM*MMLeachEF*NtoN2O*kgtoGg</f>
        <v>4.6720296269575539E-3</v>
      </c>
      <c r="BP178" s="22">
        <f>Constants!$H69*'Activity data'!BP11*Constants!$H87*FracLEACHMM*MMLeachEF*NtoN2O*kgtoGg</f>
        <v>4.6758320785461336E-3</v>
      </c>
    </row>
    <row r="179" spans="1:68" x14ac:dyDescent="0.25">
      <c r="A179" t="str">
        <f t="shared" si="58"/>
        <v>3C Aggregated and non-CO2 emissions on land</v>
      </c>
      <c r="B179" t="str">
        <f t="shared" si="65"/>
        <v>3C6 Indirect N2O from manure management (N2O)</v>
      </c>
      <c r="C179" t="str">
        <f t="shared" si="67"/>
        <v>Leaching/runoff</v>
      </c>
      <c r="D179" t="str">
        <f t="shared" si="66"/>
        <v xml:space="preserve"> - Subsistence sheep</v>
      </c>
      <c r="E179" t="str">
        <f t="shared" si="64"/>
        <v>Leaching/runoff - Subsistence sheep</v>
      </c>
      <c r="F179" t="str">
        <f t="shared" si="47"/>
        <v>N2O</v>
      </c>
      <c r="G179" t="str">
        <f t="shared" si="48"/>
        <v>Gg N2O</v>
      </c>
      <c r="H179" s="22">
        <f>Constants!$H70*'Activity data'!H12*Constants!$H88*FracLEACHMM*MMLeachEF*NtoN2O*kgtoGg</f>
        <v>5.3816678004133863E-3</v>
      </c>
      <c r="I179" s="22">
        <f>Constants!$H70*'Activity data'!I12*Constants!$H88*FracLEACHMM*MMLeachEF*NtoN2O*kgtoGg</f>
        <v>5.1396821372839546E-3</v>
      </c>
      <c r="J179" s="22">
        <f>Constants!$H70*'Activity data'!J12*Constants!$H88*FracLEACHMM*MMLeachEF*NtoN2O*kgtoGg</f>
        <v>4.9273163809915805E-3</v>
      </c>
      <c r="K179" s="22">
        <f>Constants!$H70*'Activity data'!K12*Constants!$H88*FracLEACHMM*MMLeachEF*NtoN2O*kgtoGg</f>
        <v>4.6081394454989032E-3</v>
      </c>
      <c r="L179" s="22">
        <f>Constants!$H70*'Activity data'!L12*Constants!$H88*FracLEACHMM*MMLeachEF*NtoN2O*kgtoGg</f>
        <v>4.640631585726222E-3</v>
      </c>
      <c r="M179" s="22">
        <f>Constants!$H70*'Activity data'!M12*Constants!$H88*FracLEACHMM*MMLeachEF*NtoN2O*kgtoGg</f>
        <v>4.574211188576453E-3</v>
      </c>
      <c r="N179" s="22">
        <f>Constants!$H70*'Activity data'!N12*Constants!$H88*FracLEACHMM*MMLeachEF*NtoN2O*kgtoGg</f>
        <v>4.5894699284622113E-3</v>
      </c>
      <c r="O179" s="22">
        <f>Constants!$H70*'Activity data'!O12*Constants!$H88*FracLEACHMM*MMLeachEF*NtoN2O*kgtoGg</f>
        <v>4.4896598181506653E-3</v>
      </c>
      <c r="P179" s="22">
        <f>Constants!$H70*'Activity data'!P12*Constants!$H88*FracLEACHMM*MMLeachEF*NtoN2O*kgtoGg</f>
        <v>4.5020463246461771E-3</v>
      </c>
      <c r="Q179" s="22">
        <f>Constants!$H70*'Activity data'!Q12*Constants!$H88*FracLEACHMM*MMLeachEF*NtoN2O*kgtoGg</f>
        <v>4.3914653391211545E-3</v>
      </c>
      <c r="R179" s="22">
        <f>Constants!$H70*'Activity data'!R12*Constants!$H88*FracLEACHMM*MMLeachEF*NtoN2O*kgtoGg</f>
        <v>4.2340310464175105E-3</v>
      </c>
      <c r="S179" s="22">
        <f>Constants!$H70*'Activity data'!S12*Constants!$H88*FracLEACHMM*MMLeachEF*NtoN2O*kgtoGg</f>
        <v>4.1284764693254421E-3</v>
      </c>
      <c r="T179" s="22">
        <f>Constants!$H70*'Activity data'!T12*Constants!$H88*FracLEACHMM*MMLeachEF*NtoN2O*kgtoGg</f>
        <v>4.0595428679591952E-3</v>
      </c>
      <c r="U179" s="22">
        <f>Constants!$H70*'Activity data'!U12*Constants!$H88*FracLEACHMM*MMLeachEF*NtoN2O*kgtoGg</f>
        <v>4.0737245203236053E-3</v>
      </c>
      <c r="V179" s="22">
        <f>Constants!$H70*'Activity data'!V12*Constants!$H88*FracLEACHMM*MMLeachEF*NtoN2O*kgtoGg</f>
        <v>4.0012006272195314E-3</v>
      </c>
      <c r="W179" s="22">
        <f>Constants!$H70*'Activity data'!W12*Constants!$H88*FracLEACHMM*MMLeachEF*NtoN2O*kgtoGg</f>
        <v>3.9916863541142947E-3</v>
      </c>
      <c r="X179" s="22">
        <f>Constants!$H70*'Activity data'!X12*Constants!$H88*FracLEACHMM*MMLeachEF*NtoN2O*kgtoGg</f>
        <v>3.939447609328935E-3</v>
      </c>
      <c r="Y179" s="22">
        <f>Constants!$H70*'Activity data'!Y12*Constants!$H88*FracLEACHMM*MMLeachEF*NtoN2O*kgtoGg</f>
        <v>3.9356778030042172E-3</v>
      </c>
      <c r="Z179" s="22">
        <f>Constants!$H70*'Activity data'!Z12*Constants!$H88*FracLEACHMM*MMLeachEF*NtoN2O*kgtoGg</f>
        <v>3.9484233386734985E-3</v>
      </c>
      <c r="AA179" s="22">
        <f>Constants!$H70*'Activity data'!AA12*Constants!$H88*FracLEACHMM*MMLeachEF*NtoN2O*kgtoGg</f>
        <v>3.9344212008959783E-3</v>
      </c>
      <c r="AB179" s="22">
        <f>Constants!$H70*'Activity data'!AB12*Constants!$H88*FracLEACHMM*MMLeachEF*NtoN2O*kgtoGg</f>
        <v>3.8583070160540809E-3</v>
      </c>
      <c r="AC179" s="22">
        <f>Constants!$H70*'Activity data'!AC12*Constants!$H88*FracLEACHMM*MMLeachEF*NtoN2O*kgtoGg</f>
        <v>3.8281485654563466E-3</v>
      </c>
      <c r="AD179" s="22">
        <f>Constants!$H70*'Activity data'!AD12*Constants!$H88*FracLEACHMM*MMLeachEF*NtoN2O*kgtoGg</f>
        <v>3.6547832838140534E-3</v>
      </c>
      <c r="AE179" s="22">
        <f>Constants!$H70*'Activity data'!AE12*Constants!$H88*FracLEACHMM*MMLeachEF*NtoN2O*kgtoGg</f>
        <v>3.6567637508530073E-3</v>
      </c>
      <c r="AF179" s="22">
        <f>Constants!$H70*'Activity data'!AF12*Constants!$H88*FracLEACHMM*MMLeachEF*NtoN2O*kgtoGg</f>
        <v>3.6612684466487181E-3</v>
      </c>
      <c r="AG179" s="22">
        <f>Constants!$H70*'Activity data'!AG12*Constants!$H88*FracLEACHMM*MMLeachEF*NtoN2O*kgtoGg</f>
        <v>3.668166980487927E-3</v>
      </c>
      <c r="AH179" s="22">
        <f>Constants!$H70*'Activity data'!AH12*Constants!$H88*FracLEACHMM*MMLeachEF*NtoN2O*kgtoGg</f>
        <v>3.6773315599044048E-3</v>
      </c>
      <c r="AI179" s="22">
        <f>Constants!$H70*'Activity data'!AI12*Constants!$H88*FracLEACHMM*MMLeachEF*NtoN2O*kgtoGg</f>
        <v>3.6888601050749175E-3</v>
      </c>
      <c r="AJ179" s="22">
        <f>Constants!$H70*'Activity data'!AJ12*Constants!$H88*FracLEACHMM*MMLeachEF*NtoN2O*kgtoGg</f>
        <v>3.7016379370053143E-3</v>
      </c>
      <c r="AK179" s="22">
        <f>Constants!$H70*'Activity data'!AK12*Constants!$H88*FracLEACHMM*MMLeachEF*NtoN2O*kgtoGg</f>
        <v>3.7156990874172117E-3</v>
      </c>
      <c r="AL179" s="22">
        <f>Constants!$H70*'Activity data'!AL12*Constants!$H88*FracLEACHMM*MMLeachEF*NtoN2O*kgtoGg</f>
        <v>3.7292550075056371E-3</v>
      </c>
      <c r="AM179" s="22">
        <f>Constants!$H70*'Activity data'!AM12*Constants!$H88*FracLEACHMM*MMLeachEF*NtoN2O*kgtoGg</f>
        <v>3.7346288494077406E-3</v>
      </c>
      <c r="AN179" s="22">
        <f>Constants!$H70*'Activity data'!AN12*Constants!$H88*FracLEACHMM*MMLeachEF*NtoN2O*kgtoGg</f>
        <v>3.7409052623082672E-3</v>
      </c>
      <c r="AO179" s="22">
        <f>Constants!$H70*'Activity data'!AO12*Constants!$H88*FracLEACHMM*MMLeachEF*NtoN2O*kgtoGg</f>
        <v>3.7480588697513268E-3</v>
      </c>
      <c r="AP179" s="22">
        <f>Constants!$H70*'Activity data'!AP12*Constants!$H88*FracLEACHMM*MMLeachEF*NtoN2O*kgtoGg</f>
        <v>3.7560627986743048E-3</v>
      </c>
      <c r="AQ179" s="22">
        <f>Constants!$H70*'Activity data'!AQ12*Constants!$H88*FracLEACHMM*MMLeachEF*NtoN2O*kgtoGg</f>
        <v>3.7648896539606768E-3</v>
      </c>
      <c r="AR179" s="22">
        <f>Constants!$H70*'Activity data'!AR12*Constants!$H88*FracLEACHMM*MMLeachEF*NtoN2O*kgtoGg</f>
        <v>3.7703102654722716E-3</v>
      </c>
      <c r="AS179" s="22">
        <f>Constants!$H70*'Activity data'!AS12*Constants!$H88*FracLEACHMM*MMLeachEF*NtoN2O*kgtoGg</f>
        <v>3.7764203168230734E-3</v>
      </c>
      <c r="AT179" s="22">
        <f>Constants!$H70*'Activity data'!AT12*Constants!$H88*FracLEACHMM*MMLeachEF*NtoN2O*kgtoGg</f>
        <v>3.7831909962515549E-3</v>
      </c>
      <c r="AU179" s="22">
        <f>Constants!$H70*'Activity data'!AU12*Constants!$H88*FracLEACHMM*MMLeachEF*NtoN2O*kgtoGg</f>
        <v>3.7906267434142781E-3</v>
      </c>
      <c r="AV179" s="22">
        <f>Constants!$H70*'Activity data'!AV12*Constants!$H88*FracLEACHMM*MMLeachEF*NtoN2O*kgtoGg</f>
        <v>3.7986273261007356E-3</v>
      </c>
      <c r="AW179" s="22">
        <f>Constants!$H70*'Activity data'!AW12*Constants!$H88*FracLEACHMM*MMLeachEF*NtoN2O*kgtoGg</f>
        <v>3.8039207047268664E-3</v>
      </c>
      <c r="AX179" s="22">
        <f>Constants!$H70*'Activity data'!AX12*Constants!$H88*FracLEACHMM*MMLeachEF*NtoN2O*kgtoGg</f>
        <v>3.8097320592636779E-3</v>
      </c>
      <c r="AY179" s="22">
        <f>Constants!$H70*'Activity data'!AY12*Constants!$H88*FracLEACHMM*MMLeachEF*NtoN2O*kgtoGg</f>
        <v>3.8160373948769861E-3</v>
      </c>
      <c r="AZ179" s="22">
        <f>Constants!$H70*'Activity data'!AZ12*Constants!$H88*FracLEACHMM*MMLeachEF*NtoN2O*kgtoGg</f>
        <v>3.822814315548634E-3</v>
      </c>
      <c r="BA179" s="22">
        <f>Constants!$H70*'Activity data'!BA12*Constants!$H88*FracLEACHMM*MMLeachEF*NtoN2O*kgtoGg</f>
        <v>3.829969399882545E-3</v>
      </c>
      <c r="BB179" s="22">
        <f>Constants!$H70*'Activity data'!BB12*Constants!$H88*FracLEACHMM*MMLeachEF*NtoN2O*kgtoGg</f>
        <v>3.8344056038855014E-3</v>
      </c>
      <c r="BC179" s="22">
        <f>Constants!$H70*'Activity data'!BC12*Constants!$H88*FracLEACHMM*MMLeachEF*NtoN2O*kgtoGg</f>
        <v>3.8392754217767139E-3</v>
      </c>
      <c r="BD179" s="22">
        <f>Constants!$H70*'Activity data'!BD12*Constants!$H88*FracLEACHMM*MMLeachEF*NtoN2O*kgtoGg</f>
        <v>3.8445494344050597E-3</v>
      </c>
      <c r="BE179" s="22">
        <f>Constants!$H70*'Activity data'!BE12*Constants!$H88*FracLEACHMM*MMLeachEF*NtoN2O*kgtoGg</f>
        <v>3.8501581835371102E-3</v>
      </c>
      <c r="BF179" s="22">
        <f>Constants!$H70*'Activity data'!BF12*Constants!$H88*FracLEACHMM*MMLeachEF*NtoN2O*kgtoGg</f>
        <v>3.8561203800298234E-3</v>
      </c>
      <c r="BG179" s="22">
        <f>Constants!$H70*'Activity data'!BG12*Constants!$H88*FracLEACHMM*MMLeachEF*NtoN2O*kgtoGg</f>
        <v>3.8594914837312443E-3</v>
      </c>
      <c r="BH179" s="22">
        <f>Constants!$H70*'Activity data'!BH12*Constants!$H88*FracLEACHMM*MMLeachEF*NtoN2O*kgtoGg</f>
        <v>3.8632058338028854E-3</v>
      </c>
      <c r="BI179" s="22">
        <f>Constants!$H70*'Activity data'!BI12*Constants!$H88*FracLEACHMM*MMLeachEF*NtoN2O*kgtoGg</f>
        <v>3.8672637476382635E-3</v>
      </c>
      <c r="BJ179" s="22">
        <f>Constants!$H70*'Activity data'!BJ12*Constants!$H88*FracLEACHMM*MMLeachEF*NtoN2O*kgtoGg</f>
        <v>3.8716516747373891E-3</v>
      </c>
      <c r="BK179" s="22">
        <f>Constants!$H70*'Activity data'!BK12*Constants!$H88*FracLEACHMM*MMLeachEF*NtoN2O*kgtoGg</f>
        <v>3.8763830686076328E-3</v>
      </c>
      <c r="BL179" s="22">
        <f>Constants!$H70*'Activity data'!BL12*Constants!$H88*FracLEACHMM*MMLeachEF*NtoN2O*kgtoGg</f>
        <v>3.8784562313099111E-3</v>
      </c>
      <c r="BM179" s="22">
        <f>Constants!$H70*'Activity data'!BM12*Constants!$H88*FracLEACHMM*MMLeachEF*NtoN2O*kgtoGg</f>
        <v>3.8808211083769706E-3</v>
      </c>
      <c r="BN179" s="22">
        <f>Constants!$H70*'Activity data'!BN12*Constants!$H88*FracLEACHMM*MMLeachEF*NtoN2O*kgtoGg</f>
        <v>3.8834137145565676E-3</v>
      </c>
      <c r="BO179" s="22">
        <f>Constants!$H70*'Activity data'!BO12*Constants!$H88*FracLEACHMM*MMLeachEF*NtoN2O*kgtoGg</f>
        <v>3.8862877923905941E-3</v>
      </c>
      <c r="BP179" s="22">
        <f>Constants!$H70*'Activity data'!BP12*Constants!$H88*FracLEACHMM*MMLeachEF*NtoN2O*kgtoGg</f>
        <v>3.8894507477589824E-3</v>
      </c>
    </row>
    <row r="180" spans="1:68" x14ac:dyDescent="0.25">
      <c r="A180" t="str">
        <f t="shared" si="58"/>
        <v>3C Aggregated and non-CO2 emissions on land</v>
      </c>
      <c r="B180" t="str">
        <f t="shared" si="65"/>
        <v>3C6 Indirect N2O from manure management (N2O)</v>
      </c>
      <c r="C180" t="str">
        <f t="shared" si="67"/>
        <v>Leaching/runoff</v>
      </c>
      <c r="D180" t="str">
        <f t="shared" si="66"/>
        <v xml:space="preserve"> - Commercial goats</v>
      </c>
      <c r="E180" t="str">
        <f t="shared" si="64"/>
        <v>Leaching/runoff - Commercial goats</v>
      </c>
      <c r="F180" t="str">
        <f t="shared" si="47"/>
        <v>N2O</v>
      </c>
      <c r="G180" t="str">
        <f t="shared" si="48"/>
        <v>Gg N2O</v>
      </c>
      <c r="H180" s="22">
        <f>Constants!$H71*'Activity data'!H13*Constants!$H89*FracLEACHMM*MMLeachEF*NtoN2O*kgtoGg</f>
        <v>7.2865318808700474E-4</v>
      </c>
      <c r="I180" s="22">
        <f>Constants!$H71*'Activity data'!I13*Constants!$H89*FracLEACHMM*MMLeachEF*NtoN2O*kgtoGg</f>
        <v>6.4433535341651871E-4</v>
      </c>
      <c r="J180" s="22">
        <f>Constants!$H71*'Activity data'!J13*Constants!$H89*FracLEACHMM*MMLeachEF*NtoN2O*kgtoGg</f>
        <v>6.0020639321514246E-4</v>
      </c>
      <c r="K180" s="22">
        <f>Constants!$H71*'Activity data'!K13*Constants!$H89*FracLEACHMM*MMLeachEF*NtoN2O*kgtoGg</f>
        <v>5.6710967306411041E-4</v>
      </c>
      <c r="L180" s="22">
        <f>Constants!$H71*'Activity data'!L13*Constants!$H89*FracLEACHMM*MMLeachEF*NtoN2O*kgtoGg</f>
        <v>6.138653570869968E-4</v>
      </c>
      <c r="M180" s="22">
        <f>Constants!$H71*'Activity data'!M13*Constants!$H89*FracLEACHMM*MMLeachEF*NtoN2O*kgtoGg</f>
        <v>6.2227087331583042E-4</v>
      </c>
      <c r="N180" s="22">
        <f>Constants!$H71*'Activity data'!N13*Constants!$H89*FracLEACHMM*MMLeachEF*NtoN2O*kgtoGg</f>
        <v>6.3198975145541928E-4</v>
      </c>
      <c r="O180" s="22">
        <f>Constants!$H71*'Activity data'!O13*Constants!$H89*FracLEACHMM*MMLeachEF*NtoN2O*kgtoGg</f>
        <v>6.2883768286960682E-4</v>
      </c>
      <c r="P180" s="22">
        <f>Constants!$H71*'Activity data'!P13*Constants!$H89*FracLEACHMM*MMLeachEF*NtoN2O*kgtoGg</f>
        <v>6.1990682187647121E-4</v>
      </c>
      <c r="Q180" s="22">
        <f>Constants!$H71*'Activity data'!Q13*Constants!$H89*FracLEACHMM*MMLeachEF*NtoN2O*kgtoGg</f>
        <v>6.1071328850118467E-4</v>
      </c>
      <c r="R180" s="22">
        <f>Constants!$H71*'Activity data'!R13*Constants!$H89*FracLEACHMM*MMLeachEF*NtoN2O*kgtoGg</f>
        <v>6.1859345996571587E-4</v>
      </c>
      <c r="S180" s="22">
        <f>Constants!$H71*'Activity data'!S13*Constants!$H89*FracLEACHMM*MMLeachEF*NtoN2O*kgtoGg</f>
        <v>6.3750587148059137E-4</v>
      </c>
      <c r="T180" s="22">
        <f>Constants!$H71*'Activity data'!T13*Constants!$H89*FracLEACHMM*MMLeachEF*NtoN2O*kgtoGg</f>
        <v>5.8208199884672053E-4</v>
      </c>
      <c r="U180" s="22">
        <f>Constants!$H71*'Activity data'!U13*Constants!$H89*FracLEACHMM*MMLeachEF*NtoN2O*kgtoGg</f>
        <v>5.6737234544626167E-4</v>
      </c>
      <c r="V180" s="22">
        <f>Constants!$H71*'Activity data'!V13*Constants!$H89*FracLEACHMM*MMLeachEF*NtoN2O*kgtoGg</f>
        <v>5.6842303497486597E-4</v>
      </c>
      <c r="W180" s="22">
        <f>Constants!$H71*'Activity data'!W13*Constants!$H89*FracLEACHMM*MMLeachEF*NtoN2O*kgtoGg</f>
        <v>5.6106820827463643E-4</v>
      </c>
      <c r="X180" s="22">
        <f>Constants!$H71*'Activity data'!X13*Constants!$H89*FracLEACHMM*MMLeachEF*NtoN2O*kgtoGg</f>
        <v>5.7288846547143355E-4</v>
      </c>
      <c r="Y180" s="22">
        <f>Constants!$H71*'Activity data'!Y13*Constants!$H89*FracLEACHMM*MMLeachEF*NtoN2O*kgtoGg</f>
        <v>5.558147606316157E-4</v>
      </c>
      <c r="Z180" s="22">
        <f>Constants!$H71*'Activity data'!Z13*Constants!$H89*FracLEACHMM*MMLeachEF*NtoN2O*kgtoGg</f>
        <v>5.5528941586731361E-4</v>
      </c>
      <c r="AA180" s="22">
        <f>Constants!$H71*'Activity data'!AA13*Constants!$H89*FracLEACHMM*MMLeachEF*NtoN2O*kgtoGg</f>
        <v>5.4557053772772487E-4</v>
      </c>
      <c r="AB180" s="22">
        <f>Constants!$H71*'Activity data'!AB13*Constants!$H89*FracLEACHMM*MMLeachEF*NtoN2O*kgtoGg</f>
        <v>5.3900372817394858E-4</v>
      </c>
      <c r="AC180" s="22">
        <f>Constants!$H71*'Activity data'!AC13*Constants!$H89*FracLEACHMM*MMLeachEF*NtoN2O*kgtoGg</f>
        <v>5.3401295291307879E-4</v>
      </c>
      <c r="AD180" s="22">
        <f>Constants!$H71*'Activity data'!AD13*Constants!$H89*FracLEACHMM*MMLeachEF*NtoN2O*kgtoGg</f>
        <v>5.4306436356588443E-4</v>
      </c>
      <c r="AE180" s="22">
        <f>Constants!$H71*'Activity data'!AE13*Constants!$H89*FracLEACHMM*MMLeachEF*NtoN2O*kgtoGg</f>
        <v>5.4447799549957733E-4</v>
      </c>
      <c r="AF180" s="22">
        <f>Constants!$H71*'Activity data'!AF13*Constants!$H89*FracLEACHMM*MMLeachEF*NtoN2O*kgtoGg</f>
        <v>5.4637470343211645E-4</v>
      </c>
      <c r="AG180" s="22">
        <f>Constants!$H71*'Activity data'!AG13*Constants!$H89*FracLEACHMM*MMLeachEF*NtoN2O*kgtoGg</f>
        <v>5.4873227714193431E-4</v>
      </c>
      <c r="AH180" s="22">
        <f>Constants!$H71*'Activity data'!AH13*Constants!$H89*FracLEACHMM*MMLeachEF*NtoN2O*kgtoGg</f>
        <v>5.515275369285884E-4</v>
      </c>
      <c r="AI180" s="22">
        <f>Constants!$H71*'Activity data'!AI13*Constants!$H89*FracLEACHMM*MMLeachEF*NtoN2O*kgtoGg</f>
        <v>5.5478855747207833E-4</v>
      </c>
      <c r="AJ180" s="22">
        <f>Constants!$H71*'Activity data'!AJ13*Constants!$H89*FracLEACHMM*MMLeachEF*NtoN2O*kgtoGg</f>
        <v>5.5826107536756581E-4</v>
      </c>
      <c r="AK180" s="22">
        <f>Constants!$H71*'Activity data'!AK13*Constants!$H89*FracLEACHMM*MMLeachEF*NtoN2O*kgtoGg</f>
        <v>5.6195805825544494E-4</v>
      </c>
      <c r="AL180" s="22">
        <f>Constants!$H71*'Activity data'!AL13*Constants!$H89*FracLEACHMM*MMLeachEF*NtoN2O*kgtoGg</f>
        <v>5.654716284239431E-4</v>
      </c>
      <c r="AM180" s="22">
        <f>Constants!$H71*'Activity data'!AM13*Constants!$H89*FracLEACHMM*MMLeachEF*NtoN2O*kgtoGg</f>
        <v>5.6704449473048179E-4</v>
      </c>
      <c r="AN180" s="22">
        <f>Constants!$H71*'Activity data'!AN13*Constants!$H89*FracLEACHMM*MMLeachEF*NtoN2O*kgtoGg</f>
        <v>5.6877801042261235E-4</v>
      </c>
      <c r="AO180" s="22">
        <f>Constants!$H71*'Activity data'!AO13*Constants!$H89*FracLEACHMM*MMLeachEF*NtoN2O*kgtoGg</f>
        <v>5.7066881234885656E-4</v>
      </c>
      <c r="AP180" s="22">
        <f>Constants!$H71*'Activity data'!AP13*Constants!$H89*FracLEACHMM*MMLeachEF*NtoN2O*kgtoGg</f>
        <v>5.7271285489910308E-4</v>
      </c>
      <c r="AQ180" s="22">
        <f>Constants!$H71*'Activity data'!AQ13*Constants!$H89*FracLEACHMM*MMLeachEF*NtoN2O*kgtoGg</f>
        <v>5.7490569604807618E-4</v>
      </c>
      <c r="AR180" s="22">
        <f>Constants!$H71*'Activity data'!AR13*Constants!$H89*FracLEACHMM*MMLeachEF*NtoN2O*kgtoGg</f>
        <v>5.7628877749437183E-4</v>
      </c>
      <c r="AS180" s="22">
        <f>Constants!$H71*'Activity data'!AS13*Constants!$H89*FracLEACHMM*MMLeachEF*NtoN2O*kgtoGg</f>
        <v>5.7779758626889922E-4</v>
      </c>
      <c r="AT180" s="22">
        <f>Constants!$H71*'Activity data'!AT13*Constants!$H89*FracLEACHMM*MMLeachEF*NtoN2O*kgtoGg</f>
        <v>5.7942675808748273E-4</v>
      </c>
      <c r="AU180" s="22">
        <f>Constants!$H71*'Activity data'!AU13*Constants!$H89*FracLEACHMM*MMLeachEF*NtoN2O*kgtoGg</f>
        <v>5.8117830756765202E-4</v>
      </c>
      <c r="AV180" s="22">
        <f>Constants!$H71*'Activity data'!AV13*Constants!$H89*FracLEACHMM*MMLeachEF*NtoN2O*kgtoGg</f>
        <v>5.8303053087979402E-4</v>
      </c>
      <c r="AW180" s="22">
        <f>Constants!$H71*'Activity data'!AW13*Constants!$H89*FracLEACHMM*MMLeachEF*NtoN2O*kgtoGg</f>
        <v>5.8424944312245877E-4</v>
      </c>
      <c r="AX180" s="22">
        <f>Constants!$H71*'Activity data'!AX13*Constants!$H89*FracLEACHMM*MMLeachEF*NtoN2O*kgtoGg</f>
        <v>5.855631185392897E-4</v>
      </c>
      <c r="AY180" s="22">
        <f>Constants!$H71*'Activity data'!AY13*Constants!$H89*FracLEACHMM*MMLeachEF*NtoN2O*kgtoGg</f>
        <v>5.8696680004846798E-4</v>
      </c>
      <c r="AZ180" s="22">
        <f>Constants!$H71*'Activity data'!AZ13*Constants!$H89*FracLEACHMM*MMLeachEF*NtoN2O*kgtoGg</f>
        <v>5.8845604057444279E-4</v>
      </c>
      <c r="BA180" s="22">
        <f>Constants!$H71*'Activity data'!BA13*Constants!$H89*FracLEACHMM*MMLeachEF*NtoN2O*kgtoGg</f>
        <v>5.9001052731960484E-4</v>
      </c>
      <c r="BB180" s="22">
        <f>Constants!$H71*'Activity data'!BB13*Constants!$H89*FracLEACHMM*MMLeachEF*NtoN2O*kgtoGg</f>
        <v>5.9094207784241742E-4</v>
      </c>
      <c r="BC180" s="22">
        <f>Constants!$H71*'Activity data'!BC13*Constants!$H89*FracLEACHMM*MMLeachEF*NtoN2O*kgtoGg</f>
        <v>5.9195479434648952E-4</v>
      </c>
      <c r="BD180" s="22">
        <f>Constants!$H71*'Activity data'!BD13*Constants!$H89*FracLEACHMM*MMLeachEF*NtoN2O*kgtoGg</f>
        <v>5.9304244867002312E-4</v>
      </c>
      <c r="BE180" s="22">
        <f>Constants!$H71*'Activity data'!BE13*Constants!$H89*FracLEACHMM*MMLeachEF*NtoN2O*kgtoGg</f>
        <v>5.9418995815931563E-4</v>
      </c>
      <c r="BF180" s="22">
        <f>Constants!$H71*'Activity data'!BF13*Constants!$H89*FracLEACHMM*MMLeachEF*NtoN2O*kgtoGg</f>
        <v>5.9540177145725101E-4</v>
      </c>
      <c r="BG180" s="22">
        <f>Constants!$H71*'Activity data'!BG13*Constants!$H89*FracLEACHMM*MMLeachEF*NtoN2O*kgtoGg</f>
        <v>5.9602925526727952E-4</v>
      </c>
      <c r="BH180" s="22">
        <f>Constants!$H71*'Activity data'!BH13*Constants!$H89*FracLEACHMM*MMLeachEF*NtoN2O*kgtoGg</f>
        <v>5.9672153346420937E-4</v>
      </c>
      <c r="BI180" s="22">
        <f>Constants!$H71*'Activity data'!BI13*Constants!$H89*FracLEACHMM*MMLeachEF*NtoN2O*kgtoGg</f>
        <v>5.9747882360559792E-4</v>
      </c>
      <c r="BJ180" s="22">
        <f>Constants!$H71*'Activity data'!BJ13*Constants!$H89*FracLEACHMM*MMLeachEF*NtoN2O*kgtoGg</f>
        <v>5.9829827565244654E-4</v>
      </c>
      <c r="BK180" s="22">
        <f>Constants!$H71*'Activity data'!BK13*Constants!$H89*FracLEACHMM*MMLeachEF*NtoN2O*kgtoGg</f>
        <v>5.9918294574431584E-4</v>
      </c>
      <c r="BL180" s="22">
        <f>Constants!$H71*'Activity data'!BL13*Constants!$H89*FracLEACHMM*MMLeachEF*NtoN2O*kgtoGg</f>
        <v>5.9947701794663491E-4</v>
      </c>
      <c r="BM180" s="22">
        <f>Constants!$H71*'Activity data'!BM13*Constants!$H89*FracLEACHMM*MMLeachEF*NtoN2O*kgtoGg</f>
        <v>5.9982729248858277E-4</v>
      </c>
      <c r="BN180" s="22">
        <f>Constants!$H71*'Activity data'!BN13*Constants!$H89*FracLEACHMM*MMLeachEF*NtoN2O*kgtoGg</f>
        <v>6.0021988307698158E-4</v>
      </c>
      <c r="BO180" s="22">
        <f>Constants!$H71*'Activity data'!BO13*Constants!$H89*FracLEACHMM*MMLeachEF*NtoN2O*kgtoGg</f>
        <v>6.0066657690214967E-4</v>
      </c>
      <c r="BP180" s="22">
        <f>Constants!$H71*'Activity data'!BP13*Constants!$H89*FracLEACHMM*MMLeachEF*NtoN2O*kgtoGg</f>
        <v>6.0116901178912548E-4</v>
      </c>
    </row>
    <row r="181" spans="1:68" x14ac:dyDescent="0.25">
      <c r="A181" t="str">
        <f t="shared" si="58"/>
        <v>3C Aggregated and non-CO2 emissions on land</v>
      </c>
      <c r="B181" t="str">
        <f t="shared" si="65"/>
        <v>3C6 Indirect N2O from manure management (N2O)</v>
      </c>
      <c r="C181" t="str">
        <f t="shared" si="67"/>
        <v>Leaching/runoff</v>
      </c>
      <c r="D181" t="str">
        <f t="shared" si="66"/>
        <v xml:space="preserve"> - Subsistence goats</v>
      </c>
      <c r="E181" t="str">
        <f t="shared" si="64"/>
        <v>Leaching/runoff - Subsistence goats</v>
      </c>
      <c r="F181" t="str">
        <f t="shared" si="47"/>
        <v>N2O</v>
      </c>
      <c r="G181" t="str">
        <f t="shared" si="48"/>
        <v>Gg N2O</v>
      </c>
      <c r="H181" s="22">
        <f>Constants!$H72*'Activity data'!H14*Constants!$H90*FracLEACHMM*MMLeachEF*NtoN2O*kgtoGg</f>
        <v>9.1435792098573387E-3</v>
      </c>
      <c r="I181" s="22">
        <f>Constants!$H72*'Activity data'!I14*Constants!$H90*FracLEACHMM*MMLeachEF*NtoN2O*kgtoGg</f>
        <v>8.0855082198197752E-3</v>
      </c>
      <c r="J181" s="22">
        <f>Constants!$H72*'Activity data'!J14*Constants!$H90*FracLEACHMM*MMLeachEF*NtoN2O*kgtoGg</f>
        <v>7.5317514399870309E-3</v>
      </c>
      <c r="K181" s="22">
        <f>Constants!$H72*'Activity data'!K14*Constants!$H90*FracLEACHMM*MMLeachEF*NtoN2O*kgtoGg</f>
        <v>7.1164338551124723E-3</v>
      </c>
      <c r="L181" s="22">
        <f>Constants!$H72*'Activity data'!L14*Constants!$H90*FracLEACHMM*MMLeachEF*NtoN2O*kgtoGg</f>
        <v>7.7031523480304998E-3</v>
      </c>
      <c r="M181" s="22">
        <f>Constants!$H72*'Activity data'!M14*Constants!$H90*FracLEACHMM*MMLeachEF*NtoN2O*kgtoGg</f>
        <v>7.808629829903403E-3</v>
      </c>
      <c r="N181" s="22">
        <f>Constants!$H72*'Activity data'!N14*Constants!$H90*FracLEACHMM*MMLeachEF*NtoN2O*kgtoGg</f>
        <v>7.9305881683189496E-3</v>
      </c>
      <c r="O181" s="22">
        <f>Constants!$H72*'Activity data'!O14*Constants!$H90*FracLEACHMM*MMLeachEF*NtoN2O*kgtoGg</f>
        <v>7.8910341126166086E-3</v>
      </c>
      <c r="P181" s="22">
        <f>Constants!$H72*'Activity data'!P14*Constants!$H90*FracLEACHMM*MMLeachEF*NtoN2O*kgtoGg</f>
        <v>7.7789642881266486E-3</v>
      </c>
      <c r="Q181" s="22">
        <f>Constants!$H72*'Activity data'!Q14*Constants!$H90*FracLEACHMM*MMLeachEF*NtoN2O*kgtoGg</f>
        <v>7.6635982923281606E-3</v>
      </c>
      <c r="R181" s="22">
        <f>Constants!$H72*'Activity data'!R14*Constants!$H90*FracLEACHMM*MMLeachEF*NtoN2O*kgtoGg</f>
        <v>7.7624834315840096E-3</v>
      </c>
      <c r="S181" s="22">
        <f>Constants!$H72*'Activity data'!S14*Constants!$H90*FracLEACHMM*MMLeachEF*NtoN2O*kgtoGg</f>
        <v>7.9998077657980407E-3</v>
      </c>
      <c r="T181" s="22">
        <f>Constants!$H72*'Activity data'!T14*Constants!$H90*FracLEACHMM*MMLeachEF*NtoN2O*kgtoGg</f>
        <v>7.3043156196985837E-3</v>
      </c>
      <c r="U181" s="22">
        <f>Constants!$H72*'Activity data'!U14*Constants!$H90*FracLEACHMM*MMLeachEF*NtoN2O*kgtoGg</f>
        <v>7.1197300264210003E-3</v>
      </c>
      <c r="V181" s="22">
        <f>Constants!$H72*'Activity data'!V14*Constants!$H90*FracLEACHMM*MMLeachEF*NtoN2O*kgtoGg</f>
        <v>7.1329147116551139E-3</v>
      </c>
      <c r="W181" s="22">
        <f>Constants!$H72*'Activity data'!W14*Constants!$H90*FracLEACHMM*MMLeachEF*NtoN2O*kgtoGg</f>
        <v>7.0406219150163226E-3</v>
      </c>
      <c r="X181" s="22">
        <f>Constants!$H72*'Activity data'!X14*Constants!$H90*FracLEACHMM*MMLeachEF*NtoN2O*kgtoGg</f>
        <v>7.1889496239000948E-3</v>
      </c>
      <c r="Y181" s="22">
        <f>Constants!$H72*'Activity data'!Y14*Constants!$H90*FracLEACHMM*MMLeachEF*NtoN2O*kgtoGg</f>
        <v>6.9746984888457595E-3</v>
      </c>
      <c r="Z181" s="22">
        <f>Constants!$H72*'Activity data'!Z14*Constants!$H90*FracLEACHMM*MMLeachEF*NtoN2O*kgtoGg</f>
        <v>6.9681061462287001E-3</v>
      </c>
      <c r="AA181" s="22">
        <f>Constants!$H72*'Activity data'!AA14*Constants!$H90*FracLEACHMM*MMLeachEF*NtoN2O*kgtoGg</f>
        <v>6.846147807813157E-3</v>
      </c>
      <c r="AB181" s="22">
        <f>Constants!$H72*'Activity data'!AB14*Constants!$H90*FracLEACHMM*MMLeachEF*NtoN2O*kgtoGg</f>
        <v>6.7637435250999514E-3</v>
      </c>
      <c r="AC181" s="22">
        <f>Constants!$H72*'Activity data'!AC14*Constants!$H90*FracLEACHMM*MMLeachEF*NtoN2O*kgtoGg</f>
        <v>6.7011162702379145E-3</v>
      </c>
      <c r="AD181" s="22">
        <f>Constants!$H72*'Activity data'!AD14*Constants!$H90*FracLEACHMM*MMLeachEF*NtoN2O*kgtoGg</f>
        <v>6.6972152689589864E-3</v>
      </c>
      <c r="AE181" s="22">
        <f>Constants!$H72*'Activity data'!AE14*Constants!$H90*FracLEACHMM*MMLeachEF*NtoN2O*kgtoGg</f>
        <v>6.7146485568087937E-3</v>
      </c>
      <c r="AF181" s="22">
        <f>Constants!$H72*'Activity data'!AF14*Constants!$H90*FracLEACHMM*MMLeachEF*NtoN2O*kgtoGg</f>
        <v>6.7380392673373713E-3</v>
      </c>
      <c r="AG181" s="22">
        <f>Constants!$H72*'Activity data'!AG14*Constants!$H90*FracLEACHMM*MMLeachEF*NtoN2O*kgtoGg</f>
        <v>6.7671134981401706E-3</v>
      </c>
      <c r="AH181" s="22">
        <f>Constants!$H72*'Activity data'!AH14*Constants!$H90*FracLEACHMM*MMLeachEF*NtoN2O*kgtoGg</f>
        <v>6.8015853909393293E-3</v>
      </c>
      <c r="AI181" s="22">
        <f>Constants!$H72*'Activity data'!AI14*Constants!$H90*FracLEACHMM*MMLeachEF*NtoN2O*kgtoGg</f>
        <v>6.8418011702124247E-3</v>
      </c>
      <c r="AJ181" s="22">
        <f>Constants!$H72*'Activity data'!AJ14*Constants!$H90*FracLEACHMM*MMLeachEF*NtoN2O*kgtoGg</f>
        <v>6.8846251915101681E-3</v>
      </c>
      <c r="AK181" s="22">
        <f>Constants!$H72*'Activity data'!AK14*Constants!$H90*FracLEACHMM*MMLeachEF*NtoN2O*kgtoGg</f>
        <v>6.9302173752491415E-3</v>
      </c>
      <c r="AL181" s="22">
        <f>Constants!$H72*'Activity data'!AL14*Constants!$H90*FracLEACHMM*MMLeachEF*NtoN2O*kgtoGg</f>
        <v>6.9735476641793774E-3</v>
      </c>
      <c r="AM181" s="22">
        <f>Constants!$H72*'Activity data'!AM14*Constants!$H90*FracLEACHMM*MMLeachEF*NtoN2O*kgtoGg</f>
        <v>6.9929446729888219E-3</v>
      </c>
      <c r="AN181" s="22">
        <f>Constants!$H72*'Activity data'!AN14*Constants!$H90*FracLEACHMM*MMLeachEF*NtoN2O*kgtoGg</f>
        <v>7.0143228530743012E-3</v>
      </c>
      <c r="AO181" s="22">
        <f>Constants!$H72*'Activity data'!AO14*Constants!$H90*FracLEACHMM*MMLeachEF*NtoN2O*kgtoGg</f>
        <v>7.0376407291504808E-3</v>
      </c>
      <c r="AP181" s="22">
        <f>Constants!$H72*'Activity data'!AP14*Constants!$H90*FracLEACHMM*MMLeachEF*NtoN2O*kgtoGg</f>
        <v>7.0628484096692794E-3</v>
      </c>
      <c r="AQ181" s="22">
        <f>Constants!$H72*'Activity data'!AQ14*Constants!$H90*FracLEACHMM*MMLeachEF*NtoN2O*kgtoGg</f>
        <v>7.0898911143845601E-3</v>
      </c>
      <c r="AR181" s="22">
        <f>Constants!$H72*'Activity data'!AR14*Constants!$H90*FracLEACHMM*MMLeachEF*NtoN2O*kgtoGg</f>
        <v>7.1069476454364688E-3</v>
      </c>
      <c r="AS181" s="22">
        <f>Constants!$H72*'Activity data'!AS14*Constants!$H90*FracLEACHMM*MMLeachEF*NtoN2O*kgtoGg</f>
        <v>7.1255546795941736E-3</v>
      </c>
      <c r="AT181" s="22">
        <f>Constants!$H72*'Activity data'!AT14*Constants!$H90*FracLEACHMM*MMLeachEF*NtoN2O*kgtoGg</f>
        <v>7.1456460630676382E-3</v>
      </c>
      <c r="AU181" s="22">
        <f>Constants!$H72*'Activity data'!AU14*Constants!$H90*FracLEACHMM*MMLeachEF*NtoN2O*kgtoGg</f>
        <v>7.167246640660139E-3</v>
      </c>
      <c r="AV181" s="22">
        <f>Constants!$H72*'Activity data'!AV14*Constants!$H90*FracLEACHMM*MMLeachEF*NtoN2O*kgtoGg</f>
        <v>7.1900887549284104E-3</v>
      </c>
      <c r="AW181" s="22">
        <f>Constants!$H72*'Activity data'!AW14*Constants!$H90*FracLEACHMM*MMLeachEF*NtoN2O*kgtoGg</f>
        <v>7.2051207073649389E-3</v>
      </c>
      <c r="AX181" s="22">
        <f>Constants!$H72*'Activity data'!AX14*Constants!$H90*FracLEACHMM*MMLeachEF*NtoN2O*kgtoGg</f>
        <v>7.2213213046611541E-3</v>
      </c>
      <c r="AY181" s="22">
        <f>Constants!$H72*'Activity data'!AY14*Constants!$H90*FracLEACHMM*MMLeachEF*NtoN2O*kgtoGg</f>
        <v>7.2386318812092034E-3</v>
      </c>
      <c r="AZ181" s="22">
        <f>Constants!$H72*'Activity data'!AZ14*Constants!$H90*FracLEACHMM*MMLeachEF*NtoN2O*kgtoGg</f>
        <v>7.2569975944816057E-3</v>
      </c>
      <c r="BA181" s="22">
        <f>Constants!$H72*'Activity data'!BA14*Constants!$H90*FracLEACHMM*MMLeachEF*NtoN2O*kgtoGg</f>
        <v>7.2761679416145589E-3</v>
      </c>
      <c r="BB181" s="22">
        <f>Constants!$H72*'Activity data'!BB14*Constants!$H90*FracLEACHMM*MMLeachEF*NtoN2O*kgtoGg</f>
        <v>7.2876560723109324E-3</v>
      </c>
      <c r="BC181" s="22">
        <f>Constants!$H72*'Activity data'!BC14*Constants!$H90*FracLEACHMM*MMLeachEF*NtoN2O*kgtoGg</f>
        <v>7.3001451636401111E-3</v>
      </c>
      <c r="BD181" s="22">
        <f>Constants!$H72*'Activity data'!BD14*Constants!$H90*FracLEACHMM*MMLeachEF*NtoN2O*kgtoGg</f>
        <v>7.3135584082417082E-3</v>
      </c>
      <c r="BE181" s="22">
        <f>Constants!$H72*'Activity data'!BE14*Constants!$H90*FracLEACHMM*MMLeachEF*NtoN2O*kgtoGg</f>
        <v>7.3277098027882065E-3</v>
      </c>
      <c r="BF181" s="22">
        <f>Constants!$H72*'Activity data'!BF14*Constants!$H90*FracLEACHMM*MMLeachEF*NtoN2O*kgtoGg</f>
        <v>7.3426542091358628E-3</v>
      </c>
      <c r="BG181" s="22">
        <f>Constants!$H72*'Activity data'!BG14*Constants!$H90*FracLEACHMM*MMLeachEF*NtoN2O*kgtoGg</f>
        <v>7.3503925076424228E-3</v>
      </c>
      <c r="BH181" s="22">
        <f>Constants!$H72*'Activity data'!BH14*Constants!$H90*FracLEACHMM*MMLeachEF*NtoN2O*kgtoGg</f>
        <v>7.3589298678926962E-3</v>
      </c>
      <c r="BI181" s="22">
        <f>Constants!$H72*'Activity data'!BI14*Constants!$H90*FracLEACHMM*MMLeachEF*NtoN2O*kgtoGg</f>
        <v>7.3682689728647791E-3</v>
      </c>
      <c r="BJ181" s="22">
        <f>Constants!$H72*'Activity data'!BJ14*Constants!$H90*FracLEACHMM*MMLeachEF*NtoN2O*kgtoGg</f>
        <v>7.3783746751139518E-3</v>
      </c>
      <c r="BK181" s="22">
        <f>Constants!$H72*'Activity data'!BK14*Constants!$H90*FracLEACHMM*MMLeachEF*NtoN2O*kgtoGg</f>
        <v>7.3892846637723039E-3</v>
      </c>
      <c r="BL181" s="22">
        <f>Constants!$H72*'Activity data'!BL14*Constants!$H90*FracLEACHMM*MMLeachEF*NtoN2O*kgtoGg</f>
        <v>7.3929112409806029E-3</v>
      </c>
      <c r="BM181" s="22">
        <f>Constants!$H72*'Activity data'!BM14*Constants!$H90*FracLEACHMM*MMLeachEF*NtoN2O*kgtoGg</f>
        <v>7.3972309205030387E-3</v>
      </c>
      <c r="BN181" s="22">
        <f>Constants!$H72*'Activity data'!BN14*Constants!$H90*FracLEACHMM*MMLeachEF*NtoN2O*kgtoGg</f>
        <v>7.402072452850717E-3</v>
      </c>
      <c r="BO181" s="22">
        <f>Constants!$H72*'Activity data'!BO14*Constants!$H90*FracLEACHMM*MMLeachEF*NtoN2O*kgtoGg</f>
        <v>7.4075812008135211E-3</v>
      </c>
      <c r="BP181" s="22">
        <f>Constants!$H72*'Activity data'!BP14*Constants!$H90*FracLEACHMM*MMLeachEF*NtoN2O*kgtoGg</f>
        <v>7.4137773624887568E-3</v>
      </c>
    </row>
    <row r="182" spans="1:68" x14ac:dyDescent="0.25">
      <c r="A182" t="str">
        <f t="shared" si="58"/>
        <v>3C Aggregated and non-CO2 emissions on land</v>
      </c>
      <c r="B182" t="str">
        <f t="shared" si="65"/>
        <v>3C6 Indirect N2O from manure management (N2O)</v>
      </c>
      <c r="C182" t="str">
        <f t="shared" si="67"/>
        <v>Leaching/runoff</v>
      </c>
      <c r="D182" t="str">
        <f t="shared" si="66"/>
        <v xml:space="preserve"> - Horses</v>
      </c>
      <c r="E182" t="str">
        <f t="shared" si="64"/>
        <v>Leaching/runoff - Horses</v>
      </c>
      <c r="F182" t="str">
        <f t="shared" si="47"/>
        <v>N2O</v>
      </c>
      <c r="G182" t="str">
        <f t="shared" si="48"/>
        <v>Gg N2O</v>
      </c>
      <c r="H182" s="22">
        <f>Constants!$H73*'Activity data'!H15*Constants!$H91*FracLEACHMM*MMLeachEF*NtoN2O*kgtoGg</f>
        <v>0</v>
      </c>
      <c r="I182" s="22">
        <f>Constants!$H73*'Activity data'!I15*Constants!$H91*FracLEACHMM*MMLeachEF*NtoN2O*kgtoGg</f>
        <v>0</v>
      </c>
      <c r="J182" s="22">
        <f>Constants!$H73*'Activity data'!J15*Constants!$H91*FracLEACHMM*MMLeachEF*NtoN2O*kgtoGg</f>
        <v>0</v>
      </c>
      <c r="K182" s="22">
        <f>Constants!$H73*'Activity data'!K15*Constants!$H91*FracLEACHMM*MMLeachEF*NtoN2O*kgtoGg</f>
        <v>0</v>
      </c>
      <c r="L182" s="22">
        <f>Constants!$H73*'Activity data'!L15*Constants!$H91*FracLEACHMM*MMLeachEF*NtoN2O*kgtoGg</f>
        <v>0</v>
      </c>
      <c r="M182" s="22">
        <f>Constants!$H73*'Activity data'!M15*Constants!$H91*FracLEACHMM*MMLeachEF*NtoN2O*kgtoGg</f>
        <v>0</v>
      </c>
      <c r="N182" s="22">
        <f>Constants!$H73*'Activity data'!N15*Constants!$H91*FracLEACHMM*MMLeachEF*NtoN2O*kgtoGg</f>
        <v>0</v>
      </c>
      <c r="O182" s="22">
        <f>Constants!$H73*'Activity data'!O15*Constants!$H91*FracLEACHMM*MMLeachEF*NtoN2O*kgtoGg</f>
        <v>0</v>
      </c>
      <c r="P182" s="22">
        <f>Constants!$H73*'Activity data'!P15*Constants!$H91*FracLEACHMM*MMLeachEF*NtoN2O*kgtoGg</f>
        <v>0</v>
      </c>
      <c r="Q182" s="22">
        <f>Constants!$H73*'Activity data'!Q15*Constants!$H91*FracLEACHMM*MMLeachEF*NtoN2O*kgtoGg</f>
        <v>0</v>
      </c>
      <c r="R182" s="22">
        <f>Constants!$H73*'Activity data'!R15*Constants!$H91*FracLEACHMM*MMLeachEF*NtoN2O*kgtoGg</f>
        <v>0</v>
      </c>
      <c r="S182" s="22">
        <f>Constants!$H73*'Activity data'!S15*Constants!$H91*FracLEACHMM*MMLeachEF*NtoN2O*kgtoGg</f>
        <v>0</v>
      </c>
      <c r="T182" s="22">
        <f>Constants!$H73*'Activity data'!T15*Constants!$H91*FracLEACHMM*MMLeachEF*NtoN2O*kgtoGg</f>
        <v>0</v>
      </c>
      <c r="U182" s="22">
        <f>Constants!$H73*'Activity data'!U15*Constants!$H91*FracLEACHMM*MMLeachEF*NtoN2O*kgtoGg</f>
        <v>0</v>
      </c>
      <c r="V182" s="22">
        <f>Constants!$H73*'Activity data'!V15*Constants!$H91*FracLEACHMM*MMLeachEF*NtoN2O*kgtoGg</f>
        <v>0</v>
      </c>
      <c r="W182" s="22">
        <f>Constants!$H73*'Activity data'!W15*Constants!$H91*FracLEACHMM*MMLeachEF*NtoN2O*kgtoGg</f>
        <v>0</v>
      </c>
      <c r="X182" s="22">
        <f>Constants!$H73*'Activity data'!X15*Constants!$H91*FracLEACHMM*MMLeachEF*NtoN2O*kgtoGg</f>
        <v>0</v>
      </c>
      <c r="Y182" s="22">
        <f>Constants!$H73*'Activity data'!Y15*Constants!$H91*FracLEACHMM*MMLeachEF*NtoN2O*kgtoGg</f>
        <v>0</v>
      </c>
      <c r="Z182" s="22">
        <f>Constants!$H73*'Activity data'!Z15*Constants!$H91*FracLEACHMM*MMLeachEF*NtoN2O*kgtoGg</f>
        <v>0</v>
      </c>
      <c r="AA182" s="22">
        <f>Constants!$H73*'Activity data'!AA15*Constants!$H91*FracLEACHMM*MMLeachEF*NtoN2O*kgtoGg</f>
        <v>0</v>
      </c>
      <c r="AB182" s="22">
        <f>Constants!$H73*'Activity data'!AB15*Constants!$H91*FracLEACHMM*MMLeachEF*NtoN2O*kgtoGg</f>
        <v>0</v>
      </c>
      <c r="AC182" s="22">
        <f>Constants!$H73*'Activity data'!AC15*Constants!$H91*FracLEACHMM*MMLeachEF*NtoN2O*kgtoGg</f>
        <v>0</v>
      </c>
      <c r="AD182" s="22">
        <f>Constants!$H73*'Activity data'!AD15*Constants!$H91*FracLEACHMM*MMLeachEF*NtoN2O*kgtoGg</f>
        <v>0</v>
      </c>
      <c r="AE182" s="22">
        <f>Constants!$H73*'Activity data'!AE15*Constants!$H91*FracLEACHMM*MMLeachEF*NtoN2O*kgtoGg</f>
        <v>0</v>
      </c>
      <c r="AF182" s="22">
        <f>Constants!$H73*'Activity data'!AF15*Constants!$H91*FracLEACHMM*MMLeachEF*NtoN2O*kgtoGg</f>
        <v>0</v>
      </c>
      <c r="AG182" s="22">
        <f>Constants!$H73*'Activity data'!AG15*Constants!$H91*FracLEACHMM*MMLeachEF*NtoN2O*kgtoGg</f>
        <v>0</v>
      </c>
      <c r="AH182" s="22">
        <f>Constants!$H73*'Activity data'!AH15*Constants!$H91*FracLEACHMM*MMLeachEF*NtoN2O*kgtoGg</f>
        <v>0</v>
      </c>
      <c r="AI182" s="22">
        <f>Constants!$H73*'Activity data'!AI15*Constants!$H91*FracLEACHMM*MMLeachEF*NtoN2O*kgtoGg</f>
        <v>0</v>
      </c>
      <c r="AJ182" s="22">
        <f>Constants!$H73*'Activity data'!AJ15*Constants!$H91*FracLEACHMM*MMLeachEF*NtoN2O*kgtoGg</f>
        <v>0</v>
      </c>
      <c r="AK182" s="22">
        <f>Constants!$H73*'Activity data'!AK15*Constants!$H91*FracLEACHMM*MMLeachEF*NtoN2O*kgtoGg</f>
        <v>0</v>
      </c>
      <c r="AL182" s="22">
        <f>Constants!$H73*'Activity data'!AL15*Constants!$H91*FracLEACHMM*MMLeachEF*NtoN2O*kgtoGg</f>
        <v>0</v>
      </c>
      <c r="AM182" s="22">
        <f>Constants!$H73*'Activity data'!AM15*Constants!$H91*FracLEACHMM*MMLeachEF*NtoN2O*kgtoGg</f>
        <v>0</v>
      </c>
      <c r="AN182" s="22">
        <f>Constants!$H73*'Activity data'!AN15*Constants!$H91*FracLEACHMM*MMLeachEF*NtoN2O*kgtoGg</f>
        <v>0</v>
      </c>
      <c r="AO182" s="22">
        <f>Constants!$H73*'Activity data'!AO15*Constants!$H91*FracLEACHMM*MMLeachEF*NtoN2O*kgtoGg</f>
        <v>0</v>
      </c>
      <c r="AP182" s="22">
        <f>Constants!$H73*'Activity data'!AP15*Constants!$H91*FracLEACHMM*MMLeachEF*NtoN2O*kgtoGg</f>
        <v>0</v>
      </c>
      <c r="AQ182" s="22">
        <f>Constants!$H73*'Activity data'!AQ15*Constants!$H91*FracLEACHMM*MMLeachEF*NtoN2O*kgtoGg</f>
        <v>0</v>
      </c>
      <c r="AR182" s="22">
        <f>Constants!$H73*'Activity data'!AR15*Constants!$H91*FracLEACHMM*MMLeachEF*NtoN2O*kgtoGg</f>
        <v>0</v>
      </c>
      <c r="AS182" s="22">
        <f>Constants!$H73*'Activity data'!AS15*Constants!$H91*FracLEACHMM*MMLeachEF*NtoN2O*kgtoGg</f>
        <v>0</v>
      </c>
      <c r="AT182" s="22">
        <f>Constants!$H73*'Activity data'!AT15*Constants!$H91*FracLEACHMM*MMLeachEF*NtoN2O*kgtoGg</f>
        <v>0</v>
      </c>
      <c r="AU182" s="22">
        <f>Constants!$H73*'Activity data'!AU15*Constants!$H91*FracLEACHMM*MMLeachEF*NtoN2O*kgtoGg</f>
        <v>0</v>
      </c>
      <c r="AV182" s="22">
        <f>Constants!$H73*'Activity data'!AV15*Constants!$H91*FracLEACHMM*MMLeachEF*NtoN2O*kgtoGg</f>
        <v>0</v>
      </c>
      <c r="AW182" s="22">
        <f>Constants!$H73*'Activity data'!AW15*Constants!$H91*FracLEACHMM*MMLeachEF*NtoN2O*kgtoGg</f>
        <v>0</v>
      </c>
      <c r="AX182" s="22">
        <f>Constants!$H73*'Activity data'!AX15*Constants!$H91*FracLEACHMM*MMLeachEF*NtoN2O*kgtoGg</f>
        <v>0</v>
      </c>
      <c r="AY182" s="22">
        <f>Constants!$H73*'Activity data'!AY15*Constants!$H91*FracLEACHMM*MMLeachEF*NtoN2O*kgtoGg</f>
        <v>0</v>
      </c>
      <c r="AZ182" s="22">
        <f>Constants!$H73*'Activity data'!AZ15*Constants!$H91*FracLEACHMM*MMLeachEF*NtoN2O*kgtoGg</f>
        <v>0</v>
      </c>
      <c r="BA182" s="22">
        <f>Constants!$H73*'Activity data'!BA15*Constants!$H91*FracLEACHMM*MMLeachEF*NtoN2O*kgtoGg</f>
        <v>0</v>
      </c>
      <c r="BB182" s="22">
        <f>Constants!$H73*'Activity data'!BB15*Constants!$H91*FracLEACHMM*MMLeachEF*NtoN2O*kgtoGg</f>
        <v>0</v>
      </c>
      <c r="BC182" s="22">
        <f>Constants!$H73*'Activity data'!BC15*Constants!$H91*FracLEACHMM*MMLeachEF*NtoN2O*kgtoGg</f>
        <v>0</v>
      </c>
      <c r="BD182" s="22">
        <f>Constants!$H73*'Activity data'!BD15*Constants!$H91*FracLEACHMM*MMLeachEF*NtoN2O*kgtoGg</f>
        <v>0</v>
      </c>
      <c r="BE182" s="22">
        <f>Constants!$H73*'Activity data'!BE15*Constants!$H91*FracLEACHMM*MMLeachEF*NtoN2O*kgtoGg</f>
        <v>0</v>
      </c>
      <c r="BF182" s="22">
        <f>Constants!$H73*'Activity data'!BF15*Constants!$H91*FracLEACHMM*MMLeachEF*NtoN2O*kgtoGg</f>
        <v>0</v>
      </c>
      <c r="BG182" s="22">
        <f>Constants!$H73*'Activity data'!BG15*Constants!$H91*FracLEACHMM*MMLeachEF*NtoN2O*kgtoGg</f>
        <v>0</v>
      </c>
      <c r="BH182" s="22">
        <f>Constants!$H73*'Activity data'!BH15*Constants!$H91*FracLEACHMM*MMLeachEF*NtoN2O*kgtoGg</f>
        <v>0</v>
      </c>
      <c r="BI182" s="22">
        <f>Constants!$H73*'Activity data'!BI15*Constants!$H91*FracLEACHMM*MMLeachEF*NtoN2O*kgtoGg</f>
        <v>0</v>
      </c>
      <c r="BJ182" s="22">
        <f>Constants!$H73*'Activity data'!BJ15*Constants!$H91*FracLEACHMM*MMLeachEF*NtoN2O*kgtoGg</f>
        <v>0</v>
      </c>
      <c r="BK182" s="22">
        <f>Constants!$H73*'Activity data'!BK15*Constants!$H91*FracLEACHMM*MMLeachEF*NtoN2O*kgtoGg</f>
        <v>0</v>
      </c>
      <c r="BL182" s="22">
        <f>Constants!$H73*'Activity data'!BL15*Constants!$H91*FracLEACHMM*MMLeachEF*NtoN2O*kgtoGg</f>
        <v>0</v>
      </c>
      <c r="BM182" s="22">
        <f>Constants!$H73*'Activity data'!BM15*Constants!$H91*FracLEACHMM*MMLeachEF*NtoN2O*kgtoGg</f>
        <v>0</v>
      </c>
      <c r="BN182" s="22">
        <f>Constants!$H73*'Activity data'!BN15*Constants!$H91*FracLEACHMM*MMLeachEF*NtoN2O*kgtoGg</f>
        <v>0</v>
      </c>
      <c r="BO182" s="22">
        <f>Constants!$H73*'Activity data'!BO15*Constants!$H91*FracLEACHMM*MMLeachEF*NtoN2O*kgtoGg</f>
        <v>0</v>
      </c>
      <c r="BP182" s="22">
        <f>Constants!$H73*'Activity data'!BP15*Constants!$H91*FracLEACHMM*MMLeachEF*NtoN2O*kgtoGg</f>
        <v>0</v>
      </c>
    </row>
    <row r="183" spans="1:68" x14ac:dyDescent="0.25">
      <c r="A183" t="str">
        <f t="shared" si="58"/>
        <v>3C Aggregated and non-CO2 emissions on land</v>
      </c>
      <c r="B183" t="str">
        <f t="shared" si="65"/>
        <v>3C6 Indirect N2O from manure management (N2O)</v>
      </c>
      <c r="C183" t="str">
        <f t="shared" si="67"/>
        <v>Leaching/runoff</v>
      </c>
      <c r="D183" t="str">
        <f t="shared" si="66"/>
        <v xml:space="preserve"> - Mules &amp; Asses</v>
      </c>
      <c r="E183" t="str">
        <f t="shared" si="64"/>
        <v>Leaching/runoff - Mules &amp; Asses</v>
      </c>
      <c r="F183" t="str">
        <f t="shared" si="47"/>
        <v>N2O</v>
      </c>
      <c r="G183" t="str">
        <f t="shared" si="48"/>
        <v>Gg N2O</v>
      </c>
      <c r="H183" s="22">
        <f>Constants!$H74*'Activity data'!H16*Constants!$H92*FracLEACHMM*MMLeachEF*NtoN2O*kgtoGg</f>
        <v>0</v>
      </c>
      <c r="I183" s="22">
        <f>Constants!$H74*'Activity data'!I16*Constants!$H92*FracLEACHMM*MMLeachEF*NtoN2O*kgtoGg</f>
        <v>0</v>
      </c>
      <c r="J183" s="22">
        <f>Constants!$H74*'Activity data'!J16*Constants!$H92*FracLEACHMM*MMLeachEF*NtoN2O*kgtoGg</f>
        <v>0</v>
      </c>
      <c r="K183" s="22">
        <f>Constants!$H74*'Activity data'!K16*Constants!$H92*FracLEACHMM*MMLeachEF*NtoN2O*kgtoGg</f>
        <v>0</v>
      </c>
      <c r="L183" s="22">
        <f>Constants!$H74*'Activity data'!L16*Constants!$H92*FracLEACHMM*MMLeachEF*NtoN2O*kgtoGg</f>
        <v>0</v>
      </c>
      <c r="M183" s="22">
        <f>Constants!$H74*'Activity data'!M16*Constants!$H92*FracLEACHMM*MMLeachEF*NtoN2O*kgtoGg</f>
        <v>0</v>
      </c>
      <c r="N183" s="22">
        <f>Constants!$H74*'Activity data'!N16*Constants!$H92*FracLEACHMM*MMLeachEF*NtoN2O*kgtoGg</f>
        <v>0</v>
      </c>
      <c r="O183" s="22">
        <f>Constants!$H74*'Activity data'!O16*Constants!$H92*FracLEACHMM*MMLeachEF*NtoN2O*kgtoGg</f>
        <v>0</v>
      </c>
      <c r="P183" s="22">
        <f>Constants!$H74*'Activity data'!P16*Constants!$H92*FracLEACHMM*MMLeachEF*NtoN2O*kgtoGg</f>
        <v>0</v>
      </c>
      <c r="Q183" s="22">
        <f>Constants!$H74*'Activity data'!Q16*Constants!$H92*FracLEACHMM*MMLeachEF*NtoN2O*kgtoGg</f>
        <v>0</v>
      </c>
      <c r="R183" s="22">
        <f>Constants!$H74*'Activity data'!R16*Constants!$H92*FracLEACHMM*MMLeachEF*NtoN2O*kgtoGg</f>
        <v>0</v>
      </c>
      <c r="S183" s="22">
        <f>Constants!$H74*'Activity data'!S16*Constants!$H92*FracLEACHMM*MMLeachEF*NtoN2O*kgtoGg</f>
        <v>0</v>
      </c>
      <c r="T183" s="22">
        <f>Constants!$H74*'Activity data'!T16*Constants!$H92*FracLEACHMM*MMLeachEF*NtoN2O*kgtoGg</f>
        <v>0</v>
      </c>
      <c r="U183" s="22">
        <f>Constants!$H74*'Activity data'!U16*Constants!$H92*FracLEACHMM*MMLeachEF*NtoN2O*kgtoGg</f>
        <v>0</v>
      </c>
      <c r="V183" s="22">
        <f>Constants!$H74*'Activity data'!V16*Constants!$H92*FracLEACHMM*MMLeachEF*NtoN2O*kgtoGg</f>
        <v>0</v>
      </c>
      <c r="W183" s="22">
        <f>Constants!$H74*'Activity data'!W16*Constants!$H92*FracLEACHMM*MMLeachEF*NtoN2O*kgtoGg</f>
        <v>0</v>
      </c>
      <c r="X183" s="22">
        <f>Constants!$H74*'Activity data'!X16*Constants!$H92*FracLEACHMM*MMLeachEF*NtoN2O*kgtoGg</f>
        <v>0</v>
      </c>
      <c r="Y183" s="22">
        <f>Constants!$H74*'Activity data'!Y16*Constants!$H92*FracLEACHMM*MMLeachEF*NtoN2O*kgtoGg</f>
        <v>0</v>
      </c>
      <c r="Z183" s="22">
        <f>Constants!$H74*'Activity data'!Z16*Constants!$H92*FracLEACHMM*MMLeachEF*NtoN2O*kgtoGg</f>
        <v>0</v>
      </c>
      <c r="AA183" s="22">
        <f>Constants!$H74*'Activity data'!AA16*Constants!$H92*FracLEACHMM*MMLeachEF*NtoN2O*kgtoGg</f>
        <v>0</v>
      </c>
      <c r="AB183" s="22">
        <f>Constants!$H74*'Activity data'!AB16*Constants!$H92*FracLEACHMM*MMLeachEF*NtoN2O*kgtoGg</f>
        <v>0</v>
      </c>
      <c r="AC183" s="22">
        <f>Constants!$H74*'Activity data'!AC16*Constants!$H92*FracLEACHMM*MMLeachEF*NtoN2O*kgtoGg</f>
        <v>0</v>
      </c>
      <c r="AD183" s="22">
        <f>Constants!$H74*'Activity data'!AD16*Constants!$H92*FracLEACHMM*MMLeachEF*NtoN2O*kgtoGg</f>
        <v>0</v>
      </c>
      <c r="AE183" s="22">
        <f>Constants!$H74*'Activity data'!AE16*Constants!$H92*FracLEACHMM*MMLeachEF*NtoN2O*kgtoGg</f>
        <v>0</v>
      </c>
      <c r="AF183" s="22">
        <f>Constants!$H74*'Activity data'!AF16*Constants!$H92*FracLEACHMM*MMLeachEF*NtoN2O*kgtoGg</f>
        <v>0</v>
      </c>
      <c r="AG183" s="22">
        <f>Constants!$H74*'Activity data'!AG16*Constants!$H92*FracLEACHMM*MMLeachEF*NtoN2O*kgtoGg</f>
        <v>0</v>
      </c>
      <c r="AH183" s="22">
        <f>Constants!$H74*'Activity data'!AH16*Constants!$H92*FracLEACHMM*MMLeachEF*NtoN2O*kgtoGg</f>
        <v>0</v>
      </c>
      <c r="AI183" s="22">
        <f>Constants!$H74*'Activity data'!AI16*Constants!$H92*FracLEACHMM*MMLeachEF*NtoN2O*kgtoGg</f>
        <v>0</v>
      </c>
      <c r="AJ183" s="22">
        <f>Constants!$H74*'Activity data'!AJ16*Constants!$H92*FracLEACHMM*MMLeachEF*NtoN2O*kgtoGg</f>
        <v>0</v>
      </c>
      <c r="AK183" s="22">
        <f>Constants!$H74*'Activity data'!AK16*Constants!$H92*FracLEACHMM*MMLeachEF*NtoN2O*kgtoGg</f>
        <v>0</v>
      </c>
      <c r="AL183" s="22">
        <f>Constants!$H74*'Activity data'!AL16*Constants!$H92*FracLEACHMM*MMLeachEF*NtoN2O*kgtoGg</f>
        <v>0</v>
      </c>
      <c r="AM183" s="22">
        <f>Constants!$H74*'Activity data'!AM16*Constants!$H92*FracLEACHMM*MMLeachEF*NtoN2O*kgtoGg</f>
        <v>0</v>
      </c>
      <c r="AN183" s="22">
        <f>Constants!$H74*'Activity data'!AN16*Constants!$H92*FracLEACHMM*MMLeachEF*NtoN2O*kgtoGg</f>
        <v>0</v>
      </c>
      <c r="AO183" s="22">
        <f>Constants!$H74*'Activity data'!AO16*Constants!$H92*FracLEACHMM*MMLeachEF*NtoN2O*kgtoGg</f>
        <v>0</v>
      </c>
      <c r="AP183" s="22">
        <f>Constants!$H74*'Activity data'!AP16*Constants!$H92*FracLEACHMM*MMLeachEF*NtoN2O*kgtoGg</f>
        <v>0</v>
      </c>
      <c r="AQ183" s="22">
        <f>Constants!$H74*'Activity data'!AQ16*Constants!$H92*FracLEACHMM*MMLeachEF*NtoN2O*kgtoGg</f>
        <v>0</v>
      </c>
      <c r="AR183" s="22">
        <f>Constants!$H74*'Activity data'!AR16*Constants!$H92*FracLEACHMM*MMLeachEF*NtoN2O*kgtoGg</f>
        <v>0</v>
      </c>
      <c r="AS183" s="22">
        <f>Constants!$H74*'Activity data'!AS16*Constants!$H92*FracLEACHMM*MMLeachEF*NtoN2O*kgtoGg</f>
        <v>0</v>
      </c>
      <c r="AT183" s="22">
        <f>Constants!$H74*'Activity data'!AT16*Constants!$H92*FracLEACHMM*MMLeachEF*NtoN2O*kgtoGg</f>
        <v>0</v>
      </c>
      <c r="AU183" s="22">
        <f>Constants!$H74*'Activity data'!AU16*Constants!$H92*FracLEACHMM*MMLeachEF*NtoN2O*kgtoGg</f>
        <v>0</v>
      </c>
      <c r="AV183" s="22">
        <f>Constants!$H74*'Activity data'!AV16*Constants!$H92*FracLEACHMM*MMLeachEF*NtoN2O*kgtoGg</f>
        <v>0</v>
      </c>
      <c r="AW183" s="22">
        <f>Constants!$H74*'Activity data'!AW16*Constants!$H92*FracLEACHMM*MMLeachEF*NtoN2O*kgtoGg</f>
        <v>0</v>
      </c>
      <c r="AX183" s="22">
        <f>Constants!$H74*'Activity data'!AX16*Constants!$H92*FracLEACHMM*MMLeachEF*NtoN2O*kgtoGg</f>
        <v>0</v>
      </c>
      <c r="AY183" s="22">
        <f>Constants!$H74*'Activity data'!AY16*Constants!$H92*FracLEACHMM*MMLeachEF*NtoN2O*kgtoGg</f>
        <v>0</v>
      </c>
      <c r="AZ183" s="22">
        <f>Constants!$H74*'Activity data'!AZ16*Constants!$H92*FracLEACHMM*MMLeachEF*NtoN2O*kgtoGg</f>
        <v>0</v>
      </c>
      <c r="BA183" s="22">
        <f>Constants!$H74*'Activity data'!BA16*Constants!$H92*FracLEACHMM*MMLeachEF*NtoN2O*kgtoGg</f>
        <v>0</v>
      </c>
      <c r="BB183" s="22">
        <f>Constants!$H74*'Activity data'!BB16*Constants!$H92*FracLEACHMM*MMLeachEF*NtoN2O*kgtoGg</f>
        <v>0</v>
      </c>
      <c r="BC183" s="22">
        <f>Constants!$H74*'Activity data'!BC16*Constants!$H92*FracLEACHMM*MMLeachEF*NtoN2O*kgtoGg</f>
        <v>0</v>
      </c>
      <c r="BD183" s="22">
        <f>Constants!$H74*'Activity data'!BD16*Constants!$H92*FracLEACHMM*MMLeachEF*NtoN2O*kgtoGg</f>
        <v>0</v>
      </c>
      <c r="BE183" s="22">
        <f>Constants!$H74*'Activity data'!BE16*Constants!$H92*FracLEACHMM*MMLeachEF*NtoN2O*kgtoGg</f>
        <v>0</v>
      </c>
      <c r="BF183" s="22">
        <f>Constants!$H74*'Activity data'!BF16*Constants!$H92*FracLEACHMM*MMLeachEF*NtoN2O*kgtoGg</f>
        <v>0</v>
      </c>
      <c r="BG183" s="22">
        <f>Constants!$H74*'Activity data'!BG16*Constants!$H92*FracLEACHMM*MMLeachEF*NtoN2O*kgtoGg</f>
        <v>0</v>
      </c>
      <c r="BH183" s="22">
        <f>Constants!$H74*'Activity data'!BH16*Constants!$H92*FracLEACHMM*MMLeachEF*NtoN2O*kgtoGg</f>
        <v>0</v>
      </c>
      <c r="BI183" s="22">
        <f>Constants!$H74*'Activity data'!BI16*Constants!$H92*FracLEACHMM*MMLeachEF*NtoN2O*kgtoGg</f>
        <v>0</v>
      </c>
      <c r="BJ183" s="22">
        <f>Constants!$H74*'Activity data'!BJ16*Constants!$H92*FracLEACHMM*MMLeachEF*NtoN2O*kgtoGg</f>
        <v>0</v>
      </c>
      <c r="BK183" s="22">
        <f>Constants!$H74*'Activity data'!BK16*Constants!$H92*FracLEACHMM*MMLeachEF*NtoN2O*kgtoGg</f>
        <v>0</v>
      </c>
      <c r="BL183" s="22">
        <f>Constants!$H74*'Activity data'!BL16*Constants!$H92*FracLEACHMM*MMLeachEF*NtoN2O*kgtoGg</f>
        <v>0</v>
      </c>
      <c r="BM183" s="22">
        <f>Constants!$H74*'Activity data'!BM16*Constants!$H92*FracLEACHMM*MMLeachEF*NtoN2O*kgtoGg</f>
        <v>0</v>
      </c>
      <c r="BN183" s="22">
        <f>Constants!$H74*'Activity data'!BN16*Constants!$H92*FracLEACHMM*MMLeachEF*NtoN2O*kgtoGg</f>
        <v>0</v>
      </c>
      <c r="BO183" s="22">
        <f>Constants!$H74*'Activity data'!BO16*Constants!$H92*FracLEACHMM*MMLeachEF*NtoN2O*kgtoGg</f>
        <v>0</v>
      </c>
      <c r="BP183" s="22">
        <f>Constants!$H74*'Activity data'!BP16*Constants!$H92*FracLEACHMM*MMLeachEF*NtoN2O*kgtoGg</f>
        <v>0</v>
      </c>
    </row>
    <row r="184" spans="1:68" x14ac:dyDescent="0.25">
      <c r="A184" t="str">
        <f t="shared" si="58"/>
        <v>3C Aggregated and non-CO2 emissions on land</v>
      </c>
      <c r="B184" t="str">
        <f t="shared" si="65"/>
        <v>3C6 Indirect N2O from manure management (N2O)</v>
      </c>
      <c r="C184" t="str">
        <f t="shared" si="67"/>
        <v>Leaching/runoff</v>
      </c>
      <c r="D184" t="str">
        <f t="shared" si="66"/>
        <v xml:space="preserve"> - Commercial swine</v>
      </c>
      <c r="E184" t="str">
        <f t="shared" si="64"/>
        <v>Leaching/runoff - Commercial swine</v>
      </c>
      <c r="F184" t="str">
        <f t="shared" si="47"/>
        <v>N2O</v>
      </c>
      <c r="G184" t="str">
        <f t="shared" si="48"/>
        <v>Gg N2O</v>
      </c>
      <c r="H184" s="22">
        <f>Constants!$H75*'Activity data'!H17*Constants!$H93*FracLEACHMM*MMLeachEF*NtoN2O*kgtoGg</f>
        <v>2.473216868571429E-2</v>
      </c>
      <c r="I184" s="22">
        <f>Constants!$H75*'Activity data'!I17*Constants!$H93*FracLEACHMM*MMLeachEF*NtoN2O*kgtoGg</f>
        <v>2.7020381142857142E-2</v>
      </c>
      <c r="J184" s="22">
        <f>Constants!$H75*'Activity data'!J17*Constants!$H93*FracLEACHMM*MMLeachEF*NtoN2O*kgtoGg</f>
        <v>2.6841868114285718E-2</v>
      </c>
      <c r="K184" s="22">
        <f>Constants!$H75*'Activity data'!K17*Constants!$H93*FracLEACHMM*MMLeachEF*NtoN2O*kgtoGg</f>
        <v>2.6825639657142863E-2</v>
      </c>
      <c r="L184" s="22">
        <f>Constants!$H75*'Activity data'!L17*Constants!$H93*FracLEACHMM*MMLeachEF*NtoN2O*kgtoGg</f>
        <v>2.5478677714285716E-2</v>
      </c>
      <c r="M184" s="22">
        <f>Constants!$H75*'Activity data'!M17*Constants!$H93*FracLEACHMM*MMLeachEF*NtoN2O*kgtoGg</f>
        <v>2.572210457142857E-2</v>
      </c>
      <c r="N184" s="22">
        <f>Constants!$H75*'Activity data'!N17*Constants!$H93*FracLEACHMM*MMLeachEF*NtoN2O*kgtoGg</f>
        <v>2.7701976342857142E-2</v>
      </c>
      <c r="O184" s="22">
        <f>Constants!$H75*'Activity data'!O17*Constants!$H93*FracLEACHMM*MMLeachEF*NtoN2O*kgtoGg</f>
        <v>2.7572148685714289E-2</v>
      </c>
      <c r="P184" s="22">
        <f>Constants!$H75*'Activity data'!P17*Constants!$H93*FracLEACHMM*MMLeachEF*NtoN2O*kgtoGg</f>
        <v>2.8172601599999996E-2</v>
      </c>
      <c r="Q184" s="22">
        <f>Constants!$H75*'Activity data'!Q17*Constants!$H93*FracLEACHMM*MMLeachEF*NtoN2O*kgtoGg</f>
        <v>2.8886653714285716E-2</v>
      </c>
      <c r="R184" s="22">
        <f>Constants!$H75*'Activity data'!R17*Constants!$H93*FracLEACHMM*MMLeachEF*NtoN2O*kgtoGg</f>
        <v>2.6728268914285716E-2</v>
      </c>
      <c r="S184" s="22">
        <f>Constants!$H75*'Activity data'!S17*Constants!$H93*FracLEACHMM*MMLeachEF*NtoN2O*kgtoGg</f>
        <v>2.7231351085714284E-2</v>
      </c>
      <c r="T184" s="22">
        <f>Constants!$H75*'Activity data'!T17*Constants!$H93*FracLEACHMM*MMLeachEF*NtoN2O*kgtoGg</f>
        <v>2.775066171428571E-2</v>
      </c>
      <c r="U184" s="22">
        <f>Constants!$H75*'Activity data'!U17*Constants!$H93*FracLEACHMM*MMLeachEF*NtoN2O*kgtoGg</f>
        <v>2.6987924228571426E-2</v>
      </c>
      <c r="V184" s="22">
        <f>Constants!$H75*'Activity data'!V17*Constants!$H93*FracLEACHMM*MMLeachEF*NtoN2O*kgtoGg</f>
        <v>2.6987924228571426E-2</v>
      </c>
      <c r="W184" s="22">
        <f>Constants!$H75*'Activity data'!W17*Constants!$H93*FracLEACHMM*MMLeachEF*NtoN2O*kgtoGg</f>
        <v>2.6793182742857146E-2</v>
      </c>
      <c r="X184" s="22">
        <f>Constants!$H75*'Activity data'!X17*Constants!$H93*FracLEACHMM*MMLeachEF*NtoN2O*kgtoGg</f>
        <v>2.6322557485714288E-2</v>
      </c>
      <c r="Y184" s="22">
        <f>Constants!$H75*'Activity data'!Y17*Constants!$H93*FracLEACHMM*MMLeachEF*NtoN2O*kgtoGg</f>
        <v>2.6793182742857146E-2</v>
      </c>
      <c r="Z184" s="22">
        <f>Constants!$H75*'Activity data'!Z17*Constants!$H93*FracLEACHMM*MMLeachEF*NtoN2O*kgtoGg</f>
        <v>2.6208958285714283E-2</v>
      </c>
      <c r="AA184" s="22">
        <f>Constants!$H75*'Activity data'!AA17*Constants!$H93*FracLEACHMM*MMLeachEF*NtoN2O*kgtoGg</f>
        <v>2.617650137142857E-2</v>
      </c>
      <c r="AB184" s="22">
        <f>Constants!$H75*'Activity data'!AB17*Constants!$H93*FracLEACHMM*MMLeachEF*NtoN2O*kgtoGg</f>
        <v>2.5868160685714285E-2</v>
      </c>
      <c r="AC184" s="22">
        <f>Constants!$H75*'Activity data'!AC17*Constants!$H93*FracLEACHMM*MMLeachEF*NtoN2O*kgtoGg</f>
        <v>2.5705876114285712E-2</v>
      </c>
      <c r="AD184" s="22">
        <f>Constants!$H75*'Activity data'!AD17*Constants!$H93*FracLEACHMM*MMLeachEF*NtoN2O*kgtoGg</f>
        <v>2.68818019739142E-2</v>
      </c>
      <c r="AE184" s="22">
        <f>Constants!$H75*'Activity data'!AE17*Constants!$H93*FracLEACHMM*MMLeachEF*NtoN2O*kgtoGg</f>
        <v>2.6879778460565888E-2</v>
      </c>
      <c r="AF184" s="22">
        <f>Constants!$H75*'Activity data'!AF17*Constants!$H93*FracLEACHMM*MMLeachEF*NtoN2O*kgtoGg</f>
        <v>2.6694059463786161E-2</v>
      </c>
      <c r="AG184" s="22">
        <f>Constants!$H75*'Activity data'!AG17*Constants!$H93*FracLEACHMM*MMLeachEF*NtoN2O*kgtoGg</f>
        <v>2.6379132024138205E-2</v>
      </c>
      <c r="AH184" s="22">
        <f>Constants!$H75*'Activity data'!AH17*Constants!$H93*FracLEACHMM*MMLeachEF*NtoN2O*kgtoGg</f>
        <v>2.5932389203388442E-2</v>
      </c>
      <c r="AI184" s="22">
        <f>Constants!$H75*'Activity data'!AI17*Constants!$H93*FracLEACHMM*MMLeachEF*NtoN2O*kgtoGg</f>
        <v>2.5690357489648499E-2</v>
      </c>
      <c r="AJ184" s="22">
        <f>Constants!$H75*'Activity data'!AJ17*Constants!$H93*FracLEACHMM*MMLeachEF*NtoN2O*kgtoGg</f>
        <v>2.5422243685660487E-2</v>
      </c>
      <c r="AK184" s="22">
        <f>Constants!$H75*'Activity data'!AK17*Constants!$H93*FracLEACHMM*MMLeachEF*NtoN2O*kgtoGg</f>
        <v>2.5152450124910367E-2</v>
      </c>
      <c r="AL184" s="22">
        <f>Constants!$H75*'Activity data'!AL17*Constants!$H93*FracLEACHMM*MMLeachEF*NtoN2O*kgtoGg</f>
        <v>2.2106404143194119E-2</v>
      </c>
      <c r="AM184" s="22">
        <f>Constants!$H75*'Activity data'!AM17*Constants!$H93*FracLEACHMM*MMLeachEF*NtoN2O*kgtoGg</f>
        <v>2.2289252466804292E-2</v>
      </c>
      <c r="AN184" s="22">
        <f>Constants!$H75*'Activity data'!AN17*Constants!$H93*FracLEACHMM*MMLeachEF*NtoN2O*kgtoGg</f>
        <v>2.2433040304555823E-2</v>
      </c>
      <c r="AO184" s="22">
        <f>Constants!$H75*'Activity data'!AO17*Constants!$H93*FracLEACHMM*MMLeachEF*NtoN2O*kgtoGg</f>
        <v>2.2585977309368746E-2</v>
      </c>
      <c r="AP184" s="22">
        <f>Constants!$H75*'Activity data'!AP17*Constants!$H93*FracLEACHMM*MMLeachEF*NtoN2O*kgtoGg</f>
        <v>2.2780748140098592E-2</v>
      </c>
      <c r="AQ184" s="22">
        <f>Constants!$H75*'Activity data'!AQ17*Constants!$H93*FracLEACHMM*MMLeachEF*NtoN2O*kgtoGg</f>
        <v>2.3038626307416696E-2</v>
      </c>
      <c r="AR184" s="22">
        <f>Constants!$H75*'Activity data'!AR17*Constants!$H93*FracLEACHMM*MMLeachEF*NtoN2O*kgtoGg</f>
        <v>2.3321702464293076E-2</v>
      </c>
      <c r="AS184" s="22">
        <f>Constants!$H75*'Activity data'!AS17*Constants!$H93*FracLEACHMM*MMLeachEF*NtoN2O*kgtoGg</f>
        <v>2.3640959528840096E-2</v>
      </c>
      <c r="AT184" s="22">
        <f>Constants!$H75*'Activity data'!AT17*Constants!$H93*FracLEACHMM*MMLeachEF*NtoN2O*kgtoGg</f>
        <v>2.3999670118245629E-2</v>
      </c>
      <c r="AU184" s="22">
        <f>Constants!$H75*'Activity data'!AU17*Constants!$H93*FracLEACHMM*MMLeachEF*NtoN2O*kgtoGg</f>
        <v>2.4442727094812593E-2</v>
      </c>
      <c r="AV184" s="22">
        <f>Constants!$H75*'Activity data'!AV17*Constants!$H93*FracLEACHMM*MMLeachEF*NtoN2O*kgtoGg</f>
        <v>2.4864081378541993E-2</v>
      </c>
      <c r="AW184" s="22">
        <f>Constants!$H75*'Activity data'!AW17*Constants!$H93*FracLEACHMM*MMLeachEF*NtoN2O*kgtoGg</f>
        <v>2.5417603885289883E-2</v>
      </c>
      <c r="AX184" s="22">
        <f>Constants!$H75*'Activity data'!AX17*Constants!$H93*FracLEACHMM*MMLeachEF*NtoN2O*kgtoGg</f>
        <v>2.5985901117830338E-2</v>
      </c>
      <c r="AY184" s="22">
        <f>Constants!$H75*'Activity data'!AY17*Constants!$H93*FracLEACHMM*MMLeachEF*NtoN2O*kgtoGg</f>
        <v>2.656361624049167E-2</v>
      </c>
      <c r="AZ184" s="22">
        <f>Constants!$H75*'Activity data'!AZ17*Constants!$H93*FracLEACHMM*MMLeachEF*NtoN2O*kgtoGg</f>
        <v>2.7145375556624572E-2</v>
      </c>
      <c r="BA184" s="22">
        <f>Constants!$H75*'Activity data'!BA17*Constants!$H93*FracLEACHMM*MMLeachEF*NtoN2O*kgtoGg</f>
        <v>2.7633410043317735E-2</v>
      </c>
      <c r="BB184" s="22">
        <f>Constants!$H75*'Activity data'!BB17*Constants!$H93*FracLEACHMM*MMLeachEF*NtoN2O*kgtoGg</f>
        <v>2.8148185105232863E-2</v>
      </c>
      <c r="BC184" s="22">
        <f>Constants!$H75*'Activity data'!BC17*Constants!$H93*FracLEACHMM*MMLeachEF*NtoN2O*kgtoGg</f>
        <v>2.8710051400526855E-2</v>
      </c>
      <c r="BD184" s="22">
        <f>Constants!$H75*'Activity data'!BD17*Constants!$H93*FracLEACHMM*MMLeachEF*NtoN2O*kgtoGg</f>
        <v>2.9297942637531355E-2</v>
      </c>
      <c r="BE184" s="22">
        <f>Constants!$H75*'Activity data'!BE17*Constants!$H93*FracLEACHMM*MMLeachEF*NtoN2O*kgtoGg</f>
        <v>2.984256180494153E-2</v>
      </c>
      <c r="BF184" s="22">
        <f>Constants!$H75*'Activity data'!BF17*Constants!$H93*FracLEACHMM*MMLeachEF*NtoN2O*kgtoGg</f>
        <v>3.0381811077032216E-2</v>
      </c>
      <c r="BG184" s="22">
        <f>Constants!$H75*'Activity data'!BG17*Constants!$H93*FracLEACHMM*MMLeachEF*NtoN2O*kgtoGg</f>
        <v>3.0941619640412116E-2</v>
      </c>
      <c r="BH184" s="22">
        <f>Constants!$H75*'Activity data'!BH17*Constants!$H93*FracLEACHMM*MMLeachEF*NtoN2O*kgtoGg</f>
        <v>3.1529210334141237E-2</v>
      </c>
      <c r="BI184" s="22">
        <f>Constants!$H75*'Activity data'!BI17*Constants!$H93*FracLEACHMM*MMLeachEF*NtoN2O*kgtoGg</f>
        <v>3.2154830373304993E-2</v>
      </c>
      <c r="BJ184" s="22">
        <f>Constants!$H75*'Activity data'!BJ17*Constants!$H93*FracLEACHMM*MMLeachEF*NtoN2O*kgtoGg</f>
        <v>3.2811810576252272E-2</v>
      </c>
      <c r="BK184" s="22">
        <f>Constants!$H75*'Activity data'!BK17*Constants!$H93*FracLEACHMM*MMLeachEF*NtoN2O*kgtoGg</f>
        <v>3.3522722405080474E-2</v>
      </c>
      <c r="BL184" s="22">
        <f>Constants!$H75*'Activity data'!BL17*Constants!$H93*FracLEACHMM*MMLeachEF*NtoN2O*kgtoGg</f>
        <v>3.4275566277020227E-2</v>
      </c>
      <c r="BM184" s="22">
        <f>Constants!$H75*'Activity data'!BM17*Constants!$H93*FracLEACHMM*MMLeachEF*NtoN2O*kgtoGg</f>
        <v>3.5053584056039977E-2</v>
      </c>
      <c r="BN184" s="22">
        <f>Constants!$H75*'Activity data'!BN17*Constants!$H93*FracLEACHMM*MMLeachEF*NtoN2O*kgtoGg</f>
        <v>3.5795975467396234E-2</v>
      </c>
      <c r="BO184" s="22">
        <f>Constants!$H75*'Activity data'!BO17*Constants!$H93*FracLEACHMM*MMLeachEF*NtoN2O*kgtoGg</f>
        <v>3.6566664734271753E-2</v>
      </c>
      <c r="BP184" s="22">
        <f>Constants!$H75*'Activity data'!BP17*Constants!$H93*FracLEACHMM*MMLeachEF*NtoN2O*kgtoGg</f>
        <v>3.7378134187554486E-2</v>
      </c>
    </row>
    <row r="185" spans="1:68" x14ac:dyDescent="0.25">
      <c r="A185" t="str">
        <f t="shared" si="58"/>
        <v>3C Aggregated and non-CO2 emissions on land</v>
      </c>
      <c r="B185" t="str">
        <f>B184</f>
        <v>3C6 Indirect N2O from manure management (N2O)</v>
      </c>
      <c r="C185" t="str">
        <f t="shared" si="67"/>
        <v>Leaching/runoff</v>
      </c>
      <c r="D185" t="str">
        <f>D169</f>
        <v xml:space="preserve"> - Subsistence swine</v>
      </c>
      <c r="E185" t="str">
        <f t="shared" si="64"/>
        <v>Leaching/runoff - Subsistence swine</v>
      </c>
      <c r="F185" t="str">
        <f t="shared" si="47"/>
        <v>N2O</v>
      </c>
      <c r="G185" t="str">
        <f t="shared" si="48"/>
        <v>Gg N2O</v>
      </c>
      <c r="H185" s="22">
        <f>Constants!$H76*'Activity data'!H18*Constants!$H94*FracLEACHMM*MMLeachEF*NtoN2O*kgtoGg</f>
        <v>3.5396781390192064E-3</v>
      </c>
      <c r="I185" s="22">
        <f>Constants!$H76*'Activity data'!I18*Constants!$H94*FracLEACHMM*MMLeachEF*NtoN2O*kgtoGg</f>
        <v>3.867168045582008E-3</v>
      </c>
      <c r="J185" s="22">
        <f>Constants!$H76*'Activity data'!J18*Constants!$H94*FracLEACHMM*MMLeachEF*NtoN2O*kgtoGg</f>
        <v>3.8416191876232074E-3</v>
      </c>
      <c r="K185" s="22">
        <f>Constants!$H76*'Activity data'!K18*Constants!$H94*FracLEACHMM*MMLeachEF*NtoN2O*kgtoGg</f>
        <v>3.8392965641724079E-3</v>
      </c>
      <c r="L185" s="22">
        <f>Constants!$H76*'Activity data'!L18*Constants!$H94*FracLEACHMM*MMLeachEF*NtoN2O*kgtoGg</f>
        <v>3.6465188177560062E-3</v>
      </c>
      <c r="M185" s="22">
        <f>Constants!$H76*'Activity data'!M18*Constants!$H94*FracLEACHMM*MMLeachEF*NtoN2O*kgtoGg</f>
        <v>3.6813581695180077E-3</v>
      </c>
      <c r="N185" s="22">
        <f>Constants!$H76*'Activity data'!N18*Constants!$H94*FracLEACHMM*MMLeachEF*NtoN2O*kgtoGg</f>
        <v>3.9647182305156074E-3</v>
      </c>
      <c r="O185" s="22">
        <f>Constants!$H76*'Activity data'!O18*Constants!$H94*FracLEACHMM*MMLeachEF*NtoN2O*kgtoGg</f>
        <v>3.9461372429092081E-3</v>
      </c>
      <c r="P185" s="22">
        <f>Constants!$H76*'Activity data'!P18*Constants!$H94*FracLEACHMM*MMLeachEF*NtoN2O*kgtoGg</f>
        <v>4.0320743105888082E-3</v>
      </c>
      <c r="Q185" s="22">
        <f>Constants!$H76*'Activity data'!Q18*Constants!$H94*FracLEACHMM*MMLeachEF*NtoN2O*kgtoGg</f>
        <v>4.1342697424240071E-3</v>
      </c>
      <c r="R185" s="22">
        <f>Constants!$H76*'Activity data'!R18*Constants!$H94*FracLEACHMM*MMLeachEF*NtoN2O*kgtoGg</f>
        <v>3.8253608234676073E-3</v>
      </c>
      <c r="S185" s="22">
        <f>Constants!$H76*'Activity data'!S18*Constants!$H94*FracLEACHMM*MMLeachEF*NtoN2O*kgtoGg</f>
        <v>3.8973621504424074E-3</v>
      </c>
      <c r="T185" s="22">
        <f>Constants!$H76*'Activity data'!T18*Constants!$H94*FracLEACHMM*MMLeachEF*NtoN2O*kgtoGg</f>
        <v>3.9716861008680087E-3</v>
      </c>
      <c r="U185" s="22">
        <f>Constants!$H76*'Activity data'!U18*Constants!$H94*FracLEACHMM*MMLeachEF*NtoN2O*kgtoGg</f>
        <v>3.8625227986804071E-3</v>
      </c>
      <c r="V185" s="22">
        <f>Constants!$H76*'Activity data'!V18*Constants!$H94*FracLEACHMM*MMLeachEF*NtoN2O*kgtoGg</f>
        <v>3.8625227986804071E-3</v>
      </c>
      <c r="W185" s="22">
        <f>Constants!$H76*'Activity data'!W18*Constants!$H94*FracLEACHMM*MMLeachEF*NtoN2O*kgtoGg</f>
        <v>3.8346513172708078E-3</v>
      </c>
      <c r="X185" s="22">
        <f>Constants!$H76*'Activity data'!X18*Constants!$H94*FracLEACHMM*MMLeachEF*NtoN2O*kgtoGg</f>
        <v>3.7672952371976065E-3</v>
      </c>
      <c r="Y185" s="22">
        <f>Constants!$H76*'Activity data'!Y18*Constants!$H94*FracLEACHMM*MMLeachEF*NtoN2O*kgtoGg</f>
        <v>3.8346513172708078E-3</v>
      </c>
      <c r="Z185" s="22">
        <f>Constants!$H76*'Activity data'!Z18*Constants!$H94*FracLEACHMM*MMLeachEF*NtoN2O*kgtoGg</f>
        <v>3.7510368730420082E-3</v>
      </c>
      <c r="AA185" s="22">
        <f>Constants!$H76*'Activity data'!AA18*Constants!$H94*FracLEACHMM*MMLeachEF*NtoN2O*kgtoGg</f>
        <v>3.7463916261404073E-3</v>
      </c>
      <c r="AB185" s="22">
        <f>Constants!$H76*'Activity data'!AB18*Constants!$H94*FracLEACHMM*MMLeachEF*NtoN2O*kgtoGg</f>
        <v>3.7022617805752074E-3</v>
      </c>
      <c r="AC185" s="22">
        <f>Constants!$H76*'Activity data'!AC18*Constants!$H94*FracLEACHMM*MMLeachEF*NtoN2O*kgtoGg</f>
        <v>3.6790355460672068E-3</v>
      </c>
      <c r="AD185" s="22">
        <f>Constants!$H76*'Activity data'!AD18*Constants!$H94*FracLEACHMM*MMLeachEF*NtoN2O*kgtoGg</f>
        <v>4.0176177177395295E-3</v>
      </c>
      <c r="AE185" s="22">
        <f>Constants!$H76*'Activity data'!AE18*Constants!$H94*FracLEACHMM*MMLeachEF*NtoN2O*kgtoGg</f>
        <v>4.0173152937023242E-3</v>
      </c>
      <c r="AF185" s="22">
        <f>Constants!$H76*'Activity data'!AF18*Constants!$H94*FracLEACHMM*MMLeachEF*NtoN2O*kgtoGg</f>
        <v>3.989558674830306E-3</v>
      </c>
      <c r="AG185" s="22">
        <f>Constants!$H76*'Activity data'!AG18*Constants!$H94*FracLEACHMM*MMLeachEF*NtoN2O*kgtoGg</f>
        <v>3.9424912177245747E-3</v>
      </c>
      <c r="AH185" s="22">
        <f>Constants!$H76*'Activity data'!AH18*Constants!$H94*FracLEACHMM*MMLeachEF*NtoN2O*kgtoGg</f>
        <v>3.8757233026250272E-3</v>
      </c>
      <c r="AI185" s="22">
        <f>Constants!$H76*'Activity data'!AI18*Constants!$H94*FracLEACHMM*MMLeachEF*NtoN2O*kgtoGg</f>
        <v>3.8395504708215612E-3</v>
      </c>
      <c r="AJ185" s="22">
        <f>Constants!$H76*'Activity data'!AJ18*Constants!$H94*FracLEACHMM*MMLeachEF*NtoN2O*kgtoGg</f>
        <v>3.799479542156954E-3</v>
      </c>
      <c r="AK185" s="22">
        <f>Constants!$H76*'Activity data'!AK18*Constants!$H94*FracLEACHMM*MMLeachEF*NtoN2O*kgtoGg</f>
        <v>3.7591575655702082E-3</v>
      </c>
      <c r="AL185" s="22">
        <f>Constants!$H76*'Activity data'!AL18*Constants!$H94*FracLEACHMM*MMLeachEF*NtoN2O*kgtoGg</f>
        <v>3.3039109895754894E-3</v>
      </c>
      <c r="AM185" s="22">
        <f>Constants!$H76*'Activity data'!AM18*Constants!$H94*FracLEACHMM*MMLeachEF*NtoN2O*kgtoGg</f>
        <v>3.3312385722021332E-3</v>
      </c>
      <c r="AN185" s="22">
        <f>Constants!$H76*'Activity data'!AN18*Constants!$H94*FracLEACHMM*MMLeachEF*NtoN2O*kgtoGg</f>
        <v>3.3527283728154479E-3</v>
      </c>
      <c r="AO185" s="22">
        <f>Constants!$H76*'Activity data'!AO18*Constants!$H94*FracLEACHMM*MMLeachEF*NtoN2O*kgtoGg</f>
        <v>3.3755855615124949E-3</v>
      </c>
      <c r="AP185" s="22">
        <f>Constants!$H76*'Activity data'!AP18*Constants!$H94*FracLEACHMM*MMLeachEF*NtoN2O*kgtoGg</f>
        <v>3.4046950215553297E-3</v>
      </c>
      <c r="AQ185" s="22">
        <f>Constants!$H76*'Activity data'!AQ18*Constants!$H94*FracLEACHMM*MMLeachEF*NtoN2O*kgtoGg</f>
        <v>3.4432361839015456E-3</v>
      </c>
      <c r="AR185" s="22">
        <f>Constants!$H76*'Activity data'!AR18*Constants!$H94*FracLEACHMM*MMLeachEF*NtoN2O*kgtoGg</f>
        <v>3.4855433099059614E-3</v>
      </c>
      <c r="AS185" s="22">
        <f>Constants!$H76*'Activity data'!AS18*Constants!$H94*FracLEACHMM*MMLeachEF*NtoN2O*kgtoGg</f>
        <v>3.5332578507794596E-3</v>
      </c>
      <c r="AT185" s="22">
        <f>Constants!$H76*'Activity data'!AT18*Constants!$H94*FracLEACHMM*MMLeachEF*NtoN2O*kgtoGg</f>
        <v>3.5868689152808251E-3</v>
      </c>
      <c r="AU185" s="22">
        <f>Constants!$H76*'Activity data'!AU18*Constants!$H94*FracLEACHMM*MMLeachEF*NtoN2O*kgtoGg</f>
        <v>3.6530859628117491E-3</v>
      </c>
      <c r="AV185" s="22">
        <f>Constants!$H76*'Activity data'!AV18*Constants!$H94*FracLEACHMM*MMLeachEF*NtoN2O*kgtoGg</f>
        <v>3.7160594359962984E-3</v>
      </c>
      <c r="AW185" s="22">
        <f>Constants!$H76*'Activity data'!AW18*Constants!$H94*FracLEACHMM*MMLeachEF*NtoN2O*kgtoGg</f>
        <v>3.7987861011371227E-3</v>
      </c>
      <c r="AX185" s="22">
        <f>Constants!$H76*'Activity data'!AX18*Constants!$H94*FracLEACHMM*MMLeachEF*NtoN2O*kgtoGg</f>
        <v>3.883720921824086E-3</v>
      </c>
      <c r="AY185" s="22">
        <f>Constants!$H76*'Activity data'!AY18*Constants!$H94*FracLEACHMM*MMLeachEF*NtoN2O*kgtoGg</f>
        <v>3.9700632925796847E-3</v>
      </c>
      <c r="AZ185" s="22">
        <f>Constants!$H76*'Activity data'!AZ18*Constants!$H94*FracLEACHMM*MMLeachEF*NtoN2O*kgtoGg</f>
        <v>4.0570100879702481E-3</v>
      </c>
      <c r="BA185" s="22">
        <f>Constants!$H76*'Activity data'!BA18*Constants!$H94*FracLEACHMM*MMLeachEF*NtoN2O*kgtoGg</f>
        <v>4.1299492459370042E-3</v>
      </c>
      <c r="BB185" s="22">
        <f>Constants!$H76*'Activity data'!BB18*Constants!$H94*FracLEACHMM*MMLeachEF*NtoN2O*kgtoGg</f>
        <v>4.2068849145877728E-3</v>
      </c>
      <c r="BC185" s="22">
        <f>Constants!$H76*'Activity data'!BC18*Constants!$H94*FracLEACHMM*MMLeachEF*NtoN2O*kgtoGg</f>
        <v>4.2908586000261345E-3</v>
      </c>
      <c r="BD185" s="22">
        <f>Constants!$H76*'Activity data'!BD18*Constants!$H94*FracLEACHMM*MMLeachEF*NtoN2O*kgtoGg</f>
        <v>4.3787218411951998E-3</v>
      </c>
      <c r="BE185" s="22">
        <f>Constants!$H76*'Activity data'!BE18*Constants!$H94*FracLEACHMM*MMLeachEF*NtoN2O*kgtoGg</f>
        <v>4.4601178584164772E-3</v>
      </c>
      <c r="BF185" s="22">
        <f>Constants!$H76*'Activity data'!BF18*Constants!$H94*FracLEACHMM*MMLeachEF*NtoN2O*kgtoGg</f>
        <v>4.5407113183315541E-3</v>
      </c>
      <c r="BG185" s="22">
        <f>Constants!$H76*'Activity data'!BG18*Constants!$H94*FracLEACHMM*MMLeachEF*NtoN2O*kgtoGg</f>
        <v>4.6243774655995058E-3</v>
      </c>
      <c r="BH185" s="22">
        <f>Constants!$H76*'Activity data'!BH18*Constants!$H94*FracLEACHMM*MMLeachEF*NtoN2O*kgtoGg</f>
        <v>4.7121957890956679E-3</v>
      </c>
      <c r="BI185" s="22">
        <f>Constants!$H76*'Activity data'!BI18*Constants!$H94*FracLEACHMM*MMLeachEF*NtoN2O*kgtoGg</f>
        <v>4.8056977855896639E-3</v>
      </c>
      <c r="BJ185" s="22">
        <f>Constants!$H76*'Activity data'!BJ18*Constants!$H94*FracLEACHMM*MMLeachEF*NtoN2O*kgtoGg</f>
        <v>4.9038867130330845E-3</v>
      </c>
      <c r="BK185" s="22">
        <f>Constants!$H76*'Activity data'!BK18*Constants!$H94*FracLEACHMM*MMLeachEF*NtoN2O*kgtoGg</f>
        <v>5.0101359876175179E-3</v>
      </c>
      <c r="BL185" s="22">
        <f>Constants!$H76*'Activity data'!BL18*Constants!$H94*FracLEACHMM*MMLeachEF*NtoN2O*kgtoGg</f>
        <v>5.122652212591272E-3</v>
      </c>
      <c r="BM185" s="22">
        <f>Constants!$H76*'Activity data'!BM18*Constants!$H94*FracLEACHMM*MMLeachEF*NtoN2O*kgtoGg</f>
        <v>5.2389308019782227E-3</v>
      </c>
      <c r="BN185" s="22">
        <f>Constants!$H76*'Activity data'!BN18*Constants!$H94*FracLEACHMM*MMLeachEF*NtoN2O*kgtoGg</f>
        <v>5.3498848552316798E-3</v>
      </c>
      <c r="BO185" s="22">
        <f>Constants!$H76*'Activity data'!BO18*Constants!$H94*FracLEACHMM*MMLeachEF*NtoN2O*kgtoGg</f>
        <v>5.4650681623803384E-3</v>
      </c>
      <c r="BP185" s="22">
        <f>Constants!$H76*'Activity data'!BP18*Constants!$H94*FracLEACHMM*MMLeachEF*NtoN2O*kgtoGg</f>
        <v>5.5863462692601045E-3</v>
      </c>
    </row>
    <row r="186" spans="1:68" x14ac:dyDescent="0.25">
      <c r="A186" t="str">
        <f t="shared" si="58"/>
        <v>3C Aggregated and non-CO2 emissions on land</v>
      </c>
      <c r="B186" t="str">
        <f t="shared" ref="B186" si="68">B185</f>
        <v>3C6 Indirect N2O from manure management (N2O)</v>
      </c>
      <c r="C186" t="str">
        <f t="shared" si="67"/>
        <v>Leaching/runoff</v>
      </c>
      <c r="D186" t="str">
        <f t="shared" si="66"/>
        <v xml:space="preserve"> - Commercial layers</v>
      </c>
      <c r="E186" t="str">
        <f t="shared" si="64"/>
        <v>Leaching/runoff - Commercial layers</v>
      </c>
      <c r="F186" t="str">
        <f t="shared" si="47"/>
        <v>N2O</v>
      </c>
      <c r="G186" t="str">
        <f t="shared" si="48"/>
        <v>Gg N2O</v>
      </c>
      <c r="H186" s="22">
        <f>Constants!$H77*'Activity data'!H19*Constants!$H95*FracLEACHMM*MMLeachEF*NtoN2O*kgtoGg</f>
        <v>1.0355170129968004E-2</v>
      </c>
      <c r="I186" s="22">
        <f>Constants!$H77*'Activity data'!I19*Constants!$H95*FracLEACHMM*MMLeachEF*NtoN2O*kgtoGg</f>
        <v>1.0059892645860616E-2</v>
      </c>
      <c r="J186" s="22">
        <f>Constants!$H77*'Activity data'!J19*Constants!$H95*FracLEACHMM*MMLeachEF*NtoN2O*kgtoGg</f>
        <v>9.5411084013231947E-3</v>
      </c>
      <c r="K186" s="22">
        <f>Constants!$H77*'Activity data'!K19*Constants!$H95*FracLEACHMM*MMLeachEF*NtoN2O*kgtoGg</f>
        <v>9.3910912656011026E-3</v>
      </c>
      <c r="L186" s="22">
        <f>Constants!$H77*'Activity data'!L19*Constants!$H95*FracLEACHMM*MMLeachEF*NtoN2O*kgtoGg</f>
        <v>8.9826126081481942E-3</v>
      </c>
      <c r="M186" s="22">
        <f>Constants!$H77*'Activity data'!M19*Constants!$H95*FracLEACHMM*MMLeachEF*NtoN2O*kgtoGg</f>
        <v>9.8011483650425734E-3</v>
      </c>
      <c r="N186" s="22">
        <f>Constants!$H77*'Activity data'!N19*Constants!$H95*FracLEACHMM*MMLeachEF*NtoN2O*kgtoGg</f>
        <v>1.0353003890839162E-2</v>
      </c>
      <c r="O186" s="22">
        <f>Constants!$H77*'Activity data'!O19*Constants!$H95*FracLEACHMM*MMLeachEF*NtoN2O*kgtoGg</f>
        <v>1.038704838936534E-2</v>
      </c>
      <c r="P186" s="22">
        <f>Constants!$H77*'Activity data'!P19*Constants!$H95*FracLEACHMM*MMLeachEF*NtoN2O*kgtoGg</f>
        <v>1.1694940012383678E-2</v>
      </c>
      <c r="Q186" s="22">
        <f>Constants!$H77*'Activity data'!Q19*Constants!$H95*FracLEACHMM*MMLeachEF*NtoN2O*kgtoGg</f>
        <v>1.2538149270078789E-2</v>
      </c>
      <c r="R186" s="22">
        <f>Constants!$H77*'Activity data'!R19*Constants!$H95*FracLEACHMM*MMLeachEF*NtoN2O*kgtoGg</f>
        <v>1.2272486005224258E-2</v>
      </c>
      <c r="S186" s="22">
        <f>Constants!$H77*'Activity data'!S19*Constants!$H95*FracLEACHMM*MMLeachEF*NtoN2O*kgtoGg</f>
        <v>1.2599872153312836E-2</v>
      </c>
      <c r="T186" s="22">
        <f>Constants!$H77*'Activity data'!T19*Constants!$H95*FracLEACHMM*MMLeachEF*NtoN2O*kgtoGg</f>
        <v>1.2500981239572611E-2</v>
      </c>
      <c r="U186" s="22">
        <f>Constants!$H77*'Activity data'!U19*Constants!$H95*FracLEACHMM*MMLeachEF*NtoN2O*kgtoGg</f>
        <v>1.2001910795150582E-2</v>
      </c>
      <c r="V186" s="22">
        <f>Constants!$H77*'Activity data'!V19*Constants!$H95*FracLEACHMM*MMLeachEF*NtoN2O*kgtoGg</f>
        <v>1.2437112522602165E-2</v>
      </c>
      <c r="W186" s="22">
        <f>Constants!$H77*'Activity data'!W19*Constants!$H95*FracLEACHMM*MMLeachEF*NtoN2O*kgtoGg</f>
        <v>1.3187076931938265E-2</v>
      </c>
      <c r="X186" s="22">
        <f>Constants!$H77*'Activity data'!X19*Constants!$H95*FracLEACHMM*MMLeachEF*NtoN2O*kgtoGg</f>
        <v>1.4553489205518322E-2</v>
      </c>
      <c r="Y186" s="22">
        <f>Constants!$H77*'Activity data'!Y19*Constants!$H95*FracLEACHMM*MMLeachEF*NtoN2O*kgtoGg</f>
        <v>1.6105943457620602E-2</v>
      </c>
      <c r="Z186" s="22">
        <f>Constants!$H77*'Activity data'!Z19*Constants!$H95*FracLEACHMM*MMLeachEF*NtoN2O*kgtoGg</f>
        <v>1.6318056760498027E-2</v>
      </c>
      <c r="AA186" s="22">
        <f>Constants!$H77*'Activity data'!AA19*Constants!$H95*FracLEACHMM*MMLeachEF*NtoN2O*kgtoGg</f>
        <v>1.5716468259281271E-2</v>
      </c>
      <c r="AB186" s="22">
        <f>Constants!$H77*'Activity data'!AB19*Constants!$H95*FracLEACHMM*MMLeachEF*NtoN2O*kgtoGg</f>
        <v>1.6328679002481555E-2</v>
      </c>
      <c r="AC186" s="22">
        <f>Constants!$H77*'Activity data'!AC19*Constants!$H95*FracLEACHMM*MMLeachEF*NtoN2O*kgtoGg</f>
        <v>1.7082367042983767E-2</v>
      </c>
      <c r="AD186" s="22">
        <f>Constants!$H77*'Activity data'!AD19*Constants!$H95*FracLEACHMM*MMLeachEF*NtoN2O*kgtoGg</f>
        <v>1.6728215380155415E-2</v>
      </c>
      <c r="AE186" s="22">
        <f>Constants!$H77*'Activity data'!AE19*Constants!$H95*FracLEACHMM*MMLeachEF*NtoN2O*kgtoGg</f>
        <v>1.7119112112744805E-2</v>
      </c>
      <c r="AF186" s="22">
        <f>Constants!$H77*'Activity data'!AF19*Constants!$H95*FracLEACHMM*MMLeachEF*NtoN2O*kgtoGg</f>
        <v>1.7446166490747286E-2</v>
      </c>
      <c r="AG186" s="22">
        <f>Constants!$H77*'Activity data'!AG19*Constants!$H95*FracLEACHMM*MMLeachEF*NtoN2O*kgtoGg</f>
        <v>1.7724957267261157E-2</v>
      </c>
      <c r="AH186" s="22">
        <f>Constants!$H77*'Activity data'!AH19*Constants!$H95*FracLEACHMM*MMLeachEF*NtoN2O*kgtoGg</f>
        <v>1.7951330928110819E-2</v>
      </c>
      <c r="AI186" s="22">
        <f>Constants!$H77*'Activity data'!AI19*Constants!$H95*FracLEACHMM*MMLeachEF*NtoN2O*kgtoGg</f>
        <v>1.8254078202093724E-2</v>
      </c>
      <c r="AJ186" s="22">
        <f>Constants!$H77*'Activity data'!AJ19*Constants!$H95*FracLEACHMM*MMLeachEF*NtoN2O*kgtoGg</f>
        <v>1.8543458432886767E-2</v>
      </c>
      <c r="AK186" s="22">
        <f>Constants!$H77*'Activity data'!AK19*Constants!$H95*FracLEACHMM*MMLeachEF*NtoN2O*kgtoGg</f>
        <v>1.8829491486957114E-2</v>
      </c>
      <c r="AL186" s="22">
        <f>Constants!$H77*'Activity data'!AL19*Constants!$H95*FracLEACHMM*MMLeachEF*NtoN2O*kgtoGg</f>
        <v>1.7942023102973173E-2</v>
      </c>
      <c r="AM186" s="22">
        <f>Constants!$H77*'Activity data'!AM19*Constants!$H95*FracLEACHMM*MMLeachEF*NtoN2O*kgtoGg</f>
        <v>1.8347611071088236E-2</v>
      </c>
      <c r="AN186" s="22">
        <f>Constants!$H77*'Activity data'!AN19*Constants!$H95*FracLEACHMM*MMLeachEF*NtoN2O*kgtoGg</f>
        <v>1.874168136380705E-2</v>
      </c>
      <c r="AO186" s="22">
        <f>Constants!$H77*'Activity data'!AO19*Constants!$H95*FracLEACHMM*MMLeachEF*NtoN2O*kgtoGg</f>
        <v>1.9145066289365732E-2</v>
      </c>
      <c r="AP186" s="22">
        <f>Constants!$H77*'Activity data'!AP19*Constants!$H95*FracLEACHMM*MMLeachEF*NtoN2O*kgtoGg</f>
        <v>1.9573342190773054E-2</v>
      </c>
      <c r="AQ186" s="22">
        <f>Constants!$H77*'Activity data'!AQ19*Constants!$H95*FracLEACHMM*MMLeachEF*NtoN2O*kgtoGg</f>
        <v>2.0038018012177587E-2</v>
      </c>
      <c r="AR186" s="22">
        <f>Constants!$H77*'Activity data'!AR19*Constants!$H95*FracLEACHMM*MMLeachEF*NtoN2O*kgtoGg</f>
        <v>2.0506293180262241E-2</v>
      </c>
      <c r="AS186" s="22">
        <f>Constants!$H77*'Activity data'!AS19*Constants!$H95*FracLEACHMM*MMLeachEF*NtoN2O*kgtoGg</f>
        <v>2.1000900149890468E-2</v>
      </c>
      <c r="AT186" s="22">
        <f>Constants!$H77*'Activity data'!AT19*Constants!$H95*FracLEACHMM*MMLeachEF*NtoN2O*kgtoGg</f>
        <v>2.1524838070546625E-2</v>
      </c>
      <c r="AU186" s="22">
        <f>Constants!$H77*'Activity data'!AU19*Constants!$H95*FracLEACHMM*MMLeachEF*NtoN2O*kgtoGg</f>
        <v>2.2102596823574343E-2</v>
      </c>
      <c r="AV186" s="22">
        <f>Constants!$H77*'Activity data'!AV19*Constants!$H95*FracLEACHMM*MMLeachEF*NtoN2O*kgtoGg</f>
        <v>2.2681632868176177E-2</v>
      </c>
      <c r="AW186" s="22">
        <f>Constants!$H77*'Activity data'!AW19*Constants!$H95*FracLEACHMM*MMLeachEF*NtoN2O*kgtoGg</f>
        <v>2.3329878680739255E-2</v>
      </c>
      <c r="AX186" s="22">
        <f>Constants!$H77*'Activity data'!AX19*Constants!$H95*FracLEACHMM*MMLeachEF*NtoN2O*kgtoGg</f>
        <v>2.400151477127441E-2</v>
      </c>
      <c r="AY186" s="22">
        <f>Constants!$H77*'Activity data'!AY19*Constants!$H95*FracLEACHMM*MMLeachEF*NtoN2O*kgtoGg</f>
        <v>2.4694404601377645E-2</v>
      </c>
      <c r="AZ186" s="22">
        <f>Constants!$H77*'Activity data'!AZ19*Constants!$H95*FracLEACHMM*MMLeachEF*NtoN2O*kgtoGg</f>
        <v>2.5406192319552479E-2</v>
      </c>
      <c r="BA186" s="22">
        <f>Constants!$H77*'Activity data'!BA19*Constants!$H95*FracLEACHMM*MMLeachEF*NtoN2O*kgtoGg</f>
        <v>2.6080987692761088E-2</v>
      </c>
      <c r="BB186" s="22">
        <f>Constants!$H77*'Activity data'!BB19*Constants!$H95*FracLEACHMM*MMLeachEF*NtoN2O*kgtoGg</f>
        <v>2.6773622235232053E-2</v>
      </c>
      <c r="BC186" s="22">
        <f>Constants!$H77*'Activity data'!BC19*Constants!$H95*FracLEACHMM*MMLeachEF*NtoN2O*kgtoGg</f>
        <v>2.7510682615414086E-2</v>
      </c>
      <c r="BD186" s="22">
        <f>Constants!$H77*'Activity data'!BD19*Constants!$H95*FracLEACHMM*MMLeachEF*NtoN2O*kgtoGg</f>
        <v>2.8281330109301884E-2</v>
      </c>
      <c r="BE186" s="22">
        <f>Constants!$H77*'Activity data'!BE19*Constants!$H95*FracLEACHMM*MMLeachEF*NtoN2O*kgtoGg</f>
        <v>2.9043769797261493E-2</v>
      </c>
      <c r="BF186" s="22">
        <f>Constants!$H77*'Activity data'!BF19*Constants!$H95*FracLEACHMM*MMLeachEF*NtoN2O*kgtoGg</f>
        <v>2.9820999528592247E-2</v>
      </c>
      <c r="BG186" s="22">
        <f>Constants!$H77*'Activity data'!BG19*Constants!$H95*FracLEACHMM*MMLeachEF*NtoN2O*kgtoGg</f>
        <v>3.0617443847406136E-2</v>
      </c>
      <c r="BH186" s="22">
        <f>Constants!$H77*'Activity data'!BH19*Constants!$H95*FracLEACHMM*MMLeachEF*NtoN2O*kgtoGg</f>
        <v>3.1451554808529687E-2</v>
      </c>
      <c r="BI186" s="22">
        <f>Constants!$H77*'Activity data'!BI19*Constants!$H95*FracLEACHMM*MMLeachEF*NtoN2O*kgtoGg</f>
        <v>3.2331758401512888E-2</v>
      </c>
      <c r="BJ186" s="22">
        <f>Constants!$H77*'Activity data'!BJ19*Constants!$H95*FracLEACHMM*MMLeachEF*NtoN2O*kgtoGg</f>
        <v>3.3255484154974153E-2</v>
      </c>
      <c r="BK186" s="22">
        <f>Constants!$H77*'Activity data'!BK19*Constants!$H95*FracLEACHMM*MMLeachEF*NtoN2O*kgtoGg</f>
        <v>3.4240248327894969E-2</v>
      </c>
      <c r="BL186" s="22">
        <f>Constants!$H77*'Activity data'!BL19*Constants!$H95*FracLEACHMM*MMLeachEF*NtoN2O*kgtoGg</f>
        <v>3.52673091598237E-2</v>
      </c>
      <c r="BM186" s="22">
        <f>Constants!$H77*'Activity data'!BM19*Constants!$H95*FracLEACHMM*MMLeachEF*NtoN2O*kgtoGg</f>
        <v>3.6339751780088574E-2</v>
      </c>
      <c r="BN186" s="22">
        <f>Constants!$H77*'Activity data'!BN19*Constants!$H95*FracLEACHMM*MMLeachEF*NtoN2O*kgtoGg</f>
        <v>3.741462667823469E-2</v>
      </c>
      <c r="BO186" s="22">
        <f>Constants!$H77*'Activity data'!BO19*Constants!$H95*FracLEACHMM*MMLeachEF*NtoN2O*kgtoGg</f>
        <v>3.8539194360198002E-2</v>
      </c>
      <c r="BP186" s="22">
        <f>Constants!$H77*'Activity data'!BP19*Constants!$H95*FracLEACHMM*MMLeachEF*NtoN2O*kgtoGg</f>
        <v>3.9724982396423705E-2</v>
      </c>
    </row>
    <row r="187" spans="1:68" x14ac:dyDescent="0.25">
      <c r="A187" t="str">
        <f t="shared" si="58"/>
        <v>3C Aggregated and non-CO2 emissions on land</v>
      </c>
      <c r="B187" t="str">
        <f>B186</f>
        <v>3C6 Indirect N2O from manure management (N2O)</v>
      </c>
      <c r="C187" t="str">
        <f t="shared" si="67"/>
        <v>Leaching/runoff</v>
      </c>
      <c r="D187" t="str">
        <f>D171</f>
        <v xml:space="preserve"> - Commercial broilers</v>
      </c>
      <c r="E187" t="str">
        <f t="shared" si="64"/>
        <v>Leaching/runoff - Commercial broilers</v>
      </c>
      <c r="F187" t="str">
        <f t="shared" si="47"/>
        <v>N2O</v>
      </c>
      <c r="G187" t="str">
        <f t="shared" si="48"/>
        <v>Gg N2O</v>
      </c>
      <c r="H187" s="22">
        <f>Constants!$H78*'Activity data'!H20*Constants!$H96*FracLEACHMM*MMLeachEF*NtoN2O*kgtoGg</f>
        <v>3.3251202703764936E-2</v>
      </c>
      <c r="I187" s="22">
        <f>Constants!$H78*'Activity data'!I20*Constants!$H96*FracLEACHMM*MMLeachEF*NtoN2O*kgtoGg</f>
        <v>3.1256130581881272E-2</v>
      </c>
      <c r="J187" s="22">
        <f>Constants!$H78*'Activity data'!J20*Constants!$H96*FracLEACHMM*MMLeachEF*NtoN2O*kgtoGg</f>
        <v>2.9539279304954081E-2</v>
      </c>
      <c r="K187" s="22">
        <f>Constants!$H78*'Activity data'!K20*Constants!$H96*FracLEACHMM*MMLeachEF*NtoN2O*kgtoGg</f>
        <v>3.3221188579374041E-2</v>
      </c>
      <c r="L187" s="22">
        <f>Constants!$H78*'Activity data'!L20*Constants!$H96*FracLEACHMM*MMLeachEF*NtoN2O*kgtoGg</f>
        <v>3.2909615722030355E-2</v>
      </c>
      <c r="M187" s="22">
        <f>Constants!$H78*'Activity data'!M20*Constants!$H96*FracLEACHMM*MMLeachEF*NtoN2O*kgtoGg</f>
        <v>3.7669866131891196E-2</v>
      </c>
      <c r="N187" s="22">
        <f>Constants!$H78*'Activity data'!N20*Constants!$H96*FracLEACHMM*MMLeachEF*NtoN2O*kgtoGg</f>
        <v>4.380034464193687E-2</v>
      </c>
      <c r="O187" s="22">
        <f>Constants!$H78*'Activity data'!O20*Constants!$H96*FracLEACHMM*MMLeachEF*NtoN2O*kgtoGg</f>
        <v>4.458374413793717E-2</v>
      </c>
      <c r="P187" s="22">
        <f>Constants!$H78*'Activity data'!P20*Constants!$H96*FracLEACHMM*MMLeachEF*NtoN2O*kgtoGg</f>
        <v>4.8851875625500675E-2</v>
      </c>
      <c r="Q187" s="22">
        <f>Constants!$H78*'Activity data'!Q20*Constants!$H96*FracLEACHMM*MMLeachEF*NtoN2O*kgtoGg</f>
        <v>5.1000810169688715E-2</v>
      </c>
      <c r="R187" s="22">
        <f>Constants!$H78*'Activity data'!R20*Constants!$H96*FracLEACHMM*MMLeachEF*NtoN2O*kgtoGg</f>
        <v>5.4873113549001651E-2</v>
      </c>
      <c r="S187" s="22">
        <f>Constants!$H78*'Activity data'!S20*Constants!$H96*FracLEACHMM*MMLeachEF*NtoN2O*kgtoGg</f>
        <v>5.2985756974377428E-2</v>
      </c>
      <c r="T187" s="22">
        <f>Constants!$H78*'Activity data'!T20*Constants!$H96*FracLEACHMM*MMLeachEF*NtoN2O*kgtoGg</f>
        <v>5.8725405403651593E-2</v>
      </c>
      <c r="U187" s="22">
        <f>Constants!$H78*'Activity data'!U20*Constants!$H96*FracLEACHMM*MMLeachEF*NtoN2O*kgtoGg</f>
        <v>5.5856725851573273E-2</v>
      </c>
      <c r="V187" s="22">
        <f>Constants!$H78*'Activity data'!V20*Constants!$H96*FracLEACHMM*MMLeachEF*NtoN2O*kgtoGg</f>
        <v>5.7205155940384118E-2</v>
      </c>
      <c r="W187" s="22">
        <f>Constants!$H78*'Activity data'!W20*Constants!$H96*FracLEACHMM*MMLeachEF*NtoN2O*kgtoGg</f>
        <v>6.329605772520823E-2</v>
      </c>
      <c r="X187" s="22">
        <f>Constants!$H78*'Activity data'!X20*Constants!$H96*FracLEACHMM*MMLeachEF*NtoN2O*kgtoGg</f>
        <v>6.7701049603437022E-2</v>
      </c>
      <c r="Y187" s="22">
        <f>Constants!$H78*'Activity data'!Y20*Constants!$H96*FracLEACHMM*MMLeachEF*NtoN2O*kgtoGg</f>
        <v>7.0833855292733158E-2</v>
      </c>
      <c r="Z187" s="22">
        <f>Constants!$H78*'Activity data'!Z20*Constants!$H96*FracLEACHMM*MMLeachEF*NtoN2O*kgtoGg</f>
        <v>7.5418822438452923E-2</v>
      </c>
      <c r="AA187" s="22">
        <f>Constants!$H78*'Activity data'!AA20*Constants!$H96*FracLEACHMM*MMLeachEF*NtoN2O*kgtoGg</f>
        <v>7.1165915529208493E-2</v>
      </c>
      <c r="AB187" s="22">
        <f>Constants!$H78*'Activity data'!AB20*Constants!$H96*FracLEACHMM*MMLeachEF*NtoN2O*kgtoGg</f>
        <v>7.2955795050844749E-2</v>
      </c>
      <c r="AC187" s="22">
        <f>Constants!$H78*'Activity data'!AC20*Constants!$H96*FracLEACHMM*MMLeachEF*NtoN2O*kgtoGg</f>
        <v>7.5455418934244733E-2</v>
      </c>
      <c r="AD187" s="22">
        <f>Constants!$H78*'Activity data'!AD20*Constants!$H96*FracLEACHMM*MMLeachEF*NtoN2O*kgtoGg</f>
        <v>7.7626529128545577E-2</v>
      </c>
      <c r="AE187" s="22">
        <f>Constants!$H78*'Activity data'!AE20*Constants!$H96*FracLEACHMM*MMLeachEF*NtoN2O*kgtoGg</f>
        <v>7.926399378816848E-2</v>
      </c>
      <c r="AF187" s="22">
        <f>Constants!$H78*'Activity data'!AF20*Constants!$H96*FracLEACHMM*MMLeachEF*NtoN2O*kgtoGg</f>
        <v>8.0059696483912993E-2</v>
      </c>
      <c r="AG187" s="22">
        <f>Constants!$H78*'Activity data'!AG20*Constants!$H96*FracLEACHMM*MMLeachEF*NtoN2O*kgtoGg</f>
        <v>8.0223092510511629E-2</v>
      </c>
      <c r="AH187" s="22">
        <f>Constants!$H78*'Activity data'!AH20*Constants!$H96*FracLEACHMM*MMLeachEF*NtoN2O*kgtoGg</f>
        <v>7.9722353896595058E-2</v>
      </c>
      <c r="AI187" s="22">
        <f>Constants!$H78*'Activity data'!AI20*Constants!$H96*FracLEACHMM*MMLeachEF*NtoN2O*kgtoGg</f>
        <v>8.0057878303113075E-2</v>
      </c>
      <c r="AJ187" s="22">
        <f>Constants!$H78*'Activity data'!AJ20*Constants!$H96*FracLEACHMM*MMLeachEF*NtoN2O*kgtoGg</f>
        <v>8.0228276822570874E-2</v>
      </c>
      <c r="AK187" s="22">
        <f>Constants!$H78*'Activity data'!AK20*Constants!$H96*FracLEACHMM*MMLeachEF*NtoN2O*kgtoGg</f>
        <v>8.0343247189903128E-2</v>
      </c>
      <c r="AL187" s="22">
        <f>Constants!$H78*'Activity data'!AL20*Constants!$H96*FracLEACHMM*MMLeachEF*NtoN2O*kgtoGg</f>
        <v>6.7327926605808955E-2</v>
      </c>
      <c r="AM187" s="22">
        <f>Constants!$H78*'Activity data'!AM20*Constants!$H96*FracLEACHMM*MMLeachEF*NtoN2O*kgtoGg</f>
        <v>6.9520070874315054E-2</v>
      </c>
      <c r="AN187" s="22">
        <f>Constants!$H78*'Activity data'!AN20*Constants!$H96*FracLEACHMM*MMLeachEF*NtoN2O*kgtoGg</f>
        <v>7.1541077085384971E-2</v>
      </c>
      <c r="AO187" s="22">
        <f>Constants!$H78*'Activity data'!AO20*Constants!$H96*FracLEACHMM*MMLeachEF*NtoN2O*kgtoGg</f>
        <v>7.3622011072347004E-2</v>
      </c>
      <c r="AP187" s="22">
        <f>Constants!$H78*'Activity data'!AP20*Constants!$H96*FracLEACHMM*MMLeachEF*NtoN2O*kgtoGg</f>
        <v>7.5929086864574655E-2</v>
      </c>
      <c r="AQ187" s="22">
        <f>Constants!$H78*'Activity data'!AQ20*Constants!$H96*FracLEACHMM*MMLeachEF*NtoN2O*kgtoGg</f>
        <v>7.8579513026832554E-2</v>
      </c>
      <c r="AR187" s="22">
        <f>Constants!$H78*'Activity data'!AR20*Constants!$H96*FracLEACHMM*MMLeachEF*NtoN2O*kgtoGg</f>
        <v>8.1459843485862798E-2</v>
      </c>
      <c r="AS187" s="22">
        <f>Constants!$H78*'Activity data'!AS20*Constants!$H96*FracLEACHMM*MMLeachEF*NtoN2O*kgtoGg</f>
        <v>8.456839788842041E-2</v>
      </c>
      <c r="AT187" s="22">
        <f>Constants!$H78*'Activity data'!AT20*Constants!$H96*FracLEACHMM*MMLeachEF*NtoN2O*kgtoGg</f>
        <v>8.7931492648218867E-2</v>
      </c>
      <c r="AU187" s="22">
        <f>Constants!$H78*'Activity data'!AU20*Constants!$H96*FracLEACHMM*MMLeachEF*NtoN2O*kgtoGg</f>
        <v>9.1797147766313467E-2</v>
      </c>
      <c r="AV187" s="22">
        <f>Constants!$H78*'Activity data'!AV20*Constants!$H96*FracLEACHMM*MMLeachEF*NtoN2O*kgtoGg</f>
        <v>9.5615033253068027E-2</v>
      </c>
      <c r="AW187" s="22">
        <f>Constants!$H78*'Activity data'!AW20*Constants!$H96*FracLEACHMM*MMLeachEF*NtoN2O*kgtoGg</f>
        <v>0.10027217167046985</v>
      </c>
      <c r="AX187" s="22">
        <f>Constants!$H78*'Activity data'!AX20*Constants!$H96*FracLEACHMM*MMLeachEF*NtoN2O*kgtoGg</f>
        <v>0.10509953250871946</v>
      </c>
      <c r="AY187" s="22">
        <f>Constants!$H78*'Activity data'!AY20*Constants!$H96*FracLEACHMM*MMLeachEF*NtoN2O*kgtoGg</f>
        <v>0.11007290618736397</v>
      </c>
      <c r="AZ187" s="22">
        <f>Constants!$H78*'Activity data'!AZ20*Constants!$H96*FracLEACHMM*MMLeachEF*NtoN2O*kgtoGg</f>
        <v>0.11516659852127217</v>
      </c>
      <c r="BA187" s="22">
        <f>Constants!$H78*'Activity data'!BA20*Constants!$H96*FracLEACHMM*MMLeachEF*NtoN2O*kgtoGg</f>
        <v>0.1198247340323428</v>
      </c>
      <c r="BB187" s="22">
        <f>Constants!$H78*'Activity data'!BB20*Constants!$H96*FracLEACHMM*MMLeachEF*NtoN2O*kgtoGg</f>
        <v>0.12477655136261512</v>
      </c>
      <c r="BC187" s="22">
        <f>Constants!$H78*'Activity data'!BC20*Constants!$H96*FracLEACHMM*MMLeachEF*NtoN2O*kgtoGg</f>
        <v>0.13010152932568925</v>
      </c>
      <c r="BD187" s="22">
        <f>Constants!$H78*'Activity data'!BD20*Constants!$H96*FracLEACHMM*MMLeachEF*NtoN2O*kgtoGg</f>
        <v>0.13568785144023704</v>
      </c>
      <c r="BE187" s="22">
        <f>Constants!$H78*'Activity data'!BE20*Constants!$H96*FracLEACHMM*MMLeachEF*NtoN2O*kgtoGg</f>
        <v>0.14112735918234984</v>
      </c>
      <c r="BF187" s="22">
        <f>Constants!$H78*'Activity data'!BF20*Constants!$H96*FracLEACHMM*MMLeachEF*NtoN2O*kgtoGg</f>
        <v>0.14664441742193954</v>
      </c>
      <c r="BG187" s="22">
        <f>Constants!$H78*'Activity data'!BG20*Constants!$H96*FracLEACHMM*MMLeachEF*NtoN2O*kgtoGg</f>
        <v>0.15244590983878697</v>
      </c>
      <c r="BH187" s="22">
        <f>Constants!$H78*'Activity data'!BH20*Constants!$H96*FracLEACHMM*MMLeachEF*NtoN2O*kgtoGg</f>
        <v>0.15854046478909503</v>
      </c>
      <c r="BI187" s="22">
        <f>Constants!$H78*'Activity data'!BI20*Constants!$H96*FracLEACHMM*MMLeachEF*NtoN2O*kgtoGg</f>
        <v>0.1650031940841824</v>
      </c>
      <c r="BJ187" s="22">
        <f>Constants!$H78*'Activity data'!BJ20*Constants!$H96*FracLEACHMM*MMLeachEF*NtoN2O*kgtoGg</f>
        <v>0.17180436266770499</v>
      </c>
      <c r="BK187" s="22">
        <f>Constants!$H78*'Activity data'!BK20*Constants!$H96*FracLEACHMM*MMLeachEF*NtoN2O*kgtoGg</f>
        <v>0.1791024569684809</v>
      </c>
      <c r="BL187" s="22">
        <f>Constants!$H78*'Activity data'!BL20*Constants!$H96*FracLEACHMM*MMLeachEF*NtoN2O*kgtoGg</f>
        <v>0.18688117604245244</v>
      </c>
      <c r="BM187" s="22">
        <f>Constants!$H78*'Activity data'!BM20*Constants!$H96*FracLEACHMM*MMLeachEF*NtoN2O*kgtoGg</f>
        <v>0.19499952083705074</v>
      </c>
      <c r="BN187" s="22">
        <f>Constants!$H78*'Activity data'!BN20*Constants!$H96*FracLEACHMM*MMLeachEF*NtoN2O*kgtoGg</f>
        <v>0.20305851307993764</v>
      </c>
      <c r="BO187" s="22">
        <f>Constants!$H78*'Activity data'!BO20*Constants!$H96*FracLEACHMM*MMLeachEF*NtoN2O*kgtoGg</f>
        <v>0.21149152320548065</v>
      </c>
      <c r="BP187" s="22">
        <f>Constants!$H78*'Activity data'!BP20*Constants!$H96*FracLEACHMM*MMLeachEF*NtoN2O*kgtoGg</f>
        <v>0.22039819841479183</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rgb="FF009900"/>
  </sheetPr>
  <dimension ref="A1:BT127"/>
  <sheetViews>
    <sheetView workbookViewId="0">
      <pane xSplit="5" ySplit="3" topLeftCell="O73" activePane="bottomRight" state="frozen"/>
      <selection pane="topRight" activeCell="F1" sqref="F1"/>
      <selection pane="bottomLeft" activeCell="A4" sqref="A4"/>
      <selection pane="bottomRight" activeCell="F79" sqref="F79:AG79"/>
    </sheetView>
  </sheetViews>
  <sheetFormatPr defaultRowHeight="15" x14ac:dyDescent="0.25"/>
  <cols>
    <col min="1" max="1" width="34.42578125" customWidth="1"/>
    <col min="2" max="2" width="33.28515625" customWidth="1"/>
    <col min="3" max="3" width="27.5703125" customWidth="1"/>
    <col min="4" max="4" width="7.5703125" customWidth="1"/>
    <col min="5" max="5" width="26.140625" customWidth="1"/>
    <col min="6" max="33" width="9.7109375" customWidth="1"/>
    <col min="34" max="34" width="9.5703125" customWidth="1"/>
    <col min="49" max="50" width="9.42578125" customWidth="1"/>
    <col min="51" max="51" width="9.7109375" customWidth="1"/>
  </cols>
  <sheetData>
    <row r="1" spans="1:72" ht="18.75" x14ac:dyDescent="0.3">
      <c r="A1" s="1" t="s">
        <v>312</v>
      </c>
    </row>
    <row r="3" spans="1:72" s="19" customFormat="1" ht="15.75" x14ac:dyDescent="0.25">
      <c r="A3" s="17" t="s">
        <v>4</v>
      </c>
      <c r="B3" s="17" t="s">
        <v>313</v>
      </c>
      <c r="C3" s="17" t="s">
        <v>314</v>
      </c>
      <c r="D3" s="17" t="s">
        <v>5</v>
      </c>
      <c r="E3" s="17" t="s">
        <v>0</v>
      </c>
      <c r="F3" s="17">
        <v>1990</v>
      </c>
      <c r="G3" s="17">
        <v>1991</v>
      </c>
      <c r="H3" s="17">
        <v>1992</v>
      </c>
      <c r="I3" s="17">
        <v>1993</v>
      </c>
      <c r="J3" s="17">
        <v>1994</v>
      </c>
      <c r="K3" s="17">
        <v>1995</v>
      </c>
      <c r="L3" s="17">
        <v>1996</v>
      </c>
      <c r="M3" s="17">
        <v>1997</v>
      </c>
      <c r="N3" s="17">
        <v>1998</v>
      </c>
      <c r="O3" s="17">
        <v>1999</v>
      </c>
      <c r="P3" s="17">
        <v>2000</v>
      </c>
      <c r="Q3" s="17">
        <v>2001</v>
      </c>
      <c r="R3" s="17">
        <v>2002</v>
      </c>
      <c r="S3" s="17">
        <v>2003</v>
      </c>
      <c r="T3" s="17">
        <v>2004</v>
      </c>
      <c r="U3" s="17">
        <v>2005</v>
      </c>
      <c r="V3" s="17">
        <v>2006</v>
      </c>
      <c r="W3" s="17">
        <v>2007</v>
      </c>
      <c r="X3" s="17">
        <v>2008</v>
      </c>
      <c r="Y3" s="17">
        <v>2009</v>
      </c>
      <c r="Z3" s="17">
        <v>2010</v>
      </c>
      <c r="AA3" s="17">
        <v>2011</v>
      </c>
      <c r="AB3" s="17">
        <v>2012</v>
      </c>
      <c r="AC3" s="17">
        <v>2013</v>
      </c>
      <c r="AD3" s="17">
        <v>2014</v>
      </c>
      <c r="AE3" s="17">
        <v>2015</v>
      </c>
      <c r="AF3" s="17">
        <v>2016</v>
      </c>
      <c r="AG3" s="17">
        <v>2017</v>
      </c>
      <c r="AH3" s="17">
        <v>2018</v>
      </c>
      <c r="AI3" s="17">
        <v>2019</v>
      </c>
      <c r="AJ3" s="17">
        <v>2020</v>
      </c>
      <c r="AK3" s="17">
        <v>2021</v>
      </c>
      <c r="AL3" s="17">
        <v>2022</v>
      </c>
      <c r="AM3" s="17">
        <v>2023</v>
      </c>
      <c r="AN3" s="17">
        <v>2024</v>
      </c>
      <c r="AO3" s="17">
        <v>2025</v>
      </c>
      <c r="AP3" s="17">
        <v>2026</v>
      </c>
      <c r="AQ3" s="17">
        <v>2027</v>
      </c>
      <c r="AR3" s="17">
        <v>2028</v>
      </c>
      <c r="AS3" s="17">
        <v>2029</v>
      </c>
      <c r="AT3" s="17">
        <v>2030</v>
      </c>
      <c r="AU3" s="17">
        <v>2031</v>
      </c>
      <c r="AV3" s="17">
        <v>2032</v>
      </c>
      <c r="AW3" s="17">
        <v>2033</v>
      </c>
      <c r="AX3" s="17">
        <v>2034</v>
      </c>
      <c r="AY3" s="17">
        <v>2035</v>
      </c>
      <c r="AZ3" s="17">
        <v>2036</v>
      </c>
      <c r="BA3" s="17">
        <v>2037</v>
      </c>
      <c r="BB3" s="17">
        <v>2038</v>
      </c>
      <c r="BC3" s="17">
        <v>2039</v>
      </c>
      <c r="BD3" s="17">
        <v>2040</v>
      </c>
      <c r="BE3" s="17">
        <v>2041</v>
      </c>
      <c r="BF3" s="17">
        <v>2042</v>
      </c>
      <c r="BG3" s="17">
        <v>2043</v>
      </c>
      <c r="BH3" s="17">
        <v>2044</v>
      </c>
      <c r="BI3" s="17">
        <v>2045</v>
      </c>
      <c r="BJ3" s="17">
        <v>2046</v>
      </c>
      <c r="BK3" s="17">
        <v>2047</v>
      </c>
      <c r="BL3" s="17">
        <v>2048</v>
      </c>
      <c r="BM3" s="17">
        <v>2049</v>
      </c>
      <c r="BN3" s="17">
        <v>2050</v>
      </c>
      <c r="BO3" s="17"/>
      <c r="BP3" s="17"/>
      <c r="BQ3" s="17"/>
      <c r="BR3" s="17"/>
      <c r="BS3" s="17"/>
      <c r="BT3" s="17"/>
    </row>
    <row r="4" spans="1:72" s="19" customFormat="1" ht="15.75" x14ac:dyDescent="0.25">
      <c r="A4" s="19" t="str">
        <f>A10</f>
        <v>3A Livestock</v>
      </c>
      <c r="B4" s="19" t="str">
        <f>B10</f>
        <v>3A1 Enteric fermentation (CH4)</v>
      </c>
      <c r="C4" s="19" t="s">
        <v>148</v>
      </c>
      <c r="D4" s="19" t="str">
        <f>D10</f>
        <v>CH4</v>
      </c>
      <c r="E4" s="19" t="str">
        <f>E10</f>
        <v>Gg CH4</v>
      </c>
      <c r="F4" s="46">
        <f t="shared" ref="F4:AK4" si="0">SUM(F5:F10)</f>
        <v>1260.0440510636847</v>
      </c>
      <c r="G4" s="46">
        <f t="shared" si="0"/>
        <v>1258.0226339156723</v>
      </c>
      <c r="H4" s="46">
        <f t="shared" si="0"/>
        <v>1239.3934970469879</v>
      </c>
      <c r="I4" s="46">
        <f t="shared" si="0"/>
        <v>1194.7273149041114</v>
      </c>
      <c r="J4" s="46">
        <f t="shared" si="0"/>
        <v>1162.4999055437097</v>
      </c>
      <c r="K4" s="46">
        <f t="shared" si="0"/>
        <v>1171.5173194915196</v>
      </c>
      <c r="L4" s="46">
        <f t="shared" si="0"/>
        <v>1202.0962242987941</v>
      </c>
      <c r="M4" s="46">
        <f t="shared" si="0"/>
        <v>1224.8603653192843</v>
      </c>
      <c r="N4" s="46">
        <f t="shared" si="0"/>
        <v>1244.3232626994372</v>
      </c>
      <c r="O4" s="46">
        <f t="shared" si="0"/>
        <v>1241.8612496504879</v>
      </c>
      <c r="P4" s="46">
        <f t="shared" si="0"/>
        <v>1227.4784890178826</v>
      </c>
      <c r="Q4" s="46">
        <f t="shared" si="0"/>
        <v>1218.6551420734072</v>
      </c>
      <c r="R4" s="46">
        <f t="shared" si="0"/>
        <v>1197.4820095010721</v>
      </c>
      <c r="S4" s="46">
        <f t="shared" si="0"/>
        <v>1202.3555525159982</v>
      </c>
      <c r="T4" s="46">
        <f t="shared" si="0"/>
        <v>1192.9382386371974</v>
      </c>
      <c r="U4" s="46">
        <f t="shared" si="0"/>
        <v>1195.5469772851111</v>
      </c>
      <c r="V4" s="46">
        <f t="shared" si="0"/>
        <v>1190.9388605207587</v>
      </c>
      <c r="W4" s="46">
        <f t="shared" si="0"/>
        <v>1216.9016959048554</v>
      </c>
      <c r="X4" s="46">
        <f t="shared" si="0"/>
        <v>1224.8132015696788</v>
      </c>
      <c r="Y4" s="46">
        <f t="shared" si="0"/>
        <v>1216.8111130588925</v>
      </c>
      <c r="Z4" s="46">
        <f t="shared" si="0"/>
        <v>1206.6102248317582</v>
      </c>
      <c r="AA4" s="46">
        <f t="shared" si="0"/>
        <v>1202.8837608805554</v>
      </c>
      <c r="AB4" s="46">
        <f t="shared" si="0"/>
        <v>1171.3947352651155</v>
      </c>
      <c r="AC4" s="46">
        <f t="shared" si="0"/>
        <v>1171.3482674197085</v>
      </c>
      <c r="AD4" s="46">
        <f t="shared" si="0"/>
        <v>1165.1756797337669</v>
      </c>
      <c r="AE4" s="46">
        <f t="shared" si="0"/>
        <v>1154.7151922022279</v>
      </c>
      <c r="AF4" s="46">
        <f t="shared" si="0"/>
        <v>1139.9538713085892</v>
      </c>
      <c r="AG4" s="46">
        <f t="shared" si="0"/>
        <v>1131.7229217043375</v>
      </c>
      <c r="AH4" s="46">
        <f t="shared" si="0"/>
        <v>1122.4759526038092</v>
      </c>
      <c r="AI4" s="46">
        <f t="shared" si="0"/>
        <v>1113.0291566560418</v>
      </c>
      <c r="AJ4" s="46">
        <f t="shared" si="0"/>
        <v>1016.1040080319027</v>
      </c>
      <c r="AK4" s="46">
        <f t="shared" si="0"/>
        <v>1026.6563796885093</v>
      </c>
      <c r="AL4" s="46">
        <f t="shared" ref="AL4:BN4" si="1">SUM(AL5:AL10)</f>
        <v>1036.0016373541969</v>
      </c>
      <c r="AM4" s="46">
        <f t="shared" si="1"/>
        <v>1045.6621243557925</v>
      </c>
      <c r="AN4" s="46">
        <f t="shared" si="1"/>
        <v>1056.6885841200944</v>
      </c>
      <c r="AO4" s="46">
        <f t="shared" si="1"/>
        <v>1069.7815828956034</v>
      </c>
      <c r="AP4" s="46">
        <f t="shared" si="1"/>
        <v>1083.1534917958563</v>
      </c>
      <c r="AQ4" s="46">
        <f t="shared" si="1"/>
        <v>1097.7612780811326</v>
      </c>
      <c r="AR4" s="46">
        <f t="shared" si="1"/>
        <v>1113.7254484693394</v>
      </c>
      <c r="AS4" s="46">
        <f t="shared" si="1"/>
        <v>1132.524323032085</v>
      </c>
      <c r="AT4" s="46">
        <f t="shared" si="1"/>
        <v>1150.7205235192894</v>
      </c>
      <c r="AU4" s="46">
        <f t="shared" si="1"/>
        <v>1166.8179398693719</v>
      </c>
      <c r="AV4" s="46">
        <f t="shared" si="1"/>
        <v>1183.153582296583</v>
      </c>
      <c r="AW4" s="46">
        <f t="shared" si="1"/>
        <v>1199.5411781803105</v>
      </c>
      <c r="AX4" s="46">
        <f t="shared" si="1"/>
        <v>1215.7961833108791</v>
      </c>
      <c r="AY4" s="46">
        <f t="shared" si="1"/>
        <v>1228.771003903197</v>
      </c>
      <c r="AZ4" s="46">
        <f t="shared" si="1"/>
        <v>1241.9270352117239</v>
      </c>
      <c r="BA4" s="46">
        <f t="shared" si="1"/>
        <v>1256.3161782242341</v>
      </c>
      <c r="BB4" s="46">
        <f t="shared" si="1"/>
        <v>1271.2431333395234</v>
      </c>
      <c r="BC4" s="46">
        <f t="shared" si="1"/>
        <v>1284.5034127599022</v>
      </c>
      <c r="BD4" s="46">
        <f t="shared" si="1"/>
        <v>1297.297313332132</v>
      </c>
      <c r="BE4" s="46">
        <f t="shared" si="1"/>
        <v>1314.101966998596</v>
      </c>
      <c r="BF4" s="46">
        <f t="shared" si="1"/>
        <v>1331.6814904050912</v>
      </c>
      <c r="BG4" s="46">
        <f t="shared" si="1"/>
        <v>1350.3499242533137</v>
      </c>
      <c r="BH4" s="46">
        <f t="shared" si="1"/>
        <v>1369.8911562293956</v>
      </c>
      <c r="BI4" s="46">
        <f t="shared" si="1"/>
        <v>1391.0015012015858</v>
      </c>
      <c r="BJ4" s="46">
        <f t="shared" si="1"/>
        <v>1412.9297482154748</v>
      </c>
      <c r="BK4" s="46">
        <f t="shared" si="1"/>
        <v>1435.514767207012</v>
      </c>
      <c r="BL4" s="46">
        <f t="shared" si="1"/>
        <v>1456.860951624564</v>
      </c>
      <c r="BM4" s="46">
        <f t="shared" si="1"/>
        <v>1478.9503607816423</v>
      </c>
      <c r="BN4" s="46">
        <f t="shared" si="1"/>
        <v>1502.1604508710218</v>
      </c>
    </row>
    <row r="5" spans="1:72" x14ac:dyDescent="0.25">
      <c r="A5" t="str">
        <f>'IPCC Categories'!A5</f>
        <v>3A Livestock</v>
      </c>
      <c r="B5" t="str">
        <f>'IPCC Categories'!B5</f>
        <v>3A1 Enteric fermentation (CH4)</v>
      </c>
      <c r="C5" t="str">
        <f>'IPCC Categories'!C5</f>
        <v>3A1a Cattle</v>
      </c>
      <c r="D5" t="s">
        <v>121</v>
      </c>
      <c r="E5" t="s">
        <v>286</v>
      </c>
      <c r="F5" s="28">
        <f>SUM(Emissions!H4:H9)</f>
        <v>970.75783010383884</v>
      </c>
      <c r="G5" s="28">
        <f>SUM(Emissions!I4:I9)</f>
        <v>984.79007914328508</v>
      </c>
      <c r="H5" s="28">
        <f>SUM(Emissions!J4:J9)</f>
        <v>978.33549013594484</v>
      </c>
      <c r="I5" s="28">
        <f>SUM(Emissions!K4:K9)</f>
        <v>949.53957888011155</v>
      </c>
      <c r="J5" s="28">
        <f>SUM(Emissions!L4:L9)</f>
        <v>912.67525621411551</v>
      </c>
      <c r="K5" s="28">
        <f>SUM(Emissions!M4:M9)</f>
        <v>923.83797265176531</v>
      </c>
      <c r="L5" s="28">
        <f>SUM(Emissions!N4:N9)</f>
        <v>952.84275320570532</v>
      </c>
      <c r="M5" s="28">
        <f>SUM(Emissions!O4:O9)</f>
        <v>980.01539424682801</v>
      </c>
      <c r="N5" s="28">
        <f>SUM(Emissions!P4:P9)</f>
        <v>999.43503615113787</v>
      </c>
      <c r="O5" s="28">
        <f>SUM(Emissions!Q4:Q9)</f>
        <v>1002.3241787350501</v>
      </c>
      <c r="P5" s="28">
        <f>SUM(Emissions!R4:R9)</f>
        <v>994.67599031563441</v>
      </c>
      <c r="Q5" s="28">
        <f>SUM(Emissions!S4:S9)</f>
        <v>989.00845450586121</v>
      </c>
      <c r="R5" s="28">
        <f>SUM(Emissions!T4:T9)</f>
        <v>974.60961385984729</v>
      </c>
      <c r="S5" s="28">
        <f>SUM(Emissions!U4:U9)</f>
        <v>979.96199314328828</v>
      </c>
      <c r="T5" s="28">
        <f>SUM(Emissions!V4:V9)</f>
        <v>973.57297774234985</v>
      </c>
      <c r="U5" s="28">
        <f>SUM(Emissions!W4:W9)</f>
        <v>977.1168038510275</v>
      </c>
      <c r="V5" s="28">
        <f>SUM(Emissions!X4:X9)</f>
        <v>973.77414524080291</v>
      </c>
      <c r="W5" s="28">
        <f>SUM(Emissions!Y4:Y9)</f>
        <v>1000.8673096110051</v>
      </c>
      <c r="X5" s="28">
        <f>SUM(Emissions!Z4:Z9)</f>
        <v>1008.1706907272458</v>
      </c>
      <c r="Y5" s="28">
        <f>SUM(Emissions!AA4:AA9)</f>
        <v>1001.4109568206607</v>
      </c>
      <c r="Z5" s="28">
        <f>SUM(Emissions!AB4:AB9)</f>
        <v>994.93224097621089</v>
      </c>
      <c r="AA5" s="28">
        <f>SUM(Emissions!AC4:AC9)</f>
        <v>992.75930538162731</v>
      </c>
      <c r="AB5" s="28">
        <f>SUM(Emissions!AD4:AD9)</f>
        <v>977.65114494348973</v>
      </c>
      <c r="AC5" s="28">
        <f>SUM(Emissions!AE4:AE9)</f>
        <v>977.38485398148987</v>
      </c>
      <c r="AD5" s="28">
        <f>SUM(Emissions!AF4:AF9)</f>
        <v>970.89570346364997</v>
      </c>
      <c r="AE5" s="28">
        <f>SUM(Emissions!AG4:AG9)</f>
        <v>960.018819285826</v>
      </c>
      <c r="AF5" s="28">
        <f>SUM(Emissions!AH4:AH9)</f>
        <v>944.74873962829656</v>
      </c>
      <c r="AG5" s="28">
        <f>SUM(Emissions!AI4:AI9)</f>
        <v>935.84607513360265</v>
      </c>
      <c r="AH5" s="28">
        <f>SUM(Emissions!AJ4:AJ9)</f>
        <v>925.86964582484973</v>
      </c>
      <c r="AI5" s="28">
        <f>SUM(Emissions!AK4:AK9)</f>
        <v>915.62865230855073</v>
      </c>
      <c r="AJ5" s="28">
        <f>SUM(Emissions!AL4:AL9)</f>
        <v>818.48733161457869</v>
      </c>
      <c r="AK5" s="28">
        <f>SUM(Emissions!AM4:AM9)</f>
        <v>828.64690817262112</v>
      </c>
      <c r="AL5" s="28">
        <f>SUM(Emissions!AN4:AN9)</f>
        <v>837.56006542938985</v>
      </c>
      <c r="AM5" s="28">
        <f>SUM(Emissions!AO4:AO9)</f>
        <v>846.74088169162985</v>
      </c>
      <c r="AN5" s="28">
        <f>SUM(Emissions!AP4:AP9)</f>
        <v>857.23481291226483</v>
      </c>
      <c r="AO5" s="28">
        <f>SUM(Emissions!AQ4:AQ9)</f>
        <v>869.73933534201831</v>
      </c>
      <c r="AP5" s="28">
        <f>SUM(Emissions!AR4:AR9)</f>
        <v>882.70587813258351</v>
      </c>
      <c r="AQ5" s="28">
        <f>SUM(Emissions!AS4:AS9)</f>
        <v>896.86415079111532</v>
      </c>
      <c r="AR5" s="28">
        <f>SUM(Emissions!AT4:AT9)</f>
        <v>912.33533590153274</v>
      </c>
      <c r="AS5" s="28">
        <f>SUM(Emissions!AU4:AU9)</f>
        <v>930.58792131093708</v>
      </c>
      <c r="AT5" s="28">
        <f>SUM(Emissions!AV4:AV9)</f>
        <v>948.2118700497399</v>
      </c>
      <c r="AU5" s="28">
        <f>SUM(Emissions!AW4:AW9)</f>
        <v>963.85677020194316</v>
      </c>
      <c r="AV5" s="28">
        <f>SUM(Emissions!AX4:AX9)</f>
        <v>979.70792780946135</v>
      </c>
      <c r="AW5" s="28">
        <f>SUM(Emissions!AY4:AY9)</f>
        <v>995.58141879967286</v>
      </c>
      <c r="AX5" s="28">
        <f>SUM(Emissions!AZ4:AZ9)</f>
        <v>1011.2949964559782</v>
      </c>
      <c r="AY5" s="28">
        <f>SUM(Emissions!BA4:BA9)</f>
        <v>1023.7273651193423</v>
      </c>
      <c r="AZ5" s="28">
        <f>SUM(Emissions!BB4:BB9)</f>
        <v>1036.4814613741676</v>
      </c>
      <c r="BA5" s="28">
        <f>SUM(Emissions!BC4:BC9)</f>
        <v>1050.4335076339169</v>
      </c>
      <c r="BB5" s="28">
        <f>SUM(Emissions!BD4:BD9)</f>
        <v>1064.8942141992816</v>
      </c>
      <c r="BC5" s="28">
        <f>SUM(Emissions!BE4:BE9)</f>
        <v>1077.6782332741689</v>
      </c>
      <c r="BD5" s="28">
        <f>SUM(Emissions!BF4:BF9)</f>
        <v>1089.9764497657379</v>
      </c>
      <c r="BE5" s="28">
        <f>SUM(Emissions!BG4:BG9)</f>
        <v>1106.4183260297266</v>
      </c>
      <c r="BF5" s="28">
        <f>SUM(Emissions!BH4:BH9)</f>
        <v>1123.6080127423957</v>
      </c>
      <c r="BG5" s="28">
        <f>SUM(Emissions!BI4:BI9)</f>
        <v>1141.8569479023288</v>
      </c>
      <c r="BH5" s="28">
        <f>SUM(Emissions!BJ4:BJ9)</f>
        <v>1160.9510360491192</v>
      </c>
      <c r="BI5" s="28">
        <f>SUM(Emissions!BK4:BK9)</f>
        <v>1181.5803066029509</v>
      </c>
      <c r="BJ5" s="28">
        <f>SUM(Emissions!BL4:BL9)</f>
        <v>1203.156123785182</v>
      </c>
      <c r="BK5" s="28">
        <f>SUM(Emissions!BM4:BM9)</f>
        <v>1225.3631854731495</v>
      </c>
      <c r="BL5" s="28">
        <f>SUM(Emissions!BN4:BN9)</f>
        <v>1246.3237958138957</v>
      </c>
      <c r="BM5" s="28">
        <f>SUM(Emissions!BO4:BO9)</f>
        <v>1268.0016439463866</v>
      </c>
      <c r="BN5" s="28">
        <f>SUM(Emissions!BP4:BP9)</f>
        <v>1290.7704272047688</v>
      </c>
    </row>
    <row r="6" spans="1:72" x14ac:dyDescent="0.25">
      <c r="A6" t="str">
        <f>A5</f>
        <v>3A Livestock</v>
      </c>
      <c r="B6" t="str">
        <f>B5</f>
        <v>3A1 Enteric fermentation (CH4)</v>
      </c>
      <c r="C6" t="str">
        <f>'IPCC Categories'!C7</f>
        <v>3A1c Sheep</v>
      </c>
      <c r="D6" t="str">
        <f>D5</f>
        <v>CH4</v>
      </c>
      <c r="E6" t="str">
        <f>E5</f>
        <v>Gg CH4</v>
      </c>
      <c r="F6" s="28">
        <f>SUM(Emissions!H10:H11)</f>
        <v>230.15541038431331</v>
      </c>
      <c r="G6" s="28">
        <f>SUM(Emissions!I10:I11)</f>
        <v>219.80651638524552</v>
      </c>
      <c r="H6" s="28">
        <f>SUM(Emissions!J10:J11)</f>
        <v>210.72436386232471</v>
      </c>
      <c r="I6" s="28">
        <f>SUM(Emissions!K10:K11)</f>
        <v>197.07426480420705</v>
      </c>
      <c r="J6" s="28">
        <f>SUM(Emissions!L10:L11)</f>
        <v>198.463841817435</v>
      </c>
      <c r="K6" s="28">
        <f>SUM(Emissions!M10:M11)</f>
        <v>195.62327002243862</v>
      </c>
      <c r="L6" s="28">
        <f>SUM(Emissions!N10:N11)</f>
        <v>196.27583381318104</v>
      </c>
      <c r="M6" s="28">
        <f>SUM(Emissions!O10:O11)</f>
        <v>192.00729889961895</v>
      </c>
      <c r="N6" s="28">
        <f>SUM(Emissions!P10:P11)</f>
        <v>192.53702715328046</v>
      </c>
      <c r="O6" s="28">
        <f>SUM(Emissions!Q10:Q11)</f>
        <v>187.80785897566491</v>
      </c>
      <c r="P6" s="28">
        <f>SUM(Emissions!R10:R11)</f>
        <v>181.07493609941679</v>
      </c>
      <c r="Q6" s="28">
        <f>SUM(Emissions!S10:S11)</f>
        <v>176.56073011169283</v>
      </c>
      <c r="R6" s="28">
        <f>SUM(Emissions!T10:T11)</f>
        <v>173.61267722175066</v>
      </c>
      <c r="S6" s="28">
        <f>SUM(Emissions!U10:U11)</f>
        <v>174.21917768608773</v>
      </c>
      <c r="T6" s="28">
        <f>SUM(Emissions!V10:V11)</f>
        <v>171.11758037479439</v>
      </c>
      <c r="U6" s="28">
        <f>SUM(Emissions!W10:W11)</f>
        <v>170.71068765821383</v>
      </c>
      <c r="V6" s="28">
        <f>SUM(Emissions!X10:X11)</f>
        <v>168.47661632755455</v>
      </c>
      <c r="W6" s="28">
        <f>SUM(Emissions!Y10:Y11)</f>
        <v>168.31539468513583</v>
      </c>
      <c r="X6" s="28">
        <f>SUM(Emissions!Z10:Z11)</f>
        <v>168.86047738093242</v>
      </c>
      <c r="Y6" s="28">
        <f>SUM(Emissions!AA10:AA11)</f>
        <v>168.26165413766293</v>
      </c>
      <c r="Z6" s="28">
        <f>SUM(Emissions!AB10:AB11)</f>
        <v>165.00651240501841</v>
      </c>
      <c r="AA6" s="28">
        <f>SUM(Emissions!AC10:AC11)</f>
        <v>163.71673926566876</v>
      </c>
      <c r="AB6" s="28">
        <f>SUM(Emissions!AD10:AD11)</f>
        <v>146.9314686767658</v>
      </c>
      <c r="AC6" s="28">
        <f>SUM(Emissions!AE10:AE11)</f>
        <v>147.01108842658465</v>
      </c>
      <c r="AD6" s="28">
        <f>SUM(Emissions!AF10:AF11)</f>
        <v>147.19218851318541</v>
      </c>
      <c r="AE6" s="28">
        <f>SUM(Emissions!AG10:AG11)</f>
        <v>147.46952690235895</v>
      </c>
      <c r="AF6" s="28">
        <f>SUM(Emissions!AH10:AH11)</f>
        <v>147.83796601595333</v>
      </c>
      <c r="AG6" s="28">
        <f>SUM(Emissions!AI10:AI11)</f>
        <v>148.30144249104603</v>
      </c>
      <c r="AH6" s="28">
        <f>SUM(Emissions!AJ10:AJ11)</f>
        <v>148.81514343204375</v>
      </c>
      <c r="AI6" s="28">
        <f>SUM(Emissions!AK10:AK11)</f>
        <v>149.38043699964183</v>
      </c>
      <c r="AJ6" s="28">
        <f>SUM(Emissions!AL10:AL11)</f>
        <v>149.9254190391182</v>
      </c>
      <c r="AK6" s="28">
        <f>SUM(Emissions!AM10:AM11)</f>
        <v>150.14146098245581</v>
      </c>
      <c r="AL6" s="28">
        <f>SUM(Emissions!AN10:AN11)</f>
        <v>150.3937885471517</v>
      </c>
      <c r="AM6" s="28">
        <f>SUM(Emissions!AO10:AO11)</f>
        <v>150.68138153593463</v>
      </c>
      <c r="AN6" s="28">
        <f>SUM(Emissions!AP10:AP11)</f>
        <v>151.00315958418324</v>
      </c>
      <c r="AO6" s="28">
        <f>SUM(Emissions!AQ10:AQ11)</f>
        <v>151.35802133939808</v>
      </c>
      <c r="AP6" s="28">
        <f>SUM(Emissions!AR10:AR11)</f>
        <v>151.57594353852053</v>
      </c>
      <c r="AQ6" s="28">
        <f>SUM(Emissions!AS10:AS11)</f>
        <v>151.82158295102406</v>
      </c>
      <c r="AR6" s="28">
        <f>SUM(Emissions!AT10:AT11)</f>
        <v>152.09378127172124</v>
      </c>
      <c r="AS6" s="28">
        <f>SUM(Emissions!AU10:AU11)</f>
        <v>152.39271698595812</v>
      </c>
      <c r="AT6" s="28">
        <f>SUM(Emissions!AV10:AV11)</f>
        <v>152.71436050709309</v>
      </c>
      <c r="AU6" s="28">
        <f>SUM(Emissions!AW10:AW11)</f>
        <v>152.92716762461603</v>
      </c>
      <c r="AV6" s="28">
        <f>SUM(Emissions!AX10:AX11)</f>
        <v>153.16079867488287</v>
      </c>
      <c r="AW6" s="28">
        <f>SUM(Emissions!AY10:AY11)</f>
        <v>153.41428900528527</v>
      </c>
      <c r="AX6" s="28">
        <f>SUM(Emissions!AZ10:AZ11)</f>
        <v>153.6867382396355</v>
      </c>
      <c r="AY6" s="28">
        <f>SUM(Emissions!BA10:BA11)</f>
        <v>153.97439060314051</v>
      </c>
      <c r="AZ6" s="28">
        <f>SUM(Emissions!BB10:BB11)</f>
        <v>154.15273714762395</v>
      </c>
      <c r="BA6" s="28">
        <f>SUM(Emissions!BC10:BC11)</f>
        <v>154.34851605963584</v>
      </c>
      <c r="BB6" s="28">
        <f>SUM(Emissions!BD10:BD11)</f>
        <v>154.56054461540123</v>
      </c>
      <c r="BC6" s="28">
        <f>SUM(Emissions!BE10:BE11)</f>
        <v>154.7860304194601</v>
      </c>
      <c r="BD6" s="28">
        <f>SUM(Emissions!BF10:BF11)</f>
        <v>155.02572569526308</v>
      </c>
      <c r="BE6" s="28">
        <f>SUM(Emissions!BG10:BG11)</f>
        <v>155.16125253213596</v>
      </c>
      <c r="BF6" s="28">
        <f>SUM(Emissions!BH10:BH11)</f>
        <v>155.31057873531276</v>
      </c>
      <c r="BG6" s="28">
        <f>SUM(Emissions!BI10:BI11)</f>
        <v>155.47371706481002</v>
      </c>
      <c r="BH6" s="28">
        <f>SUM(Emissions!BJ10:BJ11)</f>
        <v>155.65012275648991</v>
      </c>
      <c r="BI6" s="28">
        <f>SUM(Emissions!BK10:BK11)</f>
        <v>155.84033667514325</v>
      </c>
      <c r="BJ6" s="28">
        <f>SUM(Emissions!BL10:BL11)</f>
        <v>155.92368302347549</v>
      </c>
      <c r="BK6" s="28">
        <f>SUM(Emissions!BM10:BM11)</f>
        <v>156.01875702204657</v>
      </c>
      <c r="BL6" s="28">
        <f>SUM(Emissions!BN10:BN11)</f>
        <v>156.12298630298801</v>
      </c>
      <c r="BM6" s="28">
        <f>SUM(Emissions!BO10:BO11)</f>
        <v>156.23853145148288</v>
      </c>
      <c r="BN6" s="28">
        <f>SUM(Emissions!BP10:BP11)</f>
        <v>156.36569020250772</v>
      </c>
    </row>
    <row r="7" spans="1:72" x14ac:dyDescent="0.25">
      <c r="A7" t="str">
        <f t="shared" ref="A7:A26" si="2">A6</f>
        <v>3A Livestock</v>
      </c>
      <c r="B7" t="str">
        <f t="shared" ref="B7:B10" si="3">B6</f>
        <v>3A1 Enteric fermentation (CH4)</v>
      </c>
      <c r="C7" t="str">
        <f>'IPCC Categories'!C8</f>
        <v>3A1d Goats</v>
      </c>
      <c r="D7" t="str">
        <f t="shared" ref="D7:D10" si="4">D6</f>
        <v>CH4</v>
      </c>
      <c r="E7" t="str">
        <f t="shared" ref="E7:E10" si="5">E6</f>
        <v>Gg CH4</v>
      </c>
      <c r="F7" s="28">
        <f>SUM(Emissions!H12:H13)</f>
        <v>50.832740984438615</v>
      </c>
      <c r="G7" s="28">
        <f>SUM(Emissions!I12:I13)</f>
        <v>44.950509601596238</v>
      </c>
      <c r="H7" s="28">
        <f>SUM(Emissions!J12:J13)</f>
        <v>41.871958597491798</v>
      </c>
      <c r="I7" s="28">
        <f>SUM(Emissions!K12:K13)</f>
        <v>39.563045344413474</v>
      </c>
      <c r="J7" s="28">
        <f>SUM(Emissions!L12:L13)</f>
        <v>42.824843432095548</v>
      </c>
      <c r="K7" s="28">
        <f>SUM(Emissions!M12:M13)</f>
        <v>43.411234099544018</v>
      </c>
      <c r="L7" s="28">
        <f>SUM(Emissions!N12:N13)</f>
        <v>44.089248308781293</v>
      </c>
      <c r="M7" s="28">
        <f>SUM(Emissions!O12:O13)</f>
        <v>43.869351808488119</v>
      </c>
      <c r="N7" s="28">
        <f>SUM(Emissions!P12:P13)</f>
        <v>43.24631172432413</v>
      </c>
      <c r="O7" s="28">
        <f>SUM(Emissions!Q12:Q13)</f>
        <v>42.604946931802381</v>
      </c>
      <c r="P7" s="28">
        <f>SUM(Emissions!R12:R13)</f>
        <v>43.15468818253531</v>
      </c>
      <c r="Q7" s="28">
        <f>SUM(Emissions!S12:S13)</f>
        <v>44.474067184294356</v>
      </c>
      <c r="R7" s="28">
        <f>SUM(Emissions!T12:T13)</f>
        <v>40.607553720806052</v>
      </c>
      <c r="S7" s="28">
        <f>SUM(Emissions!U12:U13)</f>
        <v>39.581370052771241</v>
      </c>
      <c r="T7" s="28">
        <f>SUM(Emissions!V12:V13)</f>
        <v>39.654668886202302</v>
      </c>
      <c r="U7" s="28">
        <f>SUM(Emissions!W12:W13)</f>
        <v>39.1415770521849</v>
      </c>
      <c r="V7" s="28">
        <f>SUM(Emissions!X12:X13)</f>
        <v>39.966188928284296</v>
      </c>
      <c r="W7" s="28">
        <f>SUM(Emissions!Y12:Y13)</f>
        <v>38.775082885029605</v>
      </c>
      <c r="X7" s="28">
        <f>SUM(Emissions!Z12:Z13)</f>
        <v>38.738433468314078</v>
      </c>
      <c r="Y7" s="28">
        <f>SUM(Emissions!AA12:AA13)</f>
        <v>38.060419259076795</v>
      </c>
      <c r="Z7" s="28">
        <f>SUM(Emissions!AB12:AB13)</f>
        <v>37.60230155013268</v>
      </c>
      <c r="AA7" s="28">
        <f>SUM(Emissions!AC12:AC13)</f>
        <v>37.254132091335151</v>
      </c>
      <c r="AB7" s="28">
        <f>SUM(Emissions!AD12:AD13)</f>
        <v>37.493089009122393</v>
      </c>
      <c r="AC7" s="28">
        <f>SUM(Emissions!AE12:AE13)</f>
        <v>37.590685963501926</v>
      </c>
      <c r="AD7" s="28">
        <f>SUM(Emissions!AF12:AF13)</f>
        <v>37.721634418436523</v>
      </c>
      <c r="AE7" s="28">
        <f>SUM(Emissions!AG12:AG13)</f>
        <v>37.884400983282291</v>
      </c>
      <c r="AF7" s="28">
        <f>SUM(Emissions!AH12:AH13)</f>
        <v>38.07738533470701</v>
      </c>
      <c r="AG7" s="28">
        <f>SUM(Emissions!AI12:AI13)</f>
        <v>38.302525744758633</v>
      </c>
      <c r="AH7" s="28">
        <f>SUM(Emissions!AJ12:AJ13)</f>
        <v>38.542267902919008</v>
      </c>
      <c r="AI7" s="28">
        <f>SUM(Emissions!AK12:AK13)</f>
        <v>38.797507093298393</v>
      </c>
      <c r="AJ7" s="28">
        <f>SUM(Emissions!AL12:AL13)</f>
        <v>39.040083494744266</v>
      </c>
      <c r="AK7" s="28">
        <f>SUM(Emissions!AM12:AM13)</f>
        <v>39.148673968336169</v>
      </c>
      <c r="AL7" s="28">
        <f>SUM(Emissions!AN12:AN13)</f>
        <v>39.268355653425935</v>
      </c>
      <c r="AM7" s="28">
        <f>SUM(Emissions!AO12:AO13)</f>
        <v>39.398896358497794</v>
      </c>
      <c r="AN7" s="28">
        <f>SUM(Emissions!AP12:AP13)</f>
        <v>39.540016775185805</v>
      </c>
      <c r="AO7" s="28">
        <f>SUM(Emissions!AQ12:AQ13)</f>
        <v>39.691410226675544</v>
      </c>
      <c r="AP7" s="28">
        <f>SUM(Emissions!AR12:AR13)</f>
        <v>39.786897979604738</v>
      </c>
      <c r="AQ7" s="28">
        <f>SUM(Emissions!AS12:AS13)</f>
        <v>39.891065929992138</v>
      </c>
      <c r="AR7" s="28">
        <f>SUM(Emissions!AT12:AT13)</f>
        <v>40.00354372839567</v>
      </c>
      <c r="AS7" s="28">
        <f>SUM(Emissions!AU12:AU13)</f>
        <v>40.124470463732635</v>
      </c>
      <c r="AT7" s="28">
        <f>SUM(Emissions!AV12:AV13)</f>
        <v>40.252347706590029</v>
      </c>
      <c r="AU7" s="28">
        <f>SUM(Emissions!AW12:AW13)</f>
        <v>40.336501240267793</v>
      </c>
      <c r="AV7" s="28">
        <f>SUM(Emissions!AX12:AX13)</f>
        <v>40.427197210463532</v>
      </c>
      <c r="AW7" s="28">
        <f>SUM(Emissions!AY12:AY13)</f>
        <v>40.524107188902391</v>
      </c>
      <c r="AX7" s="28">
        <f>SUM(Emissions!AZ12:AZ13)</f>
        <v>40.62692415009964</v>
      </c>
      <c r="AY7" s="28">
        <f>SUM(Emissions!BA12:BA13)</f>
        <v>40.734245701300622</v>
      </c>
      <c r="AZ7" s="28">
        <f>SUM(Emissions!BB12:BB13)</f>
        <v>40.798559821341527</v>
      </c>
      <c r="BA7" s="28">
        <f>SUM(Emissions!BC12:BC13)</f>
        <v>40.868477629571203</v>
      </c>
      <c r="BB7" s="28">
        <f>SUM(Emissions!BD12:BD13)</f>
        <v>40.943569134555332</v>
      </c>
      <c r="BC7" s="28">
        <f>SUM(Emissions!BE12:BE13)</f>
        <v>41.022793031955544</v>
      </c>
      <c r="BD7" s="28">
        <f>SUM(Emissions!BF12:BF13)</f>
        <v>41.106456455465029</v>
      </c>
      <c r="BE7" s="28">
        <f>SUM(Emissions!BG12:BG13)</f>
        <v>41.149777851453351</v>
      </c>
      <c r="BF7" s="28">
        <f>SUM(Emissions!BH12:BH13)</f>
        <v>41.197572643006495</v>
      </c>
      <c r="BG7" s="28">
        <f>SUM(Emissions!BI12:BI13)</f>
        <v>41.24985585026829</v>
      </c>
      <c r="BH7" s="28">
        <f>SUM(Emissions!BJ12:BJ13)</f>
        <v>41.306430706938066</v>
      </c>
      <c r="BI7" s="28">
        <f>SUM(Emissions!BK12:BK13)</f>
        <v>41.367508208470973</v>
      </c>
      <c r="BJ7" s="28">
        <f>SUM(Emissions!BL12:BL13)</f>
        <v>41.387810912894921</v>
      </c>
      <c r="BK7" s="28">
        <f>SUM(Emissions!BM12:BM13)</f>
        <v>41.411993819121079</v>
      </c>
      <c r="BL7" s="28">
        <f>SUM(Emissions!BN12:BN13)</f>
        <v>41.439098219377314</v>
      </c>
      <c r="BM7" s="28">
        <f>SUM(Emissions!BO12:BO13)</f>
        <v>41.469937899662852</v>
      </c>
      <c r="BN7" s="28">
        <f>SUM(Emissions!BP12:BP13)</f>
        <v>41.504625935193275</v>
      </c>
    </row>
    <row r="8" spans="1:72" x14ac:dyDescent="0.25">
      <c r="A8" t="str">
        <f t="shared" si="2"/>
        <v>3A Livestock</v>
      </c>
      <c r="B8" t="str">
        <f t="shared" si="3"/>
        <v>3A1 Enteric fermentation (CH4)</v>
      </c>
      <c r="C8" t="str">
        <f>'IPCC Categories'!C9</f>
        <v>3A1f Horses</v>
      </c>
      <c r="D8" t="str">
        <f t="shared" si="4"/>
        <v>CH4</v>
      </c>
      <c r="E8" t="str">
        <f t="shared" si="5"/>
        <v>Gg CH4</v>
      </c>
      <c r="F8" s="28">
        <f>Emissions!H14</f>
        <v>4.1399999999999997</v>
      </c>
      <c r="G8" s="28">
        <f>Emissions!I14</f>
        <v>4.1399999999999997</v>
      </c>
      <c r="H8" s="28">
        <f>Emissions!J14</f>
        <v>4.1399999999999997</v>
      </c>
      <c r="I8" s="28">
        <f>Emissions!K14</f>
        <v>4.2299999999999995</v>
      </c>
      <c r="J8" s="28">
        <f>Emissions!L14</f>
        <v>4.3199999999999994</v>
      </c>
      <c r="K8" s="28">
        <f>Emissions!M14</f>
        <v>4.41</v>
      </c>
      <c r="L8" s="28">
        <f>Emissions!N14</f>
        <v>4.5</v>
      </c>
      <c r="M8" s="28">
        <f>Emissions!O14</f>
        <v>4.59</v>
      </c>
      <c r="N8" s="28">
        <f>Emissions!P14</f>
        <v>4.68</v>
      </c>
      <c r="O8" s="28">
        <f>Emissions!Q14</f>
        <v>4.6440000000000001</v>
      </c>
      <c r="P8" s="28">
        <f>Emissions!R14</f>
        <v>4.8599999999999994</v>
      </c>
      <c r="Q8" s="28">
        <f>Emissions!S14</f>
        <v>4.8599999999999994</v>
      </c>
      <c r="R8" s="28">
        <f>Emissions!T14</f>
        <v>4.8599999999999994</v>
      </c>
      <c r="S8" s="28">
        <f>Emissions!U14</f>
        <v>4.8599999999999994</v>
      </c>
      <c r="T8" s="28">
        <f>Emissions!V14</f>
        <v>4.8599999999999994</v>
      </c>
      <c r="U8" s="28">
        <f>Emissions!W14</f>
        <v>4.8599999999999994</v>
      </c>
      <c r="V8" s="28">
        <f>Emissions!X14</f>
        <v>5.04</v>
      </c>
      <c r="W8" s="28">
        <f>Emissions!Y14</f>
        <v>5.22</v>
      </c>
      <c r="X8" s="28">
        <f>Emissions!Z14</f>
        <v>5.3639999999999999</v>
      </c>
      <c r="Y8" s="28">
        <f>Emissions!AA14</f>
        <v>5.3999999999999995</v>
      </c>
      <c r="Z8" s="28">
        <f>Emissions!AB14</f>
        <v>5.3999999999999995</v>
      </c>
      <c r="AA8" s="28">
        <f>Emissions!AC14</f>
        <v>5.4899999999999993</v>
      </c>
      <c r="AB8" s="28">
        <f>Emissions!AD14</f>
        <v>5.5534419067588594</v>
      </c>
      <c r="AC8" s="28">
        <f>Emissions!AE14</f>
        <v>5.5962060636308637</v>
      </c>
      <c r="AD8" s="28">
        <f>Emissions!AF14</f>
        <v>5.6151982155681042</v>
      </c>
      <c r="AE8" s="28">
        <f>Emissions!AG14</f>
        <v>5.6160403090109137</v>
      </c>
      <c r="AF8" s="28">
        <f>Emissions!AH14</f>
        <v>5.598201774458702</v>
      </c>
      <c r="AG8" s="28">
        <f>Emissions!AI14</f>
        <v>5.6001675407766198</v>
      </c>
      <c r="AH8" s="28">
        <f>Emissions!AJ14</f>
        <v>5.5970856594736391</v>
      </c>
      <c r="AI8" s="28">
        <f>Emissions!AK14</f>
        <v>5.5917824263375895</v>
      </c>
      <c r="AJ8" s="28">
        <f>Emissions!AL14</f>
        <v>5.2578528196991252</v>
      </c>
      <c r="AK8" s="28">
        <f>Emissions!AM14</f>
        <v>5.3117614252067842</v>
      </c>
      <c r="AL8" s="28">
        <f>Emissions!AN14</f>
        <v>5.3606434972398267</v>
      </c>
      <c r="AM8" s="28">
        <f>Emissions!AO14</f>
        <v>5.4102582255642897</v>
      </c>
      <c r="AN8" s="28">
        <f>Emissions!AP14</f>
        <v>5.4647048003186702</v>
      </c>
      <c r="AO8" s="28">
        <f>Emissions!AQ14</f>
        <v>5.526822856355853</v>
      </c>
      <c r="AP8" s="28">
        <f>Emissions!AR14</f>
        <v>5.5967116030899735</v>
      </c>
      <c r="AQ8" s="28">
        <f>Emissions!AS14</f>
        <v>5.6715299466592279</v>
      </c>
      <c r="AR8" s="28">
        <f>Emissions!AT14</f>
        <v>5.7518755563911768</v>
      </c>
      <c r="AS8" s="28">
        <f>Emissions!AU14</f>
        <v>5.8437634262884881</v>
      </c>
      <c r="AT8" s="28">
        <f>Emissions!AV14</f>
        <v>5.9336474262785659</v>
      </c>
      <c r="AU8" s="28">
        <f>Emissions!AW14</f>
        <v>6.0460527170869591</v>
      </c>
      <c r="AV8" s="28">
        <f>Emissions!AX14</f>
        <v>6.1619084857848518</v>
      </c>
      <c r="AW8" s="28">
        <f>Emissions!AY14</f>
        <v>6.2805768613460717</v>
      </c>
      <c r="AX8" s="28">
        <f>Emissions!AZ14</f>
        <v>6.4013866628591822</v>
      </c>
      <c r="AY8" s="28">
        <f>Emissions!BA14</f>
        <v>6.5108195882130024</v>
      </c>
      <c r="AZ8" s="28">
        <f>Emissions!BB14</f>
        <v>6.6299643072029495</v>
      </c>
      <c r="BA8" s="28">
        <f>Emissions!BC14</f>
        <v>6.7575636376526669</v>
      </c>
      <c r="BB8" s="28">
        <f>Emissions!BD14</f>
        <v>6.8908626312046373</v>
      </c>
      <c r="BC8" s="28">
        <f>Emissions!BE14</f>
        <v>7.0199570857611988</v>
      </c>
      <c r="BD8" s="28">
        <f>Emissions!BF14</f>
        <v>7.1502448917901287</v>
      </c>
      <c r="BE8" s="28">
        <f>Emissions!BG14</f>
        <v>7.2905337713463378</v>
      </c>
      <c r="BF8" s="28">
        <f>Emissions!BH14</f>
        <v>7.4374434038921171</v>
      </c>
      <c r="BG8" s="28">
        <f>Emissions!BI14</f>
        <v>7.5927498831585547</v>
      </c>
      <c r="BH8" s="28">
        <f>Emissions!BJ14</f>
        <v>7.7556977871042676</v>
      </c>
      <c r="BI8" s="28">
        <f>Emissions!BK14</f>
        <v>7.9300611285489202</v>
      </c>
      <c r="BJ8" s="28">
        <f>Emissions!BL14</f>
        <v>8.120153407329564</v>
      </c>
      <c r="BK8" s="28">
        <f>Emissions!BM14</f>
        <v>8.3182028554598393</v>
      </c>
      <c r="BL8" s="28">
        <f>Emissions!BN14</f>
        <v>8.5145695802321519</v>
      </c>
      <c r="BM8" s="28">
        <f>Emissions!BO14</f>
        <v>8.7196661249741325</v>
      </c>
      <c r="BN8" s="28">
        <f>Emissions!BP14</f>
        <v>8.9358674687981328</v>
      </c>
    </row>
    <row r="9" spans="1:72" x14ac:dyDescent="0.25">
      <c r="A9" t="str">
        <f t="shared" si="2"/>
        <v>3A Livestock</v>
      </c>
      <c r="B9" t="str">
        <f t="shared" si="3"/>
        <v>3A1 Enteric fermentation (CH4)</v>
      </c>
      <c r="C9" t="str">
        <f>'IPCC Categories'!C10</f>
        <v>3A1g Mules &amp; asses</v>
      </c>
      <c r="D9" t="str">
        <f t="shared" si="4"/>
        <v>CH4</v>
      </c>
      <c r="E9" t="str">
        <f t="shared" si="5"/>
        <v>Gg CH4</v>
      </c>
      <c r="F9" s="28">
        <f>Emissions!H15</f>
        <v>2.2399999999999998</v>
      </c>
      <c r="G9" s="28">
        <f>Emissions!I15</f>
        <v>2.2399999999999998</v>
      </c>
      <c r="H9" s="28">
        <f>Emissions!J15</f>
        <v>2.2399999999999998</v>
      </c>
      <c r="I9" s="28">
        <f>Emissions!K15</f>
        <v>2.2399999999999998</v>
      </c>
      <c r="J9" s="28">
        <f>Emissions!L15</f>
        <v>2.2399999999999998</v>
      </c>
      <c r="K9" s="28">
        <f>Emissions!M15</f>
        <v>2.2399999999999998</v>
      </c>
      <c r="L9" s="28">
        <f>Emissions!N15</f>
        <v>2.2399999999999998</v>
      </c>
      <c r="M9" s="28">
        <f>Emissions!O15</f>
        <v>2.2399999999999998</v>
      </c>
      <c r="N9" s="28">
        <f>Emissions!P15</f>
        <v>2.2399999999999998</v>
      </c>
      <c r="O9" s="28">
        <f>Emissions!Q15</f>
        <v>2.2399999999999998</v>
      </c>
      <c r="P9" s="28">
        <f>Emissions!R15</f>
        <v>1.64</v>
      </c>
      <c r="Q9" s="28">
        <f>Emissions!S15</f>
        <v>1.64</v>
      </c>
      <c r="R9" s="28">
        <f>Emissions!T15</f>
        <v>1.64</v>
      </c>
      <c r="S9" s="28">
        <f>Emissions!U15</f>
        <v>1.64</v>
      </c>
      <c r="T9" s="28">
        <f>Emissions!V15</f>
        <v>1.64</v>
      </c>
      <c r="U9" s="28">
        <f>Emissions!W15</f>
        <v>1.64</v>
      </c>
      <c r="V9" s="28">
        <f>Emissions!X15</f>
        <v>1.6404999999999998</v>
      </c>
      <c r="W9" s="28">
        <f>Emissions!Y15</f>
        <v>1.6459999999999999</v>
      </c>
      <c r="X9" s="28">
        <f>Emissions!Z15</f>
        <v>1.647</v>
      </c>
      <c r="Y9" s="28">
        <f>Emissions!AA15</f>
        <v>1.6479999999999999</v>
      </c>
      <c r="Z9" s="28">
        <f>Emissions!AB15</f>
        <v>1.663</v>
      </c>
      <c r="AA9" s="28">
        <f>Emissions!AC15</f>
        <v>1.67</v>
      </c>
      <c r="AB9" s="28">
        <f>Emissions!AD15</f>
        <v>1.67</v>
      </c>
      <c r="AC9" s="28">
        <f>Emissions!AE15</f>
        <v>1.67</v>
      </c>
      <c r="AD9" s="28">
        <f>Emissions!AF15</f>
        <v>1.67</v>
      </c>
      <c r="AE9" s="28">
        <f>Emissions!AG15</f>
        <v>1.67</v>
      </c>
      <c r="AF9" s="28">
        <f>Emissions!AH15</f>
        <v>1.67</v>
      </c>
      <c r="AG9" s="28">
        <f>Emissions!AI15</f>
        <v>1.67</v>
      </c>
      <c r="AH9" s="28">
        <f>Emissions!AJ15</f>
        <v>1.67</v>
      </c>
      <c r="AI9" s="28">
        <f>Emissions!AK15</f>
        <v>1.67</v>
      </c>
      <c r="AJ9" s="28">
        <f>Emissions!AL15</f>
        <v>1.67</v>
      </c>
      <c r="AK9" s="28">
        <f>Emissions!AM15</f>
        <v>1.67</v>
      </c>
      <c r="AL9" s="28">
        <f>Emissions!AN15</f>
        <v>1.67</v>
      </c>
      <c r="AM9" s="28">
        <f>Emissions!AO15</f>
        <v>1.67</v>
      </c>
      <c r="AN9" s="28">
        <f>Emissions!AP15</f>
        <v>1.67</v>
      </c>
      <c r="AO9" s="28">
        <f>Emissions!AQ15</f>
        <v>1.67</v>
      </c>
      <c r="AP9" s="28">
        <f>Emissions!AR15</f>
        <v>1.67</v>
      </c>
      <c r="AQ9" s="28">
        <f>Emissions!AS15</f>
        <v>1.67</v>
      </c>
      <c r="AR9" s="28">
        <f>Emissions!AT15</f>
        <v>1.67</v>
      </c>
      <c r="AS9" s="28">
        <f>Emissions!AU15</f>
        <v>1.67</v>
      </c>
      <c r="AT9" s="28">
        <f>Emissions!AV15</f>
        <v>1.67</v>
      </c>
      <c r="AU9" s="28">
        <f>Emissions!AW15</f>
        <v>1.67</v>
      </c>
      <c r="AV9" s="28">
        <f>Emissions!AX15</f>
        <v>1.67</v>
      </c>
      <c r="AW9" s="28">
        <f>Emissions!AY15</f>
        <v>1.67</v>
      </c>
      <c r="AX9" s="28">
        <f>Emissions!AZ15</f>
        <v>1.67</v>
      </c>
      <c r="AY9" s="28">
        <f>Emissions!BA15</f>
        <v>1.67</v>
      </c>
      <c r="AZ9" s="28">
        <f>Emissions!BB15</f>
        <v>1.67</v>
      </c>
      <c r="BA9" s="28">
        <f>Emissions!BC15</f>
        <v>1.67</v>
      </c>
      <c r="BB9" s="28">
        <f>Emissions!BD15</f>
        <v>1.67</v>
      </c>
      <c r="BC9" s="28">
        <f>Emissions!BE15</f>
        <v>1.67</v>
      </c>
      <c r="BD9" s="28">
        <f>Emissions!BF15</f>
        <v>1.67</v>
      </c>
      <c r="BE9" s="28">
        <f>Emissions!BG15</f>
        <v>1.67</v>
      </c>
      <c r="BF9" s="28">
        <f>Emissions!BH15</f>
        <v>1.67</v>
      </c>
      <c r="BG9" s="28">
        <f>Emissions!BI15</f>
        <v>1.67</v>
      </c>
      <c r="BH9" s="28">
        <f>Emissions!BJ15</f>
        <v>1.67</v>
      </c>
      <c r="BI9" s="28">
        <f>Emissions!BK15</f>
        <v>1.67</v>
      </c>
      <c r="BJ9" s="28">
        <f>Emissions!BL15</f>
        <v>1.67</v>
      </c>
      <c r="BK9" s="28">
        <f>Emissions!BM15</f>
        <v>1.67</v>
      </c>
      <c r="BL9" s="28">
        <f>Emissions!BN15</f>
        <v>1.67</v>
      </c>
      <c r="BM9" s="28">
        <f>Emissions!BO15</f>
        <v>1.67</v>
      </c>
      <c r="BN9" s="28">
        <f>Emissions!BP15</f>
        <v>1.67</v>
      </c>
    </row>
    <row r="10" spans="1:72" x14ac:dyDescent="0.25">
      <c r="A10" t="str">
        <f t="shared" si="2"/>
        <v>3A Livestock</v>
      </c>
      <c r="B10" t="str">
        <f t="shared" si="3"/>
        <v>3A1 Enteric fermentation (CH4)</v>
      </c>
      <c r="C10" t="str">
        <f>'IPCC Categories'!C11</f>
        <v>3A1h Swine</v>
      </c>
      <c r="D10" t="str">
        <f t="shared" si="4"/>
        <v>CH4</v>
      </c>
      <c r="E10" t="str">
        <f t="shared" si="5"/>
        <v>Gg CH4</v>
      </c>
      <c r="F10" s="28">
        <f>SUM(Emissions!H16:H17)</f>
        <v>1.9180695910937571</v>
      </c>
      <c r="G10" s="28">
        <f>SUM(Emissions!I16:I17)</f>
        <v>2.0955287855453451</v>
      </c>
      <c r="H10" s="28">
        <f>SUM(Emissions!J16:J17)</f>
        <v>2.0816844512264265</v>
      </c>
      <c r="I10" s="28">
        <f>SUM(Emissions!K16:K17)</f>
        <v>2.0804258753792526</v>
      </c>
      <c r="J10" s="28">
        <f>SUM(Emissions!L16:L17)</f>
        <v>1.9759640800637785</v>
      </c>
      <c r="K10" s="28">
        <f>SUM(Emissions!M16:M17)</f>
        <v>1.9948427177713943</v>
      </c>
      <c r="L10" s="28">
        <f>SUM(Emissions!N16:N17)</f>
        <v>2.148388971126669</v>
      </c>
      <c r="M10" s="28">
        <f>SUM(Emissions!O16:O17)</f>
        <v>2.1383203643492741</v>
      </c>
      <c r="N10" s="28">
        <f>SUM(Emissions!P16:P17)</f>
        <v>2.1848876706947262</v>
      </c>
      <c r="O10" s="28">
        <f>SUM(Emissions!Q16:Q17)</f>
        <v>2.240265007970399</v>
      </c>
      <c r="P10" s="28">
        <f>SUM(Emissions!R16:R17)</f>
        <v>2.0728744202962059</v>
      </c>
      <c r="Q10" s="28">
        <f>SUM(Emissions!S16:S17)</f>
        <v>2.1118902715586119</v>
      </c>
      <c r="R10" s="28">
        <f>SUM(Emissions!T16:T17)</f>
        <v>2.1521646986681922</v>
      </c>
      <c r="S10" s="28">
        <f>SUM(Emissions!U16:U17)</f>
        <v>2.0930116338509963</v>
      </c>
      <c r="T10" s="28">
        <f>SUM(Emissions!V16:V17)</f>
        <v>2.0930116338509963</v>
      </c>
      <c r="U10" s="28">
        <f>SUM(Emissions!W16:W17)</f>
        <v>2.0779087236849034</v>
      </c>
      <c r="V10" s="28">
        <f>SUM(Emissions!X16:X17)</f>
        <v>2.0414100241168467</v>
      </c>
      <c r="W10" s="28">
        <f>SUM(Emissions!Y16:Y17)</f>
        <v>2.0779087236849034</v>
      </c>
      <c r="X10" s="28">
        <f>SUM(Emissions!Z16:Z17)</f>
        <v>2.0325999931866261</v>
      </c>
      <c r="Y10" s="28">
        <f>SUM(Emissions!AA16:AA17)</f>
        <v>2.0300828414922774</v>
      </c>
      <c r="Z10" s="28">
        <f>SUM(Emissions!AB16:AB17)</f>
        <v>2.0061699003959639</v>
      </c>
      <c r="AA10" s="28">
        <f>SUM(Emissions!AC16:AC17)</f>
        <v>1.9935841419242202</v>
      </c>
      <c r="AB10" s="28">
        <f>SUM(Emissions!AD16:AD17)</f>
        <v>2.0955907289788209</v>
      </c>
      <c r="AC10" s="28">
        <f>SUM(Emissions!AE16:AE17)</f>
        <v>2.0954329845010955</v>
      </c>
      <c r="AD10" s="28">
        <f>SUM(Emissions!AF16:AF17)</f>
        <v>2.0809551229267669</v>
      </c>
      <c r="AE10" s="28">
        <f>SUM(Emissions!AG16:AG17)</f>
        <v>2.0564047217495061</v>
      </c>
      <c r="AF10" s="28">
        <f>SUM(Emissions!AH16:AH17)</f>
        <v>2.0215785551737113</v>
      </c>
      <c r="AG10" s="28">
        <f>SUM(Emissions!AI16:AI17)</f>
        <v>2.0027107941536557</v>
      </c>
      <c r="AH10" s="28">
        <f>SUM(Emissions!AJ16:AJ17)</f>
        <v>1.9818097845229112</v>
      </c>
      <c r="AI10" s="28">
        <f>SUM(Emissions!AK16:AK17)</f>
        <v>1.9607778282130344</v>
      </c>
      <c r="AJ10" s="28">
        <f>SUM(Emissions!AL16:AL17)</f>
        <v>1.7233210637624217</v>
      </c>
      <c r="AK10" s="28">
        <f>SUM(Emissions!AM16:AM17)</f>
        <v>1.7375751398894104</v>
      </c>
      <c r="AL10" s="28">
        <f>SUM(Emissions!AN16:AN17)</f>
        <v>1.7487842269894645</v>
      </c>
      <c r="AM10" s="28">
        <f>SUM(Emissions!AO16:AO17)</f>
        <v>1.7607065441657741</v>
      </c>
      <c r="AN10" s="28">
        <f>SUM(Emissions!AP16:AP17)</f>
        <v>1.7758900481417739</v>
      </c>
      <c r="AO10" s="28">
        <f>SUM(Emissions!AQ16:AQ17)</f>
        <v>1.7959931311554158</v>
      </c>
      <c r="AP10" s="28">
        <f>SUM(Emissions!AR16:AR17)</f>
        <v>1.8180605420574358</v>
      </c>
      <c r="AQ10" s="28">
        <f>SUM(Emissions!AS16:AS17)</f>
        <v>1.842948462341758</v>
      </c>
      <c r="AR10" s="28">
        <f>SUM(Emissions!AT16:AT17)</f>
        <v>1.8709120112985662</v>
      </c>
      <c r="AS10" s="28">
        <f>SUM(Emissions!AU16:AU17)</f>
        <v>1.905450845168561</v>
      </c>
      <c r="AT10" s="28">
        <f>SUM(Emissions!AV16:AV17)</f>
        <v>1.9382978295878224</v>
      </c>
      <c r="AU10" s="28">
        <f>SUM(Emissions!AW16:AW17)</f>
        <v>1.9814480854578569</v>
      </c>
      <c r="AV10" s="28">
        <f>SUM(Emissions!AX16:AX17)</f>
        <v>2.0257501159903244</v>
      </c>
      <c r="AW10" s="28">
        <f>SUM(Emissions!AY16:AY17)</f>
        <v>2.0707863251036409</v>
      </c>
      <c r="AX10" s="28">
        <f>SUM(Emissions!AZ16:AZ17)</f>
        <v>2.1161378023062558</v>
      </c>
      <c r="AY10" s="28">
        <f>SUM(Emissions!BA16:BA17)</f>
        <v>2.1541828912005405</v>
      </c>
      <c r="AZ10" s="28">
        <f>SUM(Emissions!BB16:BB17)</f>
        <v>2.1943125613880397</v>
      </c>
      <c r="BA10" s="28">
        <f>SUM(Emissions!BC16:BC17)</f>
        <v>2.2381132634572807</v>
      </c>
      <c r="BB10" s="28">
        <f>SUM(Emissions!BD16:BD17)</f>
        <v>2.2839427590807517</v>
      </c>
      <c r="BC10" s="28">
        <f>SUM(Emissions!BE16:BE17)</f>
        <v>2.3263989485563097</v>
      </c>
      <c r="BD10" s="28">
        <f>SUM(Emissions!BF16:BF17)</f>
        <v>2.3684365238757925</v>
      </c>
      <c r="BE10" s="28">
        <f>SUM(Emissions!BG16:BG17)</f>
        <v>2.4120768139337381</v>
      </c>
      <c r="BF10" s="28">
        <f>SUM(Emissions!BH16:BH17)</f>
        <v>2.4578828804841826</v>
      </c>
      <c r="BG10" s="28">
        <f>SUM(Emissions!BI16:BI17)</f>
        <v>2.5066535527481606</v>
      </c>
      <c r="BH10" s="28">
        <f>SUM(Emissions!BJ16:BJ17)</f>
        <v>2.5578689297439041</v>
      </c>
      <c r="BI10" s="28">
        <f>SUM(Emissions!BK16:BK17)</f>
        <v>2.6132885864715081</v>
      </c>
      <c r="BJ10" s="28">
        <f>SUM(Emissions!BL16:BL17)</f>
        <v>2.6719770865927579</v>
      </c>
      <c r="BK10" s="28">
        <f>SUM(Emissions!BM16:BM17)</f>
        <v>2.7326280372350031</v>
      </c>
      <c r="BL10" s="28">
        <f>SUM(Emissions!BN16:BN17)</f>
        <v>2.7905017080708112</v>
      </c>
      <c r="BM10" s="28">
        <f>SUM(Emissions!BO16:BO17)</f>
        <v>2.8505813591356852</v>
      </c>
      <c r="BN10" s="28">
        <f>SUM(Emissions!BP16:BP17)</f>
        <v>2.9138400597540057</v>
      </c>
    </row>
    <row r="11" spans="1:72" s="47" customFormat="1" ht="15.75" x14ac:dyDescent="0.25">
      <c r="A11" s="47" t="str">
        <f>A18</f>
        <v>3A Livestock</v>
      </c>
      <c r="B11" s="47" t="str">
        <f>B18</f>
        <v>3A2 Manure management (CH4)</v>
      </c>
      <c r="C11" s="47" t="s">
        <v>148</v>
      </c>
      <c r="D11" s="47" t="str">
        <f>D18</f>
        <v>CH4</v>
      </c>
      <c r="E11" s="47" t="str">
        <f>E18</f>
        <v>Gg CH4</v>
      </c>
      <c r="F11" s="48">
        <f t="shared" ref="F11:AK11" si="6">SUM(F12:F18)</f>
        <v>31.702723851583059</v>
      </c>
      <c r="G11" s="48">
        <f t="shared" si="6"/>
        <v>34.846437093745571</v>
      </c>
      <c r="H11" s="48">
        <f t="shared" si="6"/>
        <v>33.34593965991499</v>
      </c>
      <c r="I11" s="48">
        <f t="shared" si="6"/>
        <v>33.911342124246517</v>
      </c>
      <c r="J11" s="48">
        <f t="shared" si="6"/>
        <v>32.073771373963574</v>
      </c>
      <c r="K11" s="48">
        <f t="shared" si="6"/>
        <v>33.020872632281872</v>
      </c>
      <c r="L11" s="48">
        <f t="shared" si="6"/>
        <v>34.987492144761205</v>
      </c>
      <c r="M11" s="48">
        <f t="shared" si="6"/>
        <v>34.595629337012369</v>
      </c>
      <c r="N11" s="48">
        <f t="shared" si="6"/>
        <v>35.178779527916078</v>
      </c>
      <c r="O11" s="48">
        <f t="shared" si="6"/>
        <v>35.773500663635126</v>
      </c>
      <c r="P11" s="48">
        <f t="shared" si="6"/>
        <v>36.297062166313644</v>
      </c>
      <c r="Q11" s="48">
        <f t="shared" si="6"/>
        <v>36.650497115596643</v>
      </c>
      <c r="R11" s="48">
        <f t="shared" si="6"/>
        <v>35.964128838575938</v>
      </c>
      <c r="S11" s="48">
        <f t="shared" si="6"/>
        <v>34.354995245344796</v>
      </c>
      <c r="T11" s="48">
        <f t="shared" si="6"/>
        <v>34.113912838047241</v>
      </c>
      <c r="U11" s="48">
        <f t="shared" si="6"/>
        <v>34.7151680316408</v>
      </c>
      <c r="V11" s="48">
        <f t="shared" si="6"/>
        <v>34.304317583202156</v>
      </c>
      <c r="W11" s="48">
        <f t="shared" si="6"/>
        <v>34.81260712013389</v>
      </c>
      <c r="X11" s="48">
        <f t="shared" si="6"/>
        <v>36.247765210834089</v>
      </c>
      <c r="Y11" s="48">
        <f t="shared" si="6"/>
        <v>36.334449628150963</v>
      </c>
      <c r="Z11" s="48">
        <f t="shared" si="6"/>
        <v>36.137208970848143</v>
      </c>
      <c r="AA11" s="48">
        <f t="shared" si="6"/>
        <v>35.764591312652556</v>
      </c>
      <c r="AB11" s="48">
        <f t="shared" si="6"/>
        <v>36.847202189948796</v>
      </c>
      <c r="AC11" s="48">
        <f t="shared" si="6"/>
        <v>36.998208704261174</v>
      </c>
      <c r="AD11" s="48">
        <f t="shared" si="6"/>
        <v>36.939765065576282</v>
      </c>
      <c r="AE11" s="48">
        <f t="shared" si="6"/>
        <v>36.732441617701326</v>
      </c>
      <c r="AF11" s="48">
        <f t="shared" si="6"/>
        <v>36.371262209548021</v>
      </c>
      <c r="AG11" s="48">
        <f t="shared" si="6"/>
        <v>36.249182206876043</v>
      </c>
      <c r="AH11" s="48">
        <f t="shared" si="6"/>
        <v>36.095924863088918</v>
      </c>
      <c r="AI11" s="48">
        <f t="shared" si="6"/>
        <v>35.940184576496748</v>
      </c>
      <c r="AJ11" s="48">
        <f t="shared" si="6"/>
        <v>32.48263962744597</v>
      </c>
      <c r="AK11" s="48">
        <f t="shared" si="6"/>
        <v>32.832423388957018</v>
      </c>
      <c r="AL11" s="48">
        <f t="shared" ref="AL11:BN11" si="7">SUM(AL12:AL18)</f>
        <v>33.139177931259567</v>
      </c>
      <c r="AM11" s="48">
        <f t="shared" si="7"/>
        <v>33.460410422858608</v>
      </c>
      <c r="AN11" s="48">
        <f t="shared" si="7"/>
        <v>33.835861287253948</v>
      </c>
      <c r="AO11" s="48">
        <f t="shared" si="7"/>
        <v>34.292105606419895</v>
      </c>
      <c r="AP11" s="48">
        <f t="shared" si="7"/>
        <v>34.77687435528825</v>
      </c>
      <c r="AQ11" s="48">
        <f t="shared" si="7"/>
        <v>35.311080135196796</v>
      </c>
      <c r="AR11" s="48">
        <f t="shared" si="7"/>
        <v>35.899426030959013</v>
      </c>
      <c r="AS11" s="48">
        <f t="shared" si="7"/>
        <v>36.598198332410597</v>
      </c>
      <c r="AT11" s="48">
        <f t="shared" si="7"/>
        <v>37.277113176558203</v>
      </c>
      <c r="AU11" s="48">
        <f t="shared" si="7"/>
        <v>38.123039588565128</v>
      </c>
      <c r="AV11" s="48">
        <f t="shared" si="7"/>
        <v>38.996146584735115</v>
      </c>
      <c r="AW11" s="48">
        <f t="shared" si="7"/>
        <v>39.89010793094883</v>
      </c>
      <c r="AX11" s="48">
        <f t="shared" si="7"/>
        <v>40.798466847234977</v>
      </c>
      <c r="AY11" s="48">
        <f t="shared" si="7"/>
        <v>41.597154174268894</v>
      </c>
      <c r="AZ11" s="48">
        <f t="shared" si="7"/>
        <v>42.433146127265466</v>
      </c>
      <c r="BA11" s="48">
        <f t="shared" si="7"/>
        <v>43.338649913057033</v>
      </c>
      <c r="BB11" s="48">
        <f t="shared" si="7"/>
        <v>44.287568241506229</v>
      </c>
      <c r="BC11" s="48">
        <f t="shared" si="7"/>
        <v>45.190795744507817</v>
      </c>
      <c r="BD11" s="48">
        <f t="shared" si="7"/>
        <v>46.097125357804536</v>
      </c>
      <c r="BE11" s="48">
        <f t="shared" si="7"/>
        <v>47.034881219390726</v>
      </c>
      <c r="BF11" s="48">
        <f t="shared" si="7"/>
        <v>48.019875097386077</v>
      </c>
      <c r="BG11" s="48">
        <f t="shared" si="7"/>
        <v>49.066476403726469</v>
      </c>
      <c r="BH11" s="48">
        <f t="shared" si="7"/>
        <v>50.166881563003713</v>
      </c>
      <c r="BI11" s="48">
        <f t="shared" si="7"/>
        <v>51.3521972324952</v>
      </c>
      <c r="BJ11" s="48">
        <f t="shared" si="7"/>
        <v>52.602581223688617</v>
      </c>
      <c r="BK11" s="48">
        <f t="shared" si="7"/>
        <v>53.901843636225863</v>
      </c>
      <c r="BL11" s="48">
        <f t="shared" si="7"/>
        <v>55.168443708801604</v>
      </c>
      <c r="BM11" s="48">
        <f t="shared" si="7"/>
        <v>56.489236738948556</v>
      </c>
      <c r="BN11" s="48">
        <f t="shared" si="7"/>
        <v>57.882417635031914</v>
      </c>
    </row>
    <row r="12" spans="1:72" x14ac:dyDescent="0.25">
      <c r="A12" t="str">
        <f>A10</f>
        <v>3A Livestock</v>
      </c>
      <c r="B12" t="str">
        <f>'IPCC Categories'!B12</f>
        <v>3A2 Manure management (CH4)</v>
      </c>
      <c r="C12" t="str">
        <f>'IPCC Categories'!C20</f>
        <v>3A2a Cattle</v>
      </c>
      <c r="D12" t="str">
        <f>D10</f>
        <v>CH4</v>
      </c>
      <c r="E12" t="str">
        <f>E10</f>
        <v>Gg CH4</v>
      </c>
      <c r="F12" s="28">
        <f>SUM(Emissions!H18:H23)</f>
        <v>8.7411879732159203</v>
      </c>
      <c r="G12" s="28">
        <f>SUM(Emissions!I18:I23)</f>
        <v>9.975428544318282</v>
      </c>
      <c r="H12" s="28">
        <f>SUM(Emissions!J18:J23)</f>
        <v>8.7049393037396534</v>
      </c>
      <c r="I12" s="28">
        <f>SUM(Emissions!K18:K23)</f>
        <v>9.1866288543050949</v>
      </c>
      <c r="J12" s="28">
        <f>SUM(Emissions!L18:L23)</f>
        <v>8.5387883014234216</v>
      </c>
      <c r="K12" s="28">
        <f>SUM(Emissions!M18:M23)</f>
        <v>9.1047703582547079</v>
      </c>
      <c r="L12" s="28">
        <f>SUM(Emissions!N18:N23)</f>
        <v>9.1488551241771336</v>
      </c>
      <c r="M12" s="28">
        <f>SUM(Emissions!O18:O23)</f>
        <v>8.8467258594312526</v>
      </c>
      <c r="N12" s="28">
        <f>SUM(Emissions!P18:P23)</f>
        <v>8.7366188809270806</v>
      </c>
      <c r="O12" s="28">
        <f>SUM(Emissions!Q18:Q23)</f>
        <v>8.6199113361492632</v>
      </c>
      <c r="P12" s="28">
        <f>SUM(Emissions!R18:R23)</f>
        <v>10.914641044652543</v>
      </c>
      <c r="Q12" s="28">
        <f>SUM(Emissions!S18:S23)</f>
        <v>10.875335802478894</v>
      </c>
      <c r="R12" s="28">
        <f>SUM(Emissions!T18:T23)</f>
        <v>9.5759431074378831</v>
      </c>
      <c r="S12" s="28">
        <f>SUM(Emissions!U18:U23)</f>
        <v>8.7330292709988893</v>
      </c>
      <c r="T12" s="28">
        <f>SUM(Emissions!V18:V23)</f>
        <v>8.4376183222193628</v>
      </c>
      <c r="U12" s="28">
        <f>SUM(Emissions!W18:W23)</f>
        <v>9.0020345528971131</v>
      </c>
      <c r="V12" s="28">
        <f>SUM(Emissions!X18:X23)</f>
        <v>8.8216264657665526</v>
      </c>
      <c r="W12" s="28">
        <f>SUM(Emissions!Y18:Y23)</f>
        <v>8.775466165479612</v>
      </c>
      <c r="X12" s="28">
        <f>SUM(Emissions!Z18:Z23)</f>
        <v>10.574651313182118</v>
      </c>
      <c r="Y12" s="28">
        <f>SUM(Emissions!AA18:AA23)</f>
        <v>10.837506153958151</v>
      </c>
      <c r="Z12" s="28">
        <f>SUM(Emissions!AB18:AB23)</f>
        <v>10.835280189588559</v>
      </c>
      <c r="AA12" s="28">
        <f>SUM(Emissions!AC18:AC23)</f>
        <v>10.50406860380672</v>
      </c>
      <c r="AB12" s="28">
        <f>SUM(Emissions!AD18:AD23)</f>
        <v>10.51455320369605</v>
      </c>
      <c r="AC12" s="28">
        <f>SUM(Emissions!AE18:AE23)</f>
        <v>10.605036392061379</v>
      </c>
      <c r="AD12" s="28">
        <f>SUM(Emissions!AF18:AF23)</f>
        <v>10.672857054262847</v>
      </c>
      <c r="AE12" s="28">
        <f>SUM(Emissions!AG18:AG23)</f>
        <v>10.724475918371688</v>
      </c>
      <c r="AF12" s="28">
        <f>SUM(Emissions!AH18:AH23)</f>
        <v>10.758274290570695</v>
      </c>
      <c r="AG12" s="28">
        <f>SUM(Emissions!AI18:AI23)</f>
        <v>10.825724446737459</v>
      </c>
      <c r="AH12" s="28">
        <f>SUM(Emissions!AJ18:AJ23)</f>
        <v>10.890000896473522</v>
      </c>
      <c r="AI12" s="28">
        <f>SUM(Emissions!AK18:AK23)</f>
        <v>10.954984827234025</v>
      </c>
      <c r="AJ12" s="28">
        <f>SUM(Emissions!AL18:AL23)</f>
        <v>10.5614767621214</v>
      </c>
      <c r="AK12" s="28">
        <f>SUM(Emissions!AM18:AM23)</f>
        <v>10.673041155382279</v>
      </c>
      <c r="AL12" s="28">
        <f>SUM(Emissions!AN18:AN23)</f>
        <v>10.780981554825752</v>
      </c>
      <c r="AM12" s="28">
        <f>SUM(Emissions!AO18:AO23)</f>
        <v>10.893325347935118</v>
      </c>
      <c r="AN12" s="28">
        <f>SUM(Emissions!AP18:AP23)</f>
        <v>11.015933385736279</v>
      </c>
      <c r="AO12" s="28">
        <f>SUM(Emissions!AQ18:AQ23)</f>
        <v>11.153014400025619</v>
      </c>
      <c r="AP12" s="28">
        <f>SUM(Emissions!AR18:AR23)</f>
        <v>11.289868970812183</v>
      </c>
      <c r="AQ12" s="28">
        <f>SUM(Emissions!AS18:AS23)</f>
        <v>11.437011550976594</v>
      </c>
      <c r="AR12" s="28">
        <f>SUM(Emissions!AT18:AT23)</f>
        <v>11.595416625932462</v>
      </c>
      <c r="AS12" s="28">
        <f>SUM(Emissions!AU18:AU23)</f>
        <v>11.774142699099219</v>
      </c>
      <c r="AT12" s="28">
        <f>SUM(Emissions!AV18:AV23)</f>
        <v>11.953233635328997</v>
      </c>
      <c r="AU12" s="28">
        <f>SUM(Emissions!AW18:AW23)</f>
        <v>12.157233897596223</v>
      </c>
      <c r="AV12" s="28">
        <f>SUM(Emissions!AX18:AX23)</f>
        <v>12.369697958257795</v>
      </c>
      <c r="AW12" s="28">
        <f>SUM(Emissions!AY18:AY23)</f>
        <v>12.589748591749075</v>
      </c>
      <c r="AX12" s="28">
        <f>SUM(Emissions!AZ18:AZ23)</f>
        <v>12.816444306215978</v>
      </c>
      <c r="AY12" s="28">
        <f>SUM(Emissions!BA18:BA23)</f>
        <v>13.029127707450042</v>
      </c>
      <c r="AZ12" s="28">
        <f>SUM(Emissions!BB18:BB23)</f>
        <v>13.246615304992556</v>
      </c>
      <c r="BA12" s="28">
        <f>SUM(Emissions!BC18:BC23)</f>
        <v>13.480060387488347</v>
      </c>
      <c r="BB12" s="28">
        <f>SUM(Emissions!BD18:BD23)</f>
        <v>13.725370122406343</v>
      </c>
      <c r="BC12" s="28">
        <f>SUM(Emissions!BE18:BE23)</f>
        <v>13.967231712023558</v>
      </c>
      <c r="BD12" s="28">
        <f>SUM(Emissions!BF18:BF23)</f>
        <v>14.214039527578075</v>
      </c>
      <c r="BE12" s="28">
        <f>SUM(Emissions!BG18:BG23)</f>
        <v>14.465367432855166</v>
      </c>
      <c r="BF12" s="28">
        <f>SUM(Emissions!BH18:BH23)</f>
        <v>14.72977471620491</v>
      </c>
      <c r="BG12" s="28">
        <f>SUM(Emissions!BI18:BI23)</f>
        <v>15.010203265754127</v>
      </c>
      <c r="BH12" s="28">
        <f>SUM(Emissions!BJ18:BJ23)</f>
        <v>15.305617863591312</v>
      </c>
      <c r="BI12" s="28">
        <f>SUM(Emissions!BK18:BK23)</f>
        <v>15.622196304028774</v>
      </c>
      <c r="BJ12" s="28">
        <f>SUM(Emissions!BL18:BL23)</f>
        <v>15.951738577093824</v>
      </c>
      <c r="BK12" s="28">
        <f>SUM(Emissions!BM18:BM23)</f>
        <v>16.296618983476975</v>
      </c>
      <c r="BL12" s="28">
        <f>SUM(Emissions!BN18:BN23)</f>
        <v>16.641472086370889</v>
      </c>
      <c r="BM12" s="28">
        <f>SUM(Emissions!BO18:BO23)</f>
        <v>17.003092844087924</v>
      </c>
      <c r="BN12" s="28">
        <f>SUM(Emissions!BP18:BP23)</f>
        <v>17.385470104346993</v>
      </c>
    </row>
    <row r="13" spans="1:72" x14ac:dyDescent="0.25">
      <c r="A13" t="str">
        <f t="shared" si="2"/>
        <v>3A Livestock</v>
      </c>
      <c r="B13" t="str">
        <f>B12</f>
        <v>3A2 Manure management (CH4)</v>
      </c>
      <c r="C13" t="str">
        <f>'IPCC Categories'!C22</f>
        <v>3A2c Sheep</v>
      </c>
      <c r="D13" t="str">
        <f t="shared" ref="D13:D18" si="8">D12</f>
        <v>CH4</v>
      </c>
      <c r="E13" t="str">
        <f t="shared" ref="E13:E18" si="9">E12</f>
        <v>Gg CH4</v>
      </c>
      <c r="F13" s="28">
        <f>SUM(Emissions!H24:H25)</f>
        <v>6.2894599121782607E-2</v>
      </c>
      <c r="G13" s="28">
        <f>SUM(Emissions!I24:I25)</f>
        <v>6.0066555504044758E-2</v>
      </c>
      <c r="H13" s="28">
        <f>SUM(Emissions!J24:J25)</f>
        <v>5.7584674495303009E-2</v>
      </c>
      <c r="I13" s="28">
        <f>SUM(Emissions!K24:K25)</f>
        <v>5.3854510138969261E-2</v>
      </c>
      <c r="J13" s="28">
        <f>SUM(Emissions!L24:L25)</f>
        <v>5.4234240031261954E-2</v>
      </c>
      <c r="K13" s="28">
        <f>SUM(Emissions!M24:M25)</f>
        <v>5.3457996605028271E-2</v>
      </c>
      <c r="L13" s="28">
        <f>SUM(Emissions!N24:N25)</f>
        <v>5.3636322797541415E-2</v>
      </c>
      <c r="M13" s="28">
        <f>SUM(Emissions!O24:O25)</f>
        <v>5.2469859702984858E-2</v>
      </c>
      <c r="N13" s="28">
        <f>SUM(Emissions!P24:P25)</f>
        <v>5.2614618612201423E-2</v>
      </c>
      <c r="O13" s="28">
        <f>SUM(Emissions!Q24:Q25)</f>
        <v>5.1322278205282637E-2</v>
      </c>
      <c r="P13" s="28">
        <f>SUM(Emissions!R24:R25)</f>
        <v>4.9482371489588214E-2</v>
      </c>
      <c r="Q13" s="28">
        <f>SUM(Emissions!S24:S25)</f>
        <v>4.8248773828438465E-2</v>
      </c>
      <c r="R13" s="28">
        <f>SUM(Emissions!T24:T25)</f>
        <v>4.7443159029320267E-2</v>
      </c>
      <c r="S13" s="28">
        <f>SUM(Emissions!U24:U25)</f>
        <v>4.7608897490597185E-2</v>
      </c>
      <c r="T13" s="28">
        <f>SUM(Emissions!V24:V25)</f>
        <v>4.6761323587358246E-2</v>
      </c>
      <c r="U13" s="28">
        <f>SUM(Emissions!W24:W25)</f>
        <v>4.6650131961438294E-2</v>
      </c>
      <c r="V13" s="28">
        <f>SUM(Emissions!X24:X25)</f>
        <v>4.6039626996481529E-2</v>
      </c>
      <c r="W13" s="28">
        <f>SUM(Emissions!Y24:Y25)</f>
        <v>4.5995569937154757E-2</v>
      </c>
      <c r="X13" s="28">
        <f>SUM(Emissions!Z24:Z25)</f>
        <v>4.6144524756783378E-2</v>
      </c>
      <c r="Y13" s="28">
        <f>SUM(Emissions!AA24:AA25)</f>
        <v>4.5980884250712492E-2</v>
      </c>
      <c r="Z13" s="28">
        <f>SUM(Emissions!AB24:AB25)</f>
        <v>4.5091351243352819E-2</v>
      </c>
      <c r="AA13" s="28">
        <f>SUM(Emissions!AC24:AC25)</f>
        <v>4.4738894768738595E-2</v>
      </c>
      <c r="AB13" s="28">
        <f>SUM(Emissions!AD24:AD25)</f>
        <v>4.0164583669524509E-2</v>
      </c>
      <c r="AC13" s="28">
        <f>SUM(Emissions!AE24:AE25)</f>
        <v>4.0186348197791627E-2</v>
      </c>
      <c r="AD13" s="28">
        <f>SUM(Emissions!AF24:AF25)</f>
        <v>4.0235852974721598E-2</v>
      </c>
      <c r="AE13" s="28">
        <f>SUM(Emissions!AG24:AG25)</f>
        <v>4.0311665059342049E-2</v>
      </c>
      <c r="AF13" s="28">
        <f>SUM(Emissions!AH24:AH25)</f>
        <v>4.0412380064360084E-2</v>
      </c>
      <c r="AG13" s="28">
        <f>SUM(Emissions!AI24:AI25)</f>
        <v>4.0539074092741899E-2</v>
      </c>
      <c r="AH13" s="28">
        <f>SUM(Emissions!AJ24:AJ25)</f>
        <v>4.0679497275138629E-2</v>
      </c>
      <c r="AI13" s="28">
        <f>SUM(Emissions!AK24:AK25)</f>
        <v>4.083402360634672E-2</v>
      </c>
      <c r="AJ13" s="28">
        <f>SUM(Emissions!AL24:AL25)</f>
        <v>4.0982997661530837E-2</v>
      </c>
      <c r="AK13" s="28">
        <f>SUM(Emissions!AM24:AM25)</f>
        <v>4.1042054001111834E-2</v>
      </c>
      <c r="AL13" s="28">
        <f>SUM(Emissions!AN24:AN25)</f>
        <v>4.1111029229329625E-2</v>
      </c>
      <c r="AM13" s="28">
        <f>SUM(Emissions!AO24:AO25)</f>
        <v>4.1189644469242268E-2</v>
      </c>
      <c r="AN13" s="28">
        <f>SUM(Emissions!AP24:AP25)</f>
        <v>4.1277604396807749E-2</v>
      </c>
      <c r="AO13" s="28">
        <f>SUM(Emissions!AQ24:AQ25)</f>
        <v>4.1374607950823775E-2</v>
      </c>
      <c r="AP13" s="28">
        <f>SUM(Emissions!AR24:AR25)</f>
        <v>4.1434178269414659E-2</v>
      </c>
      <c r="AQ13" s="28">
        <f>SUM(Emissions!AS24:AS25)</f>
        <v>4.1501325251779166E-2</v>
      </c>
      <c r="AR13" s="28">
        <f>SUM(Emissions!AT24:AT25)</f>
        <v>4.157573226836183E-2</v>
      </c>
      <c r="AS13" s="28">
        <f>SUM(Emissions!AU24:AU25)</f>
        <v>4.16574481091848E-2</v>
      </c>
      <c r="AT13" s="28">
        <f>SUM(Emissions!AV24:AV25)</f>
        <v>4.1745371262970225E-2</v>
      </c>
      <c r="AU13" s="28">
        <f>SUM(Emissions!AW24:AW25)</f>
        <v>4.1803543343833474E-2</v>
      </c>
      <c r="AV13" s="28">
        <f>SUM(Emissions!AX24:AX25)</f>
        <v>4.18674077695467E-2</v>
      </c>
      <c r="AW13" s="28">
        <f>SUM(Emissions!AY24:AY25)</f>
        <v>4.1936700846629184E-2</v>
      </c>
      <c r="AX13" s="28">
        <f>SUM(Emissions!AZ24:AZ25)</f>
        <v>4.2011176451938977E-2</v>
      </c>
      <c r="AY13" s="28">
        <f>SUM(Emissions!BA24:BA25)</f>
        <v>4.2089807922282126E-2</v>
      </c>
      <c r="AZ13" s="28">
        <f>SUM(Emissions!BB24:BB25)</f>
        <v>4.2138560002231949E-2</v>
      </c>
      <c r="BA13" s="28">
        <f>SUM(Emissions!BC24:BC25)</f>
        <v>4.2192077322674243E-2</v>
      </c>
      <c r="BB13" s="28">
        <f>SUM(Emissions!BD24:BD25)</f>
        <v>4.2250036579088546E-2</v>
      </c>
      <c r="BC13" s="28">
        <f>SUM(Emissions!BE24:BE25)</f>
        <v>4.2311674453704338E-2</v>
      </c>
      <c r="BD13" s="28">
        <f>SUM(Emissions!BF24:BF25)</f>
        <v>4.2377196571238993E-2</v>
      </c>
      <c r="BE13" s="28">
        <f>SUM(Emissions!BG24:BG25)</f>
        <v>4.2414243631532261E-2</v>
      </c>
      <c r="BF13" s="28">
        <f>SUM(Emissions!BH24:BH25)</f>
        <v>4.2455062830003221E-2</v>
      </c>
      <c r="BG13" s="28">
        <f>SUM(Emissions!BI24:BI25)</f>
        <v>4.2499657654677669E-2</v>
      </c>
      <c r="BH13" s="28">
        <f>SUM(Emissions!BJ24:BJ25)</f>
        <v>4.2547879191065098E-2</v>
      </c>
      <c r="BI13" s="28">
        <f>SUM(Emissions!BK24:BK25)</f>
        <v>4.259987528774653E-2</v>
      </c>
      <c r="BJ13" s="28">
        <f>SUM(Emissions!BL24:BL25)</f>
        <v>4.2622658503699437E-2</v>
      </c>
      <c r="BK13" s="28">
        <f>SUM(Emissions!BM24:BM25)</f>
        <v>4.2648647542023181E-2</v>
      </c>
      <c r="BL13" s="28">
        <f>SUM(Emissions!BN24:BN25)</f>
        <v>4.267713923078726E-2</v>
      </c>
      <c r="BM13" s="28">
        <f>SUM(Emissions!BO24:BO25)</f>
        <v>4.2708724178696131E-2</v>
      </c>
      <c r="BN13" s="28">
        <f>SUM(Emissions!BP24:BP25)</f>
        <v>4.2743483773361894E-2</v>
      </c>
    </row>
    <row r="14" spans="1:72" x14ac:dyDescent="0.25">
      <c r="A14" t="str">
        <f t="shared" si="2"/>
        <v>3A Livestock</v>
      </c>
      <c r="B14" t="str">
        <f t="shared" ref="B14:B18" si="10">B13</f>
        <v>3A2 Manure management (CH4)</v>
      </c>
      <c r="C14" t="str">
        <f>'IPCC Categories'!C23</f>
        <v>3A2d Goats</v>
      </c>
      <c r="D14" t="str">
        <f t="shared" si="8"/>
        <v>CH4</v>
      </c>
      <c r="E14" t="str">
        <f t="shared" si="9"/>
        <v>Gg CH4</v>
      </c>
      <c r="F14" s="28">
        <f>SUM(Emissions!H26:H27)</f>
        <v>5.7474022342600642E-2</v>
      </c>
      <c r="G14" s="28">
        <f>SUM(Emissions!I26:I27)</f>
        <v>5.0823279310165601E-2</v>
      </c>
      <c r="H14" s="28">
        <f>SUM(Emissions!J26:J27)</f>
        <v>4.7342516601601464E-2</v>
      </c>
      <c r="I14" s="28">
        <f>SUM(Emissions!K26:K27)</f>
        <v>4.4731944570178372E-2</v>
      </c>
      <c r="J14" s="28">
        <f>SUM(Emissions!L26:L27)</f>
        <v>4.8419895535204649E-2</v>
      </c>
      <c r="K14" s="28">
        <f>SUM(Emissions!M26:M27)</f>
        <v>4.9082897955883539E-2</v>
      </c>
      <c r="L14" s="28">
        <f>SUM(Emissions!N26:N27)</f>
        <v>4.9849494504793493E-2</v>
      </c>
      <c r="M14" s="28">
        <f>SUM(Emissions!O26:O27)</f>
        <v>4.9600868597038911E-2</v>
      </c>
      <c r="N14" s="28">
        <f>SUM(Emissions!P26:P27)</f>
        <v>4.8896428525067599E-2</v>
      </c>
      <c r="O14" s="28">
        <f>SUM(Emissions!Q26:Q27)</f>
        <v>4.8171269627450081E-2</v>
      </c>
      <c r="P14" s="28">
        <f>SUM(Emissions!R26:R27)</f>
        <v>4.8792834396836522E-2</v>
      </c>
      <c r="Q14" s="28">
        <f>SUM(Emissions!S26:S27)</f>
        <v>5.0284589843364008E-2</v>
      </c>
      <c r="R14" s="28">
        <f>SUM(Emissions!T26:T27)</f>
        <v>4.5912917632012634E-2</v>
      </c>
      <c r="S14" s="28">
        <f>SUM(Emissions!U26:U27)</f>
        <v>4.475266339582458E-2</v>
      </c>
      <c r="T14" s="28">
        <f>SUM(Emissions!V26:V27)</f>
        <v>4.4835538698409449E-2</v>
      </c>
      <c r="U14" s="28">
        <f>SUM(Emissions!W26:W27)</f>
        <v>4.4255411580315415E-2</v>
      </c>
      <c r="V14" s="28">
        <f>SUM(Emissions!X26:X27)</f>
        <v>4.5187758734395102E-2</v>
      </c>
      <c r="W14" s="28">
        <f>SUM(Emissions!Y26:Y27)</f>
        <v>4.3841035067391121E-2</v>
      </c>
      <c r="X14" s="28">
        <f>SUM(Emissions!Z26:Z27)</f>
        <v>4.3799597416098693E-2</v>
      </c>
      <c r="Y14" s="28">
        <f>SUM(Emissions!AA26:AA27)</f>
        <v>4.3033000867188732E-2</v>
      </c>
      <c r="Z14" s="28">
        <f>SUM(Emissions!AB26:AB27)</f>
        <v>4.2515030226033354E-2</v>
      </c>
      <c r="AA14" s="28">
        <f>SUM(Emissions!AC26:AC27)</f>
        <v>4.2121372538755267E-2</v>
      </c>
      <c r="AB14" s="28">
        <f>SUM(Emissions!AD26:AD27)</f>
        <v>4.2368978648407302E-2</v>
      </c>
      <c r="AC14" s="28">
        <f>SUM(Emissions!AE26:AE27)</f>
        <v>4.247926786131398E-2</v>
      </c>
      <c r="AD14" s="28">
        <f>SUM(Emissions!AF26:AF27)</f>
        <v>4.262724586040112E-2</v>
      </c>
      <c r="AE14" s="28">
        <f>SUM(Emissions!AG26:AG27)</f>
        <v>4.2811179841112795E-2</v>
      </c>
      <c r="AF14" s="28">
        <f>SUM(Emissions!AH26:AH27)</f>
        <v>4.3029261361763209E-2</v>
      </c>
      <c r="AG14" s="28">
        <f>SUM(Emissions!AI26:AI27)</f>
        <v>4.3283680762203902E-2</v>
      </c>
      <c r="AH14" s="28">
        <f>SUM(Emissions!AJ26:AJ27)</f>
        <v>4.3554600834373708E-2</v>
      </c>
      <c r="AI14" s="28">
        <f>SUM(Emissions!AK26:AK27)</f>
        <v>4.3843033292013833E-2</v>
      </c>
      <c r="AJ14" s="28">
        <f>SUM(Emissions!AL26:AL27)</f>
        <v>4.4117156194263006E-2</v>
      </c>
      <c r="AK14" s="28">
        <f>SUM(Emissions!AM26:AM27)</f>
        <v>4.423986860816724E-2</v>
      </c>
      <c r="AL14" s="28">
        <f>SUM(Emissions!AN26:AN27)</f>
        <v>4.4375114620010647E-2</v>
      </c>
      <c r="AM14" s="28">
        <f>SUM(Emissions!AO26:AO27)</f>
        <v>4.4522631842307057E-2</v>
      </c>
      <c r="AN14" s="28">
        <f>SUM(Emissions!AP26:AP27)</f>
        <v>4.4682104643282559E-2</v>
      </c>
      <c r="AO14" s="28">
        <f>SUM(Emissions!AQ26:AQ27)</f>
        <v>4.485318646351126E-2</v>
      </c>
      <c r="AP14" s="28">
        <f>SUM(Emissions!AR26:AR27)</f>
        <v>4.4961092178189964E-2</v>
      </c>
      <c r="AQ14" s="28">
        <f>SUM(Emissions!AS26:AS27)</f>
        <v>4.5078806929960302E-2</v>
      </c>
      <c r="AR14" s="28">
        <f>SUM(Emissions!AT26:AT27)</f>
        <v>4.5205912206290555E-2</v>
      </c>
      <c r="AS14" s="28">
        <f>SUM(Emissions!AU26:AU27)</f>
        <v>4.5342565184290494E-2</v>
      </c>
      <c r="AT14" s="28">
        <f>SUM(Emissions!AV26:AV27)</f>
        <v>4.5487072567262428E-2</v>
      </c>
      <c r="AU14" s="28">
        <f>SUM(Emissions!AW26:AW27)</f>
        <v>4.5582170073651243E-2</v>
      </c>
      <c r="AV14" s="28">
        <f>SUM(Emissions!AX26:AX27)</f>
        <v>4.5684660845318116E-2</v>
      </c>
      <c r="AW14" s="28">
        <f>SUM(Emissions!AY26:AY27)</f>
        <v>4.5794173742649533E-2</v>
      </c>
      <c r="AX14" s="28">
        <f>SUM(Emissions!AZ26:AZ27)</f>
        <v>4.5910361812205508E-2</v>
      </c>
      <c r="AY14" s="28">
        <f>SUM(Emissions!BA26:BA27)</f>
        <v>4.6031640283292333E-2</v>
      </c>
      <c r="AZ14" s="28">
        <f>SUM(Emissions!BB26:BB27)</f>
        <v>4.6104318306117845E-2</v>
      </c>
      <c r="BA14" s="28">
        <f>SUM(Emissions!BC26:BC27)</f>
        <v>4.6183328763839959E-2</v>
      </c>
      <c r="BB14" s="28">
        <f>SUM(Emissions!BD26:BD27)</f>
        <v>4.6268185745631324E-2</v>
      </c>
      <c r="BC14" s="28">
        <f>SUM(Emissions!BE26:BE27)</f>
        <v>4.6357712527929168E-2</v>
      </c>
      <c r="BD14" s="28">
        <f>SUM(Emissions!BF26:BF27)</f>
        <v>4.6452256186454169E-2</v>
      </c>
      <c r="BE14" s="28">
        <f>SUM(Emissions!BG26:BG27)</f>
        <v>4.6501211429944567E-2</v>
      </c>
      <c r="BF14" s="28">
        <f>SUM(Emissions!BH26:BH27)</f>
        <v>4.6555221823762136E-2</v>
      </c>
      <c r="BG14" s="28">
        <f>SUM(Emissions!BI26:BI27)</f>
        <v>4.6614304341385755E-2</v>
      </c>
      <c r="BH14" s="28">
        <f>SUM(Emissions!BJ26:BJ27)</f>
        <v>4.6678236627511742E-2</v>
      </c>
      <c r="BI14" s="28">
        <f>SUM(Emissions!BK26:BK27)</f>
        <v>4.6747257117066926E-2</v>
      </c>
      <c r="BJ14" s="28">
        <f>SUM(Emissions!BL26:BL27)</f>
        <v>4.677020014131425E-2</v>
      </c>
      <c r="BK14" s="28">
        <f>SUM(Emissions!BM26:BM27)</f>
        <v>4.6797527978647231E-2</v>
      </c>
      <c r="BL14" s="28">
        <f>SUM(Emissions!BN26:BN27)</f>
        <v>4.6828157243562027E-2</v>
      </c>
      <c r="BM14" s="28">
        <f>SUM(Emissions!BO26:BO27)</f>
        <v>4.6863007553047703E-2</v>
      </c>
      <c r="BN14" s="28">
        <f>SUM(Emissions!BP26:BP27)</f>
        <v>4.6902206687490483E-2</v>
      </c>
    </row>
    <row r="15" spans="1:72" x14ac:dyDescent="0.25">
      <c r="A15" t="str">
        <f t="shared" si="2"/>
        <v>3A Livestock</v>
      </c>
      <c r="B15" t="str">
        <f t="shared" si="10"/>
        <v>3A2 Manure management (CH4)</v>
      </c>
      <c r="C15" t="str">
        <f>'IPCC Categories'!C24</f>
        <v>3A2f Horses</v>
      </c>
      <c r="D15" t="str">
        <f t="shared" si="8"/>
        <v>CH4</v>
      </c>
      <c r="E15" t="str">
        <f t="shared" si="9"/>
        <v>Gg CH4</v>
      </c>
      <c r="F15" s="28">
        <f>Emissions!H28</f>
        <v>3.0819999999999997E-3</v>
      </c>
      <c r="G15" s="28">
        <f>Emissions!I28</f>
        <v>3.0819999999999997E-3</v>
      </c>
      <c r="H15" s="28">
        <f>Emissions!J28</f>
        <v>3.0819999999999997E-3</v>
      </c>
      <c r="I15" s="28">
        <f>Emissions!K28</f>
        <v>3.1489999999999999E-3</v>
      </c>
      <c r="J15" s="28">
        <f>Emissions!L28</f>
        <v>3.2159999999999997E-3</v>
      </c>
      <c r="K15" s="28">
        <f>Emissions!M28</f>
        <v>3.2829999999999999E-3</v>
      </c>
      <c r="L15" s="28">
        <f>Emissions!N28</f>
        <v>3.3499999999999997E-3</v>
      </c>
      <c r="M15" s="28">
        <f>Emissions!O28</f>
        <v>3.4169999999999999E-3</v>
      </c>
      <c r="N15" s="28">
        <f>Emissions!P28</f>
        <v>3.4839999999999997E-3</v>
      </c>
      <c r="O15" s="28">
        <f>Emissions!Q28</f>
        <v>3.4572000000000001E-3</v>
      </c>
      <c r="P15" s="28">
        <f>Emissions!R28</f>
        <v>3.6179999999999997E-3</v>
      </c>
      <c r="Q15" s="28">
        <f>Emissions!S28</f>
        <v>3.6179999999999997E-3</v>
      </c>
      <c r="R15" s="28">
        <f>Emissions!T28</f>
        <v>3.6179999999999997E-3</v>
      </c>
      <c r="S15" s="28">
        <f>Emissions!U28</f>
        <v>3.6179999999999997E-3</v>
      </c>
      <c r="T15" s="28">
        <f>Emissions!V28</f>
        <v>3.6179999999999997E-3</v>
      </c>
      <c r="U15" s="28">
        <f>Emissions!W28</f>
        <v>3.6179999999999997E-3</v>
      </c>
      <c r="V15" s="28">
        <f>Emissions!X28</f>
        <v>3.7519999999999997E-3</v>
      </c>
      <c r="W15" s="28">
        <f>Emissions!Y28</f>
        <v>3.8859999999999997E-3</v>
      </c>
      <c r="X15" s="28">
        <f>Emissions!Z28</f>
        <v>3.9931999999999997E-3</v>
      </c>
      <c r="Y15" s="28">
        <f>Emissions!AA28</f>
        <v>4.0200000000000001E-3</v>
      </c>
      <c r="Z15" s="28">
        <f>Emissions!AB28</f>
        <v>4.0200000000000001E-3</v>
      </c>
      <c r="AA15" s="28">
        <f>Emissions!AC28</f>
        <v>4.0869999999999995E-3</v>
      </c>
      <c r="AB15" s="28">
        <f>Emissions!AD28</f>
        <v>4.1342289750315956E-3</v>
      </c>
      <c r="AC15" s="28">
        <f>Emissions!AE28</f>
        <v>4.1660645140363098E-3</v>
      </c>
      <c r="AD15" s="28">
        <f>Emissions!AF28</f>
        <v>4.1802031160340326E-3</v>
      </c>
      <c r="AE15" s="28">
        <f>Emissions!AG28</f>
        <v>4.1808300078192357E-3</v>
      </c>
      <c r="AF15" s="28">
        <f>Emissions!AH28</f>
        <v>4.1675502098748119E-3</v>
      </c>
      <c r="AG15" s="28">
        <f>Emissions!AI28</f>
        <v>4.1690136136892609E-3</v>
      </c>
      <c r="AH15" s="28">
        <f>Emissions!AJ28</f>
        <v>4.1667193242748207E-3</v>
      </c>
      <c r="AI15" s="28">
        <f>Emissions!AK28</f>
        <v>4.1627713618290945E-3</v>
      </c>
      <c r="AJ15" s="28">
        <f>Emissions!AL28</f>
        <v>3.914179321331571E-3</v>
      </c>
      <c r="AK15" s="28">
        <f>Emissions!AM28</f>
        <v>3.9543112832094943E-3</v>
      </c>
      <c r="AL15" s="28">
        <f>Emissions!AN28</f>
        <v>3.9907012701674268E-3</v>
      </c>
      <c r="AM15" s="28">
        <f>Emissions!AO28</f>
        <v>4.0276366790311935E-3</v>
      </c>
      <c r="AN15" s="28">
        <f>Emissions!AP28</f>
        <v>4.0681691291261212E-3</v>
      </c>
      <c r="AO15" s="28">
        <f>Emissions!AQ28</f>
        <v>4.1144125708426904E-3</v>
      </c>
      <c r="AP15" s="28">
        <f>Emissions!AR28</f>
        <v>4.1664408600780916E-3</v>
      </c>
      <c r="AQ15" s="28">
        <f>Emissions!AS28</f>
        <v>4.2221389602907578E-3</v>
      </c>
      <c r="AR15" s="28">
        <f>Emissions!AT28</f>
        <v>4.281951803091209E-3</v>
      </c>
      <c r="AS15" s="28">
        <f>Emissions!AU28</f>
        <v>4.350357217348097E-3</v>
      </c>
      <c r="AT15" s="28">
        <f>Emissions!AV28</f>
        <v>4.4172708617851546E-3</v>
      </c>
      <c r="AU15" s="28">
        <f>Emissions!AW28</f>
        <v>4.5009503560536259E-3</v>
      </c>
      <c r="AV15" s="28">
        <f>Emissions!AX28</f>
        <v>4.5871985394176119E-3</v>
      </c>
      <c r="AW15" s="28">
        <f>Emissions!AY28</f>
        <v>4.6755405523354089E-3</v>
      </c>
      <c r="AX15" s="28">
        <f>Emissions!AZ28</f>
        <v>4.7654767379062806E-3</v>
      </c>
      <c r="AY15" s="28">
        <f>Emissions!BA28</f>
        <v>4.8469434712252344E-3</v>
      </c>
      <c r="AZ15" s="28">
        <f>Emissions!BB28</f>
        <v>4.9356400953621971E-3</v>
      </c>
      <c r="BA15" s="28">
        <f>Emissions!BC28</f>
        <v>5.0306307080303187E-3</v>
      </c>
      <c r="BB15" s="28">
        <f>Emissions!BD28</f>
        <v>5.129864403230119E-3</v>
      </c>
      <c r="BC15" s="28">
        <f>Emissions!BE28</f>
        <v>5.225968052733336E-3</v>
      </c>
      <c r="BD15" s="28">
        <f>Emissions!BF28</f>
        <v>5.3229600861104294E-3</v>
      </c>
      <c r="BE15" s="28">
        <f>Emissions!BG28</f>
        <v>5.4273973631133845E-3</v>
      </c>
      <c r="BF15" s="28">
        <f>Emissions!BH28</f>
        <v>5.5367634228974654E-3</v>
      </c>
      <c r="BG15" s="28">
        <f>Emissions!BI28</f>
        <v>5.6523804685735908E-3</v>
      </c>
      <c r="BH15" s="28">
        <f>Emissions!BJ28</f>
        <v>5.7736861303998438E-3</v>
      </c>
      <c r="BI15" s="28">
        <f>Emissions!BK28</f>
        <v>5.9034899512530855E-3</v>
      </c>
      <c r="BJ15" s="28">
        <f>Emissions!BL28</f>
        <v>6.0450030921231201E-3</v>
      </c>
      <c r="BK15" s="28">
        <f>Emissions!BM28</f>
        <v>6.1924399035089917E-3</v>
      </c>
      <c r="BL15" s="28">
        <f>Emissions!BN28</f>
        <v>6.3386240208394909E-3</v>
      </c>
      <c r="BM15" s="28">
        <f>Emissions!BO28</f>
        <v>6.4913070041474107E-3</v>
      </c>
      <c r="BN15" s="28">
        <f>Emissions!BP28</f>
        <v>6.65225689343861E-3</v>
      </c>
    </row>
    <row r="16" spans="1:72" x14ac:dyDescent="0.25">
      <c r="A16" t="str">
        <f t="shared" si="2"/>
        <v>3A Livestock</v>
      </c>
      <c r="B16" t="str">
        <f t="shared" si="10"/>
        <v>3A2 Manure management (CH4)</v>
      </c>
      <c r="C16" t="str">
        <f>'IPCC Categories'!C25</f>
        <v>3A2g Mules &amp; asses</v>
      </c>
      <c r="D16" t="str">
        <f t="shared" si="8"/>
        <v>CH4</v>
      </c>
      <c r="E16" t="str">
        <f t="shared" si="9"/>
        <v>Gg CH4</v>
      </c>
      <c r="F16" s="28">
        <f>Emissions!H29</f>
        <v>1.0079999999999998E-3</v>
      </c>
      <c r="G16" s="28">
        <f>Emissions!I29</f>
        <v>1.0079999999999998E-3</v>
      </c>
      <c r="H16" s="28">
        <f>Emissions!J29</f>
        <v>1.0079999999999998E-3</v>
      </c>
      <c r="I16" s="28">
        <f>Emissions!K29</f>
        <v>1.0079999999999998E-3</v>
      </c>
      <c r="J16" s="28">
        <f>Emissions!L29</f>
        <v>1.0079999999999998E-3</v>
      </c>
      <c r="K16" s="28">
        <f>Emissions!M29</f>
        <v>1.0079999999999998E-3</v>
      </c>
      <c r="L16" s="28">
        <f>Emissions!N29</f>
        <v>1.0079999999999998E-3</v>
      </c>
      <c r="M16" s="28">
        <f>Emissions!O29</f>
        <v>1.0079999999999998E-3</v>
      </c>
      <c r="N16" s="28">
        <f>Emissions!P29</f>
        <v>1.0079999999999998E-3</v>
      </c>
      <c r="O16" s="28">
        <f>Emissions!Q29</f>
        <v>1.0079999999999998E-3</v>
      </c>
      <c r="P16" s="28">
        <f>Emissions!R29</f>
        <v>7.3799999999999994E-4</v>
      </c>
      <c r="Q16" s="28">
        <f>Emissions!S29</f>
        <v>7.3799999999999994E-4</v>
      </c>
      <c r="R16" s="28">
        <f>Emissions!T29</f>
        <v>7.3799999999999994E-4</v>
      </c>
      <c r="S16" s="28">
        <f>Emissions!U29</f>
        <v>7.3799999999999994E-4</v>
      </c>
      <c r="T16" s="28">
        <f>Emissions!V29</f>
        <v>7.3799999999999994E-4</v>
      </c>
      <c r="U16" s="28">
        <f>Emissions!W29</f>
        <v>7.3799999999999994E-4</v>
      </c>
      <c r="V16" s="28">
        <f>Emissions!X29</f>
        <v>7.3822499999999991E-4</v>
      </c>
      <c r="W16" s="28">
        <f>Emissions!Y29</f>
        <v>7.4069999999999995E-4</v>
      </c>
      <c r="X16" s="28">
        <f>Emissions!Z29</f>
        <v>7.4114999999999999E-4</v>
      </c>
      <c r="Y16" s="28">
        <f>Emissions!AA29</f>
        <v>7.4159999999999992E-4</v>
      </c>
      <c r="Z16" s="28">
        <f>Emissions!AB29</f>
        <v>7.4834999999999984E-4</v>
      </c>
      <c r="AA16" s="28">
        <f>Emissions!AC29</f>
        <v>7.515E-4</v>
      </c>
      <c r="AB16" s="28">
        <f>Emissions!AD29</f>
        <v>7.515E-4</v>
      </c>
      <c r="AC16" s="28">
        <f>Emissions!AE29</f>
        <v>7.515E-4</v>
      </c>
      <c r="AD16" s="28">
        <f>Emissions!AF29</f>
        <v>7.515E-4</v>
      </c>
      <c r="AE16" s="28">
        <f>Emissions!AG29</f>
        <v>7.515E-4</v>
      </c>
      <c r="AF16" s="28">
        <f>Emissions!AH29</f>
        <v>7.515E-4</v>
      </c>
      <c r="AG16" s="28">
        <f>Emissions!AI29</f>
        <v>7.515E-4</v>
      </c>
      <c r="AH16" s="28">
        <f>Emissions!AJ29</f>
        <v>7.515E-4</v>
      </c>
      <c r="AI16" s="28">
        <f>Emissions!AK29</f>
        <v>7.515E-4</v>
      </c>
      <c r="AJ16" s="28">
        <f>Emissions!AL29</f>
        <v>7.515E-4</v>
      </c>
      <c r="AK16" s="28">
        <f>Emissions!AM29</f>
        <v>7.515E-4</v>
      </c>
      <c r="AL16" s="28">
        <f>Emissions!AN29</f>
        <v>7.515E-4</v>
      </c>
      <c r="AM16" s="28">
        <f>Emissions!AO29</f>
        <v>7.515E-4</v>
      </c>
      <c r="AN16" s="28">
        <f>Emissions!AP29</f>
        <v>7.515E-4</v>
      </c>
      <c r="AO16" s="28">
        <f>Emissions!AQ29</f>
        <v>7.515E-4</v>
      </c>
      <c r="AP16" s="28">
        <f>Emissions!AR29</f>
        <v>7.515E-4</v>
      </c>
      <c r="AQ16" s="28">
        <f>Emissions!AS29</f>
        <v>7.515E-4</v>
      </c>
      <c r="AR16" s="28">
        <f>Emissions!AT29</f>
        <v>7.515E-4</v>
      </c>
      <c r="AS16" s="28">
        <f>Emissions!AU29</f>
        <v>7.515E-4</v>
      </c>
      <c r="AT16" s="28">
        <f>Emissions!AV29</f>
        <v>7.515E-4</v>
      </c>
      <c r="AU16" s="28">
        <f>Emissions!AW29</f>
        <v>7.515E-4</v>
      </c>
      <c r="AV16" s="28">
        <f>Emissions!AX29</f>
        <v>7.515E-4</v>
      </c>
      <c r="AW16" s="28">
        <f>Emissions!AY29</f>
        <v>7.515E-4</v>
      </c>
      <c r="AX16" s="28">
        <f>Emissions!AZ29</f>
        <v>7.515E-4</v>
      </c>
      <c r="AY16" s="28">
        <f>Emissions!BA29</f>
        <v>7.515E-4</v>
      </c>
      <c r="AZ16" s="28">
        <f>Emissions!BB29</f>
        <v>7.515E-4</v>
      </c>
      <c r="BA16" s="28">
        <f>Emissions!BC29</f>
        <v>7.515E-4</v>
      </c>
      <c r="BB16" s="28">
        <f>Emissions!BD29</f>
        <v>7.515E-4</v>
      </c>
      <c r="BC16" s="28">
        <f>Emissions!BE29</f>
        <v>7.515E-4</v>
      </c>
      <c r="BD16" s="28">
        <f>Emissions!BF29</f>
        <v>7.515E-4</v>
      </c>
      <c r="BE16" s="28">
        <f>Emissions!BG29</f>
        <v>7.515E-4</v>
      </c>
      <c r="BF16" s="28">
        <f>Emissions!BH29</f>
        <v>7.515E-4</v>
      </c>
      <c r="BG16" s="28">
        <f>Emissions!BI29</f>
        <v>7.515E-4</v>
      </c>
      <c r="BH16" s="28">
        <f>Emissions!BJ29</f>
        <v>7.515E-4</v>
      </c>
      <c r="BI16" s="28">
        <f>Emissions!BK29</f>
        <v>7.515E-4</v>
      </c>
      <c r="BJ16" s="28">
        <f>Emissions!BL29</f>
        <v>7.515E-4</v>
      </c>
      <c r="BK16" s="28">
        <f>Emissions!BM29</f>
        <v>7.515E-4</v>
      </c>
      <c r="BL16" s="28">
        <f>Emissions!BN29</f>
        <v>7.515E-4</v>
      </c>
      <c r="BM16" s="28">
        <f>Emissions!BO29</f>
        <v>7.515E-4</v>
      </c>
      <c r="BN16" s="28">
        <f>Emissions!BP29</f>
        <v>7.515E-4</v>
      </c>
    </row>
    <row r="17" spans="1:66" x14ac:dyDescent="0.25">
      <c r="A17" t="str">
        <f t="shared" si="2"/>
        <v>3A Livestock</v>
      </c>
      <c r="B17" t="str">
        <f t="shared" si="10"/>
        <v>3A2 Manure management (CH4)</v>
      </c>
      <c r="C17" t="str">
        <f>'IPCC Categories'!C26</f>
        <v>3A2h Swine</v>
      </c>
      <c r="D17" t="str">
        <f t="shared" si="8"/>
        <v>CH4</v>
      </c>
      <c r="E17" t="str">
        <f t="shared" si="9"/>
        <v>Gg CH4</v>
      </c>
      <c r="F17" s="28">
        <f>SUM(Emissions!H30:H31)</f>
        <v>21.491561588124931</v>
      </c>
      <c r="G17" s="28">
        <f>SUM(Emissions!I30:I31)</f>
        <v>23.479954097262475</v>
      </c>
      <c r="H17" s="28">
        <f>SUM(Emissions!J30:J31)</f>
        <v>23.324831277400676</v>
      </c>
      <c r="I17" s="28">
        <f>SUM(Emissions!K30:K31)</f>
        <v>23.310729202867787</v>
      </c>
      <c r="J17" s="28">
        <f>SUM(Emissions!L30:L31)</f>
        <v>22.140257016637882</v>
      </c>
      <c r="K17" s="28">
        <f>SUM(Emissions!M30:M31)</f>
        <v>22.351788134631242</v>
      </c>
      <c r="L17" s="28">
        <f>SUM(Emissions!N30:N31)</f>
        <v>24.072241227643865</v>
      </c>
      <c r="M17" s="28">
        <f>SUM(Emissions!O30:O31)</f>
        <v>23.959424631380745</v>
      </c>
      <c r="N17" s="28">
        <f>SUM(Emissions!P30:P31)</f>
        <v>24.481201389097684</v>
      </c>
      <c r="O17" s="28">
        <f>SUM(Emissions!Q30:Q31)</f>
        <v>25.101692668544864</v>
      </c>
      <c r="P17" s="28">
        <f>SUM(Emissions!R30:R31)</f>
        <v>23.22611675567045</v>
      </c>
      <c r="Q17" s="28">
        <f>SUM(Emissions!S30:S31)</f>
        <v>23.663281066190045</v>
      </c>
      <c r="R17" s="28">
        <f>SUM(Emissions!T30:T31)</f>
        <v>24.11454745124254</v>
      </c>
      <c r="S17" s="28">
        <f>SUM(Emissions!U30:U31)</f>
        <v>23.451749948196689</v>
      </c>
      <c r="T17" s="28">
        <f>SUM(Emissions!V30:V31)</f>
        <v>23.451749948196689</v>
      </c>
      <c r="U17" s="28">
        <f>SUM(Emissions!W30:W31)</f>
        <v>23.282525053802008</v>
      </c>
      <c r="V17" s="28">
        <f>SUM(Emissions!X30:X31)</f>
        <v>22.873564892348188</v>
      </c>
      <c r="W17" s="28">
        <f>SUM(Emissions!Y30:Y31)</f>
        <v>23.282525053802008</v>
      </c>
      <c r="X17" s="28">
        <f>SUM(Emissions!Z30:Z31)</f>
        <v>22.774850370617955</v>
      </c>
      <c r="Y17" s="28">
        <f>SUM(Emissions!AA30:AA31)</f>
        <v>22.746646221552176</v>
      </c>
      <c r="Z17" s="28">
        <f>SUM(Emissions!AB30:AB31)</f>
        <v>22.478706805427255</v>
      </c>
      <c r="AA17" s="28">
        <f>SUM(Emissions!AC30:AC31)</f>
        <v>22.337686060098353</v>
      </c>
      <c r="AB17" s="28">
        <f>SUM(Emissions!AD30:AD31)</f>
        <v>23.362836589496716</v>
      </c>
      <c r="AC17" s="28">
        <f>SUM(Emissions!AE30:AE31)</f>
        <v>23.361077964396383</v>
      </c>
      <c r="AD17" s="28">
        <f>SUM(Emissions!AF30:AF31)</f>
        <v>23.199670534286593</v>
      </c>
      <c r="AE17" s="28">
        <f>SUM(Emissions!AG30:AG31)</f>
        <v>22.925968707408192</v>
      </c>
      <c r="AF17" s="28">
        <f>SUM(Emissions!AH30:AH31)</f>
        <v>22.537706807077413</v>
      </c>
      <c r="AG17" s="28">
        <f>SUM(Emissions!AI30:AI31)</f>
        <v>22.327358282708801</v>
      </c>
      <c r="AH17" s="28">
        <f>SUM(Emissions!AJ30:AJ31)</f>
        <v>22.094341947120927</v>
      </c>
      <c r="AI17" s="28">
        <f>SUM(Emissions!AK30:AK31)</f>
        <v>21.859865743523414</v>
      </c>
      <c r="AJ17" s="28">
        <f>SUM(Emissions!AL30:AL31)</f>
        <v>19.212562761975274</v>
      </c>
      <c r="AK17" s="28">
        <f>SUM(Emissions!AM30:AM31)</f>
        <v>19.37147530471751</v>
      </c>
      <c r="AL17" s="28">
        <f>SUM(Emissions!AN30:AN31)</f>
        <v>19.496440579002538</v>
      </c>
      <c r="AM17" s="28">
        <f>SUM(Emissions!AO30:AO31)</f>
        <v>19.629357347580726</v>
      </c>
      <c r="AN17" s="28">
        <f>SUM(Emissions!AP30:AP31)</f>
        <v>19.79863168027455</v>
      </c>
      <c r="AO17" s="28">
        <f>SUM(Emissions!AQ30:AQ31)</f>
        <v>20.02275227639003</v>
      </c>
      <c r="AP17" s="28">
        <f>SUM(Emissions!AR30:AR31)</f>
        <v>20.268772316337618</v>
      </c>
      <c r="AQ17" s="28">
        <f>SUM(Emissions!AS30:AS31)</f>
        <v>20.546236998068856</v>
      </c>
      <c r="AR17" s="28">
        <f>SUM(Emissions!AT30:AT31)</f>
        <v>20.857990536441619</v>
      </c>
      <c r="AS17" s="28">
        <f>SUM(Emissions!AU30:AU31)</f>
        <v>21.243049088446988</v>
      </c>
      <c r="AT17" s="28">
        <f>SUM(Emissions!AV30:AV31)</f>
        <v>21.609245941121031</v>
      </c>
      <c r="AU17" s="28">
        <f>SUM(Emissions!AW30:AW31)</f>
        <v>22.090309520352381</v>
      </c>
      <c r="AV17" s="28">
        <f>SUM(Emissions!AX30:AX31)</f>
        <v>22.58421373819424</v>
      </c>
      <c r="AW17" s="28">
        <f>SUM(Emissions!AY30:AY31)</f>
        <v>23.086302996165688</v>
      </c>
      <c r="AX17" s="28">
        <f>SUM(Emissions!AZ30:AZ31)</f>
        <v>23.591907041996375</v>
      </c>
      <c r="AY17" s="28">
        <f>SUM(Emissions!BA30:BA31)</f>
        <v>24.01605531798306</v>
      </c>
      <c r="AZ17" s="28">
        <f>SUM(Emissions!BB30:BB31)</f>
        <v>24.463443691111536</v>
      </c>
      <c r="BA17" s="28">
        <f>SUM(Emissions!BC30:BC31)</f>
        <v>24.951758814288073</v>
      </c>
      <c r="BB17" s="28">
        <f>SUM(Emissions!BD30:BD31)</f>
        <v>25.462692081182212</v>
      </c>
      <c r="BC17" s="28">
        <f>SUM(Emissions!BE30:BE31)</f>
        <v>25.936017813737593</v>
      </c>
      <c r="BD17" s="28">
        <f>SUM(Emissions!BF30:BF31)</f>
        <v>26.404676597738945</v>
      </c>
      <c r="BE17" s="28">
        <f>SUM(Emissions!BG30:BG31)</f>
        <v>26.891203356634687</v>
      </c>
      <c r="BF17" s="28">
        <f>SUM(Emissions!BH30:BH31)</f>
        <v>27.401875422905533</v>
      </c>
      <c r="BG17" s="28">
        <f>SUM(Emissions!BI30:BI31)</f>
        <v>27.945598598765574</v>
      </c>
      <c r="BH17" s="28">
        <f>SUM(Emissions!BJ30:BJ31)</f>
        <v>28.516576732556086</v>
      </c>
      <c r="BI17" s="28">
        <f>SUM(Emissions!BK30:BK31)</f>
        <v>29.134426566528177</v>
      </c>
      <c r="BJ17" s="28">
        <f>SUM(Emissions!BL30:BL31)</f>
        <v>29.788719324677359</v>
      </c>
      <c r="BK17" s="28">
        <f>SUM(Emissions!BM30:BM31)</f>
        <v>30.464890596699977</v>
      </c>
      <c r="BL17" s="28">
        <f>SUM(Emissions!BN30:BN31)</f>
        <v>31.110099174822562</v>
      </c>
      <c r="BM17" s="28">
        <f>SUM(Emissions!BO30:BO31)</f>
        <v>31.779901274427491</v>
      </c>
      <c r="BN17" s="28">
        <f>SUM(Emissions!BP30:BP31)</f>
        <v>32.485145225439766</v>
      </c>
    </row>
    <row r="18" spans="1:66" x14ac:dyDescent="0.25">
      <c r="A18" t="str">
        <f t="shared" si="2"/>
        <v>3A Livestock</v>
      </c>
      <c r="B18" t="str">
        <f t="shared" si="10"/>
        <v>3A2 Manure management (CH4)</v>
      </c>
      <c r="C18" t="str">
        <f>'IPCC Categories'!C27</f>
        <v>3A2i Poultry</v>
      </c>
      <c r="D18" t="str">
        <f t="shared" si="8"/>
        <v>CH4</v>
      </c>
      <c r="E18" t="str">
        <f t="shared" si="9"/>
        <v>Gg CH4</v>
      </c>
      <c r="F18" s="28">
        <f>SUM(Emissions!H32:H35)</f>
        <v>1.3455156687778258</v>
      </c>
      <c r="G18" s="28">
        <f>SUM(Emissions!I32:I35)</f>
        <v>1.2760746173506023</v>
      </c>
      <c r="H18" s="28">
        <f>SUM(Emissions!J32:J35)</f>
        <v>1.2071518876777516</v>
      </c>
      <c r="I18" s="28">
        <f>SUM(Emissions!K32:K35)</f>
        <v>1.3112406123644875</v>
      </c>
      <c r="J18" s="28">
        <f>SUM(Emissions!L32:L35)</f>
        <v>1.2878479203358015</v>
      </c>
      <c r="K18" s="28">
        <f>SUM(Emissions!M32:M35)</f>
        <v>1.4574822448350102</v>
      </c>
      <c r="L18" s="28">
        <f>SUM(Emissions!N32:N35)</f>
        <v>1.6585519756378786</v>
      </c>
      <c r="M18" s="28">
        <f>SUM(Emissions!O32:O35)</f>
        <v>1.6829831179003492</v>
      </c>
      <c r="N18" s="28">
        <f>SUM(Emissions!P32:P35)</f>
        <v>1.8549562107540372</v>
      </c>
      <c r="O18" s="28">
        <f>SUM(Emissions!Q32:Q35)</f>
        <v>1.9479379111082711</v>
      </c>
      <c r="P18" s="28">
        <f>SUM(Emissions!R32:R35)</f>
        <v>2.0536731601042231</v>
      </c>
      <c r="Q18" s="28">
        <f>SUM(Emissions!S32:S35)</f>
        <v>2.0089908832558949</v>
      </c>
      <c r="R18" s="28">
        <f>SUM(Emissions!T32:T35)</f>
        <v>2.1759262032341824</v>
      </c>
      <c r="S18" s="28">
        <f>SUM(Emissions!U32:U35)</f>
        <v>2.0734984652627912</v>
      </c>
      <c r="T18" s="28">
        <f>SUM(Emissions!V32:V35)</f>
        <v>2.1285917053454204</v>
      </c>
      <c r="U18" s="28">
        <f>SUM(Emissions!W32:W35)</f>
        <v>2.3353468813999299</v>
      </c>
      <c r="V18" s="28">
        <f>SUM(Emissions!X32:X35)</f>
        <v>2.5134086143565382</v>
      </c>
      <c r="W18" s="28">
        <f>SUM(Emissions!Y32:Y35)</f>
        <v>2.6601525958477232</v>
      </c>
      <c r="X18" s="28">
        <f>SUM(Emissions!Z32:Z35)</f>
        <v>2.8035850548611285</v>
      </c>
      <c r="Y18" s="28">
        <f>SUM(Emissions!AA32:AA35)</f>
        <v>2.6565217675227304</v>
      </c>
      <c r="Z18" s="28">
        <f>SUM(Emissions!AB32:AB35)</f>
        <v>2.7308472443629443</v>
      </c>
      <c r="AA18" s="28">
        <f>SUM(Emissions!AC32:AC35)</f>
        <v>2.8311378814399824</v>
      </c>
      <c r="AB18" s="28">
        <f>SUM(Emissions!AD32:AD35)</f>
        <v>2.8823931054630663</v>
      </c>
      <c r="AC18" s="28">
        <f>SUM(Emissions!AE32:AE35)</f>
        <v>2.9445111672302775</v>
      </c>
      <c r="AD18" s="28">
        <f>SUM(Emissions!AF32:AF35)</f>
        <v>2.9794426750756866</v>
      </c>
      <c r="AE18" s="28">
        <f>SUM(Emissions!AG32:AG35)</f>
        <v>2.9939418170131735</v>
      </c>
      <c r="AF18" s="28">
        <f>SUM(Emissions!AH32:AH35)</f>
        <v>2.9869204202639166</v>
      </c>
      <c r="AG18" s="28">
        <f>SUM(Emissions!AI32:AI35)</f>
        <v>3.007356208961145</v>
      </c>
      <c r="AH18" s="28">
        <f>SUM(Emissions!AJ32:AJ35)</f>
        <v>3.0224297020606832</v>
      </c>
      <c r="AI18" s="28">
        <f>SUM(Emissions!AK32:AK35)</f>
        <v>3.0357426774791221</v>
      </c>
      <c r="AJ18" s="28">
        <f>SUM(Emissions!AL32:AL35)</f>
        <v>2.6188342701721696</v>
      </c>
      <c r="AK18" s="28">
        <f>SUM(Emissions!AM32:AM35)</f>
        <v>2.6979191949647388</v>
      </c>
      <c r="AL18" s="28">
        <f>SUM(Emissions!AN32:AN35)</f>
        <v>2.7715274523117719</v>
      </c>
      <c r="AM18" s="28">
        <f>SUM(Emissions!AO32:AO35)</f>
        <v>2.847236314352187</v>
      </c>
      <c r="AN18" s="28">
        <f>SUM(Emissions!AP32:AP35)</f>
        <v>2.9305168430739048</v>
      </c>
      <c r="AO18" s="28">
        <f>SUM(Emissions!AQ32:AQ35)</f>
        <v>3.0252452230190672</v>
      </c>
      <c r="AP18" s="28">
        <f>SUM(Emissions!AR32:AR35)</f>
        <v>3.1269198568307646</v>
      </c>
      <c r="AQ18" s="28">
        <f>SUM(Emissions!AS32:AS35)</f>
        <v>3.2362778150093141</v>
      </c>
      <c r="AR18" s="28">
        <f>SUM(Emissions!AT32:AT35)</f>
        <v>3.3542037723071929</v>
      </c>
      <c r="AS18" s="28">
        <f>SUM(Emissions!AU32:AU35)</f>
        <v>3.4889046743535732</v>
      </c>
      <c r="AT18" s="28">
        <f>SUM(Emissions!AV32:AV35)</f>
        <v>3.6222323854161558</v>
      </c>
      <c r="AU18" s="28">
        <f>SUM(Emissions!AW32:AW35)</f>
        <v>3.782858006842984</v>
      </c>
      <c r="AV18" s="28">
        <f>SUM(Emissions!AX32:AX35)</f>
        <v>3.9493441211288056</v>
      </c>
      <c r="AW18" s="28">
        <f>SUM(Emissions!AY32:AY35)</f>
        <v>4.1208984278924543</v>
      </c>
      <c r="AX18" s="28">
        <f>SUM(Emissions!AZ32:AZ35)</f>
        <v>4.2966769840205714</v>
      </c>
      <c r="AY18" s="28">
        <f>SUM(Emissions!BA32:BA35)</f>
        <v>4.4582512571589934</v>
      </c>
      <c r="AZ18" s="28">
        <f>SUM(Emissions!BB32:BB35)</f>
        <v>4.6291571127576612</v>
      </c>
      <c r="BA18" s="28">
        <f>SUM(Emissions!BC32:BC35)</f>
        <v>4.8126731744860702</v>
      </c>
      <c r="BB18" s="28">
        <f>SUM(Emissions!BD32:BD35)</f>
        <v>5.0051064511897279</v>
      </c>
      <c r="BC18" s="28">
        <f>SUM(Emissions!BE32:BE35)</f>
        <v>5.1928993637122982</v>
      </c>
      <c r="BD18" s="28">
        <f>SUM(Emissions!BF32:BF35)</f>
        <v>5.3835053196437084</v>
      </c>
      <c r="BE18" s="28">
        <f>SUM(Emissions!BG32:BG35)</f>
        <v>5.5832160774762789</v>
      </c>
      <c r="BF18" s="28">
        <f>SUM(Emissions!BH32:BH35)</f>
        <v>5.7929264101989757</v>
      </c>
      <c r="BG18" s="28">
        <f>SUM(Emissions!BI32:BI35)</f>
        <v>6.0151566967421282</v>
      </c>
      <c r="BH18" s="28">
        <f>SUM(Emissions!BJ32:BJ35)</f>
        <v>6.2489356649073331</v>
      </c>
      <c r="BI18" s="28">
        <f>SUM(Emissions!BK32:BK35)</f>
        <v>6.4995722395821813</v>
      </c>
      <c r="BJ18" s="28">
        <f>SUM(Emissions!BL32:BL35)</f>
        <v>6.765933960180301</v>
      </c>
      <c r="BK18" s="28">
        <f>SUM(Emissions!BM32:BM35)</f>
        <v>7.0439439406247324</v>
      </c>
      <c r="BL18" s="28">
        <f>SUM(Emissions!BN32:BN35)</f>
        <v>7.320277027112966</v>
      </c>
      <c r="BM18" s="28">
        <f>SUM(Emissions!BO32:BO35)</f>
        <v>7.6094280816972528</v>
      </c>
      <c r="BN18" s="28">
        <f>SUM(Emissions!BP32:BP35)</f>
        <v>7.9147528578908588</v>
      </c>
    </row>
    <row r="19" spans="1:66" s="19" customFormat="1" ht="15.75" x14ac:dyDescent="0.25">
      <c r="A19" s="19" t="str">
        <f>A26</f>
        <v>3A Livestock</v>
      </c>
      <c r="B19" s="19" t="str">
        <f>B26</f>
        <v>3A2 Manure management (N2O)</v>
      </c>
      <c r="C19" s="19" t="s">
        <v>148</v>
      </c>
      <c r="D19" s="19" t="str">
        <f>D26</f>
        <v>N2O</v>
      </c>
      <c r="E19" s="19" t="str">
        <f>E26</f>
        <v>Gg N2O</v>
      </c>
      <c r="F19" s="46">
        <f t="shared" ref="F19:AK19" si="11">SUM(F20:F26)</f>
        <v>3.8813342644172093</v>
      </c>
      <c r="G19" s="46">
        <f t="shared" si="11"/>
        <v>3.8661487301239461</v>
      </c>
      <c r="H19" s="46">
        <f t="shared" si="11"/>
        <v>3.7862483767973956</v>
      </c>
      <c r="I19" s="46">
        <f t="shared" si="11"/>
        <v>3.8129334854284056</v>
      </c>
      <c r="J19" s="46">
        <f t="shared" si="11"/>
        <v>3.6996407314660944</v>
      </c>
      <c r="K19" s="46">
        <f t="shared" si="11"/>
        <v>3.8335350634638918</v>
      </c>
      <c r="L19" s="46">
        <f t="shared" si="11"/>
        <v>4.0409580802685516</v>
      </c>
      <c r="M19" s="46">
        <f t="shared" si="11"/>
        <v>4.0955542331246733</v>
      </c>
      <c r="N19" s="46">
        <f t="shared" si="11"/>
        <v>4.2655318251850405</v>
      </c>
      <c r="O19" s="46">
        <f t="shared" si="11"/>
        <v>4.3438825095880835</v>
      </c>
      <c r="P19" s="46">
        <f t="shared" si="11"/>
        <v>4.4272539945305205</v>
      </c>
      <c r="Q19" s="46">
        <f t="shared" si="11"/>
        <v>4.3758778433663306</v>
      </c>
      <c r="R19" s="46">
        <f t="shared" si="11"/>
        <v>4.5059558233007309</v>
      </c>
      <c r="S19" s="46">
        <f t="shared" si="11"/>
        <v>4.4292467756859457</v>
      </c>
      <c r="T19" s="46">
        <f t="shared" si="11"/>
        <v>4.4470330949647732</v>
      </c>
      <c r="U19" s="46">
        <f t="shared" si="11"/>
        <v>4.5974101613100977</v>
      </c>
      <c r="V19" s="46">
        <f t="shared" si="11"/>
        <v>4.7310450300813258</v>
      </c>
      <c r="W19" s="46">
        <f t="shared" si="11"/>
        <v>4.8799892939067844</v>
      </c>
      <c r="X19" s="46">
        <f t="shared" si="11"/>
        <v>4.9663886389564027</v>
      </c>
      <c r="Y19" s="46">
        <f t="shared" si="11"/>
        <v>4.8614306045888265</v>
      </c>
      <c r="Z19" s="46">
        <f t="shared" si="11"/>
        <v>4.8921309188133044</v>
      </c>
      <c r="AA19" s="46">
        <f t="shared" si="11"/>
        <v>5.064588718240568</v>
      </c>
      <c r="AB19" s="46">
        <f t="shared" si="11"/>
        <v>5.2005369748365959</v>
      </c>
      <c r="AC19" s="46">
        <f t="shared" si="11"/>
        <v>5.2827050362359707</v>
      </c>
      <c r="AD19" s="46">
        <f t="shared" si="11"/>
        <v>5.3266244234811282</v>
      </c>
      <c r="AE19" s="46">
        <f t="shared" si="11"/>
        <v>5.3422242657778085</v>
      </c>
      <c r="AF19" s="46">
        <f t="shared" si="11"/>
        <v>5.3280958211886826</v>
      </c>
      <c r="AG19" s="46">
        <f t="shared" si="11"/>
        <v>5.3544877083532292</v>
      </c>
      <c r="AH19" s="46">
        <f t="shared" si="11"/>
        <v>5.3737155939806263</v>
      </c>
      <c r="AI19" s="46">
        <f t="shared" si="11"/>
        <v>5.3909889680327776</v>
      </c>
      <c r="AJ19" s="46">
        <f t="shared" si="11"/>
        <v>4.7971912092279885</v>
      </c>
      <c r="AK19" s="46">
        <f t="shared" si="11"/>
        <v>4.9116725089812778</v>
      </c>
      <c r="AL19" s="46">
        <f t="shared" ref="AL19:BN19" si="12">SUM(AL20:AL26)</f>
        <v>5.0186317884999614</v>
      </c>
      <c r="AM19" s="46">
        <f t="shared" si="12"/>
        <v>5.1288197775563642</v>
      </c>
      <c r="AN19" s="46">
        <f t="shared" si="12"/>
        <v>5.2499796017476621</v>
      </c>
      <c r="AO19" s="46">
        <f t="shared" si="12"/>
        <v>5.3875801063021775</v>
      </c>
      <c r="AP19" s="46">
        <f t="shared" si="12"/>
        <v>5.5329165946110521</v>
      </c>
      <c r="AQ19" s="46">
        <f t="shared" si="12"/>
        <v>5.6892976364799761</v>
      </c>
      <c r="AR19" s="46">
        <f t="shared" si="12"/>
        <v>5.8579539291496445</v>
      </c>
      <c r="AS19" s="46">
        <f t="shared" si="12"/>
        <v>6.0504798433173059</v>
      </c>
      <c r="AT19" s="46">
        <f t="shared" si="12"/>
        <v>6.2411653379488872</v>
      </c>
      <c r="AU19" s="46">
        <f t="shared" si="12"/>
        <v>6.4625385561939517</v>
      </c>
      <c r="AV19" s="46">
        <f t="shared" si="12"/>
        <v>6.6919575003819585</v>
      </c>
      <c r="AW19" s="46">
        <f t="shared" si="12"/>
        <v>6.9282839101216496</v>
      </c>
      <c r="AX19" s="46">
        <f t="shared" si="12"/>
        <v>7.1703144850433436</v>
      </c>
      <c r="AY19" s="46">
        <f t="shared" si="12"/>
        <v>7.3921334931925822</v>
      </c>
      <c r="AZ19" s="46">
        <f t="shared" si="12"/>
        <v>7.6252056350730522</v>
      </c>
      <c r="BA19" s="46">
        <f t="shared" si="12"/>
        <v>7.8757645308588939</v>
      </c>
      <c r="BB19" s="46">
        <f t="shared" si="12"/>
        <v>8.1385890586457972</v>
      </c>
      <c r="BC19" s="46">
        <f t="shared" si="12"/>
        <v>8.3946802227004618</v>
      </c>
      <c r="BD19" s="46">
        <f t="shared" si="12"/>
        <v>8.6544931090856334</v>
      </c>
      <c r="BE19" s="46">
        <f t="shared" si="12"/>
        <v>8.9291561091547269</v>
      </c>
      <c r="BF19" s="46">
        <f t="shared" si="12"/>
        <v>9.2177197745129575</v>
      </c>
      <c r="BG19" s="46">
        <f t="shared" si="12"/>
        <v>9.5236862071459001</v>
      </c>
      <c r="BH19" s="46">
        <f t="shared" si="12"/>
        <v>9.845682133117359</v>
      </c>
      <c r="BI19" s="46">
        <f t="shared" si="12"/>
        <v>10.191092353430076</v>
      </c>
      <c r="BJ19" s="46">
        <f t="shared" si="12"/>
        <v>10.556808723033035</v>
      </c>
      <c r="BK19" s="46">
        <f t="shared" si="12"/>
        <v>10.93864509449187</v>
      </c>
      <c r="BL19" s="46">
        <f t="shared" si="12"/>
        <v>11.31804961896235</v>
      </c>
      <c r="BM19" s="46">
        <f t="shared" si="12"/>
        <v>11.715203196360161</v>
      </c>
      <c r="BN19" s="46">
        <f t="shared" si="12"/>
        <v>12.134762893025963</v>
      </c>
    </row>
    <row r="20" spans="1:66" x14ac:dyDescent="0.25">
      <c r="A20" t="str">
        <f>A18</f>
        <v>3A Livestock</v>
      </c>
      <c r="B20" t="str">
        <f>'IPCC Categories'!B20</f>
        <v>3A2 Manure management (N2O)</v>
      </c>
      <c r="C20" t="str">
        <f t="shared" ref="C20:C26" si="13">C12</f>
        <v>3A2a Cattle</v>
      </c>
      <c r="D20" t="s">
        <v>139</v>
      </c>
      <c r="E20" t="s">
        <v>287</v>
      </c>
      <c r="F20" s="28">
        <f>SUM(Emissions!H36:H41)</f>
        <v>2.3334515596574898</v>
      </c>
      <c r="G20" s="28">
        <f>SUM(Emissions!I36:I41)</f>
        <v>2.3913266020486907</v>
      </c>
      <c r="H20" s="28">
        <f>SUM(Emissions!J36:J41)</f>
        <v>2.3837489012139343</v>
      </c>
      <c r="I20" s="28">
        <f>SUM(Emissions!K36:K41)</f>
        <v>2.3538599023692135</v>
      </c>
      <c r="J20" s="28">
        <f>SUM(Emissions!L36:L41)</f>
        <v>2.2497683959178429</v>
      </c>
      <c r="K20" s="28">
        <f>SUM(Emissions!M36:M41)</f>
        <v>2.2583248814343775</v>
      </c>
      <c r="L20" s="28">
        <f>SUM(Emissions!N36:N41)</f>
        <v>2.3013624403278148</v>
      </c>
      <c r="M20" s="28">
        <f>SUM(Emissions!O36:O41)</f>
        <v>2.3439053818582685</v>
      </c>
      <c r="N20" s="28">
        <f>SUM(Emissions!P36:P41)</f>
        <v>2.3881538701270464</v>
      </c>
      <c r="O20" s="28">
        <f>SUM(Emissions!Q36:Q41)</f>
        <v>2.4045249883488831</v>
      </c>
      <c r="P20" s="28">
        <f>SUM(Emissions!R36:R41)</f>
        <v>2.4217802003919431</v>
      </c>
      <c r="Q20" s="28">
        <f>SUM(Emissions!S36:S41)</f>
        <v>2.4052042445092017</v>
      </c>
      <c r="R20" s="28">
        <f>SUM(Emissions!T36:T41)</f>
        <v>2.4204844754419144</v>
      </c>
      <c r="S20" s="28">
        <f>SUM(Emissions!U36:U41)</f>
        <v>2.4261595848898265</v>
      </c>
      <c r="T20" s="28">
        <f>SUM(Emissions!V36:V41)</f>
        <v>2.4077185173815416</v>
      </c>
      <c r="U20" s="28">
        <f>SUM(Emissions!W36:W41)</f>
        <v>2.4068130130940584</v>
      </c>
      <c r="V20" s="28">
        <f>SUM(Emissions!X36:X41)</f>
        <v>2.4140441898890113</v>
      </c>
      <c r="W20" s="28">
        <f>SUM(Emissions!Y36:Y41)</f>
        <v>2.4616595203806031</v>
      </c>
      <c r="X20" s="28">
        <f>SUM(Emissions!Z36:Z41)</f>
        <v>2.4413231585134629</v>
      </c>
      <c r="Y20" s="28">
        <f>SUM(Emissions!AA36:AA41)</f>
        <v>2.4490820347552171</v>
      </c>
      <c r="Z20" s="28">
        <f>SUM(Emissions!AB36:AB41)</f>
        <v>2.4334145229663386</v>
      </c>
      <c r="AA20" s="28">
        <f>SUM(Emissions!AC36:AC41)</f>
        <v>2.5369197805494066</v>
      </c>
      <c r="AB20" s="28">
        <f>SUM(Emissions!AD36:AD41)</f>
        <v>2.6407097131125199</v>
      </c>
      <c r="AC20" s="28">
        <f>SUM(Emissions!AE36:AE41)</f>
        <v>2.6770616625626991</v>
      </c>
      <c r="AD20" s="28">
        <f>SUM(Emissions!AF36:AF41)</f>
        <v>2.6963879386496155</v>
      </c>
      <c r="AE20" s="28">
        <f>SUM(Emissions!AG36:AG41)</f>
        <v>2.7032509218785998</v>
      </c>
      <c r="AF20" s="28">
        <f>SUM(Emissions!AH36:AH41)</f>
        <v>2.6970788113272977</v>
      </c>
      <c r="AG20" s="28">
        <f>SUM(Emissions!AI36:AI41)</f>
        <v>2.7095013860258663</v>
      </c>
      <c r="AH20" s="28">
        <f>SUM(Emissions!AJ36:AJ41)</f>
        <v>2.7188253155687896</v>
      </c>
      <c r="AI20" s="28">
        <f>SUM(Emissions!AK36:AK41)</f>
        <v>2.7274213456423841</v>
      </c>
      <c r="AJ20" s="28">
        <f>SUM(Emissions!AL36:AL41)</f>
        <v>2.4629719896260172</v>
      </c>
      <c r="AK20" s="28">
        <f>SUM(Emissions!AM36:AM41)</f>
        <v>2.5175267059677182</v>
      </c>
      <c r="AL20" s="28">
        <f>SUM(Emissions!AN36:AN41)</f>
        <v>2.5688190088334695</v>
      </c>
      <c r="AM20" s="28">
        <f>SUM(Emissions!AO36:AO41)</f>
        <v>2.621653897075527</v>
      </c>
      <c r="AN20" s="28">
        <f>SUM(Emissions!AP36:AP41)</f>
        <v>2.6794963255847009</v>
      </c>
      <c r="AO20" s="28">
        <f>SUM(Emissions!AQ36:AQ41)</f>
        <v>2.7447973452705909</v>
      </c>
      <c r="AP20" s="28">
        <f>SUM(Emissions!AR36:AR41)</f>
        <v>2.8127414272266531</v>
      </c>
      <c r="AQ20" s="28">
        <f>SUM(Emissions!AS36:AS41)</f>
        <v>2.8857317675275449</v>
      </c>
      <c r="AR20" s="28">
        <f>SUM(Emissions!AT36:AT41)</f>
        <v>2.9643227565444645</v>
      </c>
      <c r="AS20" s="28">
        <f>SUM(Emissions!AU36:AU41)</f>
        <v>3.0537149904991039</v>
      </c>
      <c r="AT20" s="28">
        <f>SUM(Emissions!AV36:AV41)</f>
        <v>3.1423898723934331</v>
      </c>
      <c r="AU20" s="28">
        <f>SUM(Emissions!AW36:AW41)</f>
        <v>3.2407819673380698</v>
      </c>
      <c r="AV20" s="28">
        <f>SUM(Emissions!AX36:AX41)</f>
        <v>3.3427305355775898</v>
      </c>
      <c r="AW20" s="28">
        <f>SUM(Emissions!AY36:AY41)</f>
        <v>3.4477234003729591</v>
      </c>
      <c r="AX20" s="28">
        <f>SUM(Emissions!AZ36:AZ41)</f>
        <v>3.5552216743451361</v>
      </c>
      <c r="AY20" s="28">
        <f>SUM(Emissions!BA36:BA41)</f>
        <v>3.6536536536482487</v>
      </c>
      <c r="AZ20" s="28">
        <f>SUM(Emissions!BB36:BB41)</f>
        <v>3.7564118957671266</v>
      </c>
      <c r="BA20" s="28">
        <f>SUM(Emissions!BC36:BC41)</f>
        <v>3.8669459239031836</v>
      </c>
      <c r="BB20" s="28">
        <f>SUM(Emissions!BD36:BD41)</f>
        <v>3.9829198228080624</v>
      </c>
      <c r="BC20" s="28">
        <f>SUM(Emissions!BE36:BE41)</f>
        <v>4.0958698439636265</v>
      </c>
      <c r="BD20" s="28">
        <f>SUM(Emissions!BF36:BF41)</f>
        <v>4.2104622051333003</v>
      </c>
      <c r="BE20" s="28">
        <f>SUM(Emissions!BG36:BG41)</f>
        <v>4.3331767195070867</v>
      </c>
      <c r="BF20" s="28">
        <f>SUM(Emissions!BH36:BH41)</f>
        <v>4.4621547184017922</v>
      </c>
      <c r="BG20" s="28">
        <f>SUM(Emissions!BI36:BI41)</f>
        <v>4.5989584072840373</v>
      </c>
      <c r="BH20" s="28">
        <f>SUM(Emissions!BJ36:BJ41)</f>
        <v>4.7429813506462075</v>
      </c>
      <c r="BI20" s="28">
        <f>SUM(Emissions!BK36:BK41)</f>
        <v>4.8975144775546937</v>
      </c>
      <c r="BJ20" s="28">
        <f>SUM(Emissions!BL36:BL41)</f>
        <v>5.060569083761985</v>
      </c>
      <c r="BK20" s="28">
        <f>SUM(Emissions!BM36:BM41)</f>
        <v>5.230902894776186</v>
      </c>
      <c r="BL20" s="28">
        <f>SUM(Emissions!BN36:BN41)</f>
        <v>5.4002697142968703</v>
      </c>
      <c r="BM20" s="28">
        <f>SUM(Emissions!BO36:BO41)</f>
        <v>5.5776562500128435</v>
      </c>
      <c r="BN20" s="28">
        <f>SUM(Emissions!BP36:BP41)</f>
        <v>5.7651438181463863</v>
      </c>
    </row>
    <row r="21" spans="1:66" x14ac:dyDescent="0.25">
      <c r="A21" t="str">
        <f t="shared" si="2"/>
        <v>3A Livestock</v>
      </c>
      <c r="B21" t="str">
        <f>B20</f>
        <v>3A2 Manure management (N2O)</v>
      </c>
      <c r="C21" t="str">
        <f t="shared" si="13"/>
        <v>3A2c Sheep</v>
      </c>
      <c r="D21" t="str">
        <f>D20</f>
        <v>N2O</v>
      </c>
      <c r="E21" t="str">
        <f>E20</f>
        <v>Gg N2O</v>
      </c>
      <c r="F21" s="28">
        <f>SUM(Emissions!H42:H43)</f>
        <v>0.27697977351015546</v>
      </c>
      <c r="G21" s="28">
        <f>SUM(Emissions!I42:I43)</f>
        <v>0.26452543098066184</v>
      </c>
      <c r="H21" s="28">
        <f>SUM(Emissions!J42:J43)</f>
        <v>0.25359554432458542</v>
      </c>
      <c r="I21" s="28">
        <f>SUM(Emissions!K42:K43)</f>
        <v>0.23716837739770139</v>
      </c>
      <c r="J21" s="28">
        <f>SUM(Emissions!L42:L43)</f>
        <v>0.23884065929520765</v>
      </c>
      <c r="K21" s="28">
        <f>SUM(Emissions!M42:M43)</f>
        <v>0.23542218248815072</v>
      </c>
      <c r="L21" s="28">
        <f>SUM(Emissions!N42:N43)</f>
        <v>0.23620750824112324</v>
      </c>
      <c r="M21" s="28">
        <f>SUM(Emissions!O42:O43)</f>
        <v>0.23107055390403242</v>
      </c>
      <c r="N21" s="28">
        <f>SUM(Emissions!P42:P43)</f>
        <v>0.23170805363291622</v>
      </c>
      <c r="O21" s="28">
        <f>SUM(Emissions!Q42:Q43)</f>
        <v>0.22601675170549185</v>
      </c>
      <c r="P21" s="28">
        <f>SUM(Emissions!R42:R43)</f>
        <v>0.21791403776011653</v>
      </c>
      <c r="Q21" s="28">
        <f>SUM(Emissions!S42:S43)</f>
        <v>0.21248143137484779</v>
      </c>
      <c r="R21" s="28">
        <f>SUM(Emissions!T42:T43)</f>
        <v>0.20893360679671308</v>
      </c>
      <c r="S21" s="28">
        <f>SUM(Emissions!U42:U43)</f>
        <v>0.20966349779065224</v>
      </c>
      <c r="T21" s="28">
        <f>SUM(Emissions!V42:V43)</f>
        <v>0.20593089068240639</v>
      </c>
      <c r="U21" s="28">
        <f>SUM(Emissions!W42:W43)</f>
        <v>0.20544121697761175</v>
      </c>
      <c r="V21" s="28">
        <f>SUM(Emissions!X42:X43)</f>
        <v>0.20275263116449405</v>
      </c>
      <c r="W21" s="28">
        <f>SUM(Emissions!Y42:Y43)</f>
        <v>0.20255860950787735</v>
      </c>
      <c r="X21" s="28">
        <f>SUM(Emissions!Z42:Z43)</f>
        <v>0.203214587489772</v>
      </c>
      <c r="Y21" s="28">
        <f>SUM(Emissions!AA42:AA43)</f>
        <v>0.20249393562233842</v>
      </c>
      <c r="Z21" s="28">
        <f>SUM(Emissions!AB42:AB43)</f>
        <v>0.19857654598398133</v>
      </c>
      <c r="AA21" s="28">
        <f>SUM(Emissions!AC42:AC43)</f>
        <v>0.19702437273104745</v>
      </c>
      <c r="AB21" s="28">
        <f>SUM(Emissions!AD42:AD43)</f>
        <v>0.17981926270793053</v>
      </c>
      <c r="AC21" s="28">
        <f>SUM(Emissions!AE42:AE43)</f>
        <v>0.17991670381321825</v>
      </c>
      <c r="AD21" s="28">
        <f>SUM(Emissions!AF42:AF43)</f>
        <v>0.18013833968429593</v>
      </c>
      <c r="AE21" s="28">
        <f>SUM(Emissions!AG42:AG43)</f>
        <v>0.18047775495803489</v>
      </c>
      <c r="AF21" s="28">
        <f>SUM(Emissions!AH42:AH43)</f>
        <v>0.18092866210785075</v>
      </c>
      <c r="AG21" s="28">
        <f>SUM(Emissions!AI42:AI43)</f>
        <v>0.18149587891160424</v>
      </c>
      <c r="AH21" s="28">
        <f>SUM(Emissions!AJ42:AJ43)</f>
        <v>0.18212456196564622</v>
      </c>
      <c r="AI21" s="28">
        <f>SUM(Emissions!AK42:AK43)</f>
        <v>0.18281638566722946</v>
      </c>
      <c r="AJ21" s="28">
        <f>SUM(Emissions!AL42:AL43)</f>
        <v>0.18348335149429329</v>
      </c>
      <c r="AK21" s="28">
        <f>SUM(Emissions!AM42:AM43)</f>
        <v>0.18374775028724633</v>
      </c>
      <c r="AL21" s="28">
        <f>SUM(Emissions!AN42:AN43)</f>
        <v>0.18405655654266001</v>
      </c>
      <c r="AM21" s="28">
        <f>SUM(Emissions!AO42:AO43)</f>
        <v>0.18440852171165104</v>
      </c>
      <c r="AN21" s="28">
        <f>SUM(Emissions!AP42:AP43)</f>
        <v>0.18480232361067755</v>
      </c>
      <c r="AO21" s="28">
        <f>SUM(Emissions!AQ42:AQ43)</f>
        <v>0.18523661437058514</v>
      </c>
      <c r="AP21" s="28">
        <f>SUM(Emissions!AR42:AR43)</f>
        <v>0.18550331427855443</v>
      </c>
      <c r="AQ21" s="28">
        <f>SUM(Emissions!AS42:AS43)</f>
        <v>0.18580393536705364</v>
      </c>
      <c r="AR21" s="28">
        <f>SUM(Emissions!AT42:AT43)</f>
        <v>0.1861370600664724</v>
      </c>
      <c r="AS21" s="28">
        <f>SUM(Emissions!AU42:AU43)</f>
        <v>0.18650290681268172</v>
      </c>
      <c r="AT21" s="28">
        <f>SUM(Emissions!AV42:AV43)</f>
        <v>0.18689654407327772</v>
      </c>
      <c r="AU21" s="28">
        <f>SUM(Emissions!AW42:AW43)</f>
        <v>0.18715698398663727</v>
      </c>
      <c r="AV21" s="28">
        <f>SUM(Emissions!AX42:AX43)</f>
        <v>0.18744290887109541</v>
      </c>
      <c r="AW21" s="28">
        <f>SUM(Emissions!AY42:AY43)</f>
        <v>0.18775313815504022</v>
      </c>
      <c r="AX21" s="28">
        <f>SUM(Emissions!AZ42:AZ43)</f>
        <v>0.18808656993032569</v>
      </c>
      <c r="AY21" s="28">
        <f>SUM(Emissions!BA42:BA43)</f>
        <v>0.18843860776393273</v>
      </c>
      <c r="AZ21" s="28">
        <f>SUM(Emissions!BB42:BB43)</f>
        <v>0.1886568737652484</v>
      </c>
      <c r="BA21" s="28">
        <f>SUM(Emissions!BC42:BC43)</f>
        <v>0.18889647403555665</v>
      </c>
      <c r="BB21" s="28">
        <f>SUM(Emissions!BD42:BD43)</f>
        <v>0.18915596112102662</v>
      </c>
      <c r="BC21" s="28">
        <f>SUM(Emissions!BE42:BE43)</f>
        <v>0.18943191760197742</v>
      </c>
      <c r="BD21" s="28">
        <f>SUM(Emissions!BF42:BF43)</f>
        <v>0.18972526407266627</v>
      </c>
      <c r="BE21" s="28">
        <f>SUM(Emissions!BG42:BG43)</f>
        <v>0.18989112599525573</v>
      </c>
      <c r="BF21" s="28">
        <f>SUM(Emissions!BH42:BH43)</f>
        <v>0.19007387600789805</v>
      </c>
      <c r="BG21" s="28">
        <f>SUM(Emissions!BI42:BI43)</f>
        <v>0.19027352972669487</v>
      </c>
      <c r="BH21" s="28">
        <f>SUM(Emissions!BJ42:BJ43)</f>
        <v>0.19048942045249395</v>
      </c>
      <c r="BI21" s="28">
        <f>SUM(Emissions!BK42:BK43)</f>
        <v>0.19072221011230661</v>
      </c>
      <c r="BJ21" s="28">
        <f>SUM(Emissions!BL42:BL43)</f>
        <v>0.19082421194378274</v>
      </c>
      <c r="BK21" s="28">
        <f>SUM(Emissions!BM42:BM43)</f>
        <v>0.19094056643529977</v>
      </c>
      <c r="BL21" s="28">
        <f>SUM(Emissions!BN42:BN43)</f>
        <v>0.19106812544372914</v>
      </c>
      <c r="BM21" s="28">
        <f>SUM(Emissions!BO42:BO43)</f>
        <v>0.19120953315984973</v>
      </c>
      <c r="BN21" s="28">
        <f>SUM(Emissions!BP42:BP43)</f>
        <v>0.19136515396090797</v>
      </c>
    </row>
    <row r="22" spans="1:66" x14ac:dyDescent="0.25">
      <c r="A22" t="str">
        <f t="shared" si="2"/>
        <v>3A Livestock</v>
      </c>
      <c r="B22" t="str">
        <f t="shared" ref="B22:B26" si="14">B21</f>
        <v>3A2 Manure management (N2O)</v>
      </c>
      <c r="C22" t="str">
        <f t="shared" si="13"/>
        <v>3A2d Goats</v>
      </c>
      <c r="D22" t="str">
        <f t="shared" ref="D22:D26" si="15">D21</f>
        <v>N2O</v>
      </c>
      <c r="E22" t="str">
        <f t="shared" ref="E22:E26" si="16">E21</f>
        <v>Gg N2O</v>
      </c>
      <c r="F22" s="28">
        <f>SUM(Emissions!H44:H45)</f>
        <v>0.17617782385130304</v>
      </c>
      <c r="G22" s="28">
        <f>SUM(Emissions!I44:I45)</f>
        <v>0.15579098843087474</v>
      </c>
      <c r="H22" s="28">
        <f>SUM(Emissions!J44:J45)</f>
        <v>0.14512124279027669</v>
      </c>
      <c r="I22" s="28">
        <f>SUM(Emissions!K44:K45)</f>
        <v>0.13711893355982818</v>
      </c>
      <c r="J22" s="28">
        <f>SUM(Emissions!L44:L45)</f>
        <v>0.14842378310760462</v>
      </c>
      <c r="K22" s="28">
        <f>SUM(Emissions!M44:M45)</f>
        <v>0.1504561156105757</v>
      </c>
      <c r="L22" s="28">
        <f>SUM(Emissions!N44:N45)</f>
        <v>0.15280600006713599</v>
      </c>
      <c r="M22" s="28">
        <f>SUM(Emissions!O44:O45)</f>
        <v>0.15204387537852188</v>
      </c>
      <c r="N22" s="28">
        <f>SUM(Emissions!P44:P45)</f>
        <v>0.1498845220941151</v>
      </c>
      <c r="O22" s="28">
        <f>SUM(Emissions!Q44:Q45)</f>
        <v>0.14766165841899051</v>
      </c>
      <c r="P22" s="28">
        <f>SUM(Emissions!R44:R45)</f>
        <v>0.14956697014052586</v>
      </c>
      <c r="Q22" s="28">
        <f>SUM(Emissions!S44:S45)</f>
        <v>0.15413971827221074</v>
      </c>
      <c r="R22" s="28">
        <f>SUM(Emissions!T44:T45)</f>
        <v>0.14073902583074538</v>
      </c>
      <c r="S22" s="28">
        <f>SUM(Emissions!U44:U45)</f>
        <v>0.13718244395054602</v>
      </c>
      <c r="T22" s="28">
        <f>SUM(Emissions!V44:V45)</f>
        <v>0.13743648551341742</v>
      </c>
      <c r="U22" s="28">
        <f>SUM(Emissions!W44:W45)</f>
        <v>0.13565819457331774</v>
      </c>
      <c r="V22" s="28">
        <f>SUM(Emissions!X44:X45)</f>
        <v>0.13851616215562079</v>
      </c>
      <c r="W22" s="28">
        <f>SUM(Emissions!Y44:Y45)</f>
        <v>0.13438798675896085</v>
      </c>
      <c r="X22" s="28">
        <f>SUM(Emissions!Z44:Z45)</f>
        <v>0.13426096597752513</v>
      </c>
      <c r="Y22" s="28">
        <f>SUM(Emissions!AA44:AA45)</f>
        <v>0.13191108152096487</v>
      </c>
      <c r="Z22" s="28">
        <f>SUM(Emissions!AB44:AB45)</f>
        <v>0.13032332175301872</v>
      </c>
      <c r="AA22" s="28">
        <f>SUM(Emissions!AC44:AC45)</f>
        <v>0.12911662432937968</v>
      </c>
      <c r="AB22" s="28">
        <f>SUM(Emissions!AD44:AD45)</f>
        <v>0.12929112097248238</v>
      </c>
      <c r="AC22" s="28">
        <f>SUM(Emissions!AE44:AE45)</f>
        <v>0.1296276741871871</v>
      </c>
      <c r="AD22" s="28">
        <f>SUM(Emissions!AF44:AF45)</f>
        <v>0.13007923667444946</v>
      </c>
      <c r="AE22" s="28">
        <f>SUM(Emissions!AG44:AG45)</f>
        <v>0.13064052069190207</v>
      </c>
      <c r="AF22" s="28">
        <f>SUM(Emissions!AH44:AH45)</f>
        <v>0.13130600768657943</v>
      </c>
      <c r="AG22" s="28">
        <f>SUM(Emissions!AI44:AI45)</f>
        <v>0.13208238159337315</v>
      </c>
      <c r="AH22" s="28">
        <f>SUM(Emissions!AJ44:AJ45)</f>
        <v>0.13290910814997606</v>
      </c>
      <c r="AI22" s="28">
        <f>SUM(Emissions!AK44:AK45)</f>
        <v>0.13378927465298759</v>
      </c>
      <c r="AJ22" s="28">
        <f>SUM(Emissions!AL44:AL45)</f>
        <v>0.13462577481057067</v>
      </c>
      <c r="AK22" s="28">
        <f>SUM(Emissions!AM44:AM45)</f>
        <v>0.13500023806309738</v>
      </c>
      <c r="AL22" s="28">
        <f>SUM(Emissions!AN44:AN45)</f>
        <v>0.13541294823540054</v>
      </c>
      <c r="AM22" s="28">
        <f>SUM(Emissions!AO44:AO45)</f>
        <v>0.13586310463854917</v>
      </c>
      <c r="AN22" s="28">
        <f>SUM(Emissions!AP44:AP45)</f>
        <v>0.1363497441059256</v>
      </c>
      <c r="AO22" s="28">
        <f>SUM(Emissions!AQ44:AQ45)</f>
        <v>0.13687180909358876</v>
      </c>
      <c r="AP22" s="28">
        <f>SUM(Emissions!AR44:AR45)</f>
        <v>0.13720108894066554</v>
      </c>
      <c r="AQ22" s="28">
        <f>SUM(Emissions!AS44:AS45)</f>
        <v>0.13756030156973739</v>
      </c>
      <c r="AR22" s="28">
        <f>SUM(Emissions!AT44:AT45)</f>
        <v>0.13794816986825431</v>
      </c>
      <c r="AS22" s="28">
        <f>SUM(Emissions!AU44:AU45)</f>
        <v>0.13836517347026356</v>
      </c>
      <c r="AT22" s="28">
        <f>SUM(Emissions!AV44:AV45)</f>
        <v>0.13880614519366249</v>
      </c>
      <c r="AU22" s="28">
        <f>SUM(Emissions!AW44:AW45)</f>
        <v>0.13909634013333116</v>
      </c>
      <c r="AV22" s="28">
        <f>SUM(Emissions!AX44:AX45)</f>
        <v>0.13940909600285797</v>
      </c>
      <c r="AW22" s="28">
        <f>SUM(Emissions!AY44:AY45)</f>
        <v>0.13974328025059307</v>
      </c>
      <c r="AX22" s="28">
        <f>SUM(Emissions!AZ44:AZ45)</f>
        <v>0.14009783413024121</v>
      </c>
      <c r="AY22" s="28">
        <f>SUM(Emissions!BA44:BA45)</f>
        <v>0.14046792163239138</v>
      </c>
      <c r="AZ22" s="28">
        <f>SUM(Emissions!BB44:BB45)</f>
        <v>0.14068970236303283</v>
      </c>
      <c r="BA22" s="28">
        <f>SUM(Emissions!BC44:BC45)</f>
        <v>0.14093080684497494</v>
      </c>
      <c r="BB22" s="28">
        <f>SUM(Emissions!BD44:BD45)</f>
        <v>0.14118975229629652</v>
      </c>
      <c r="BC22" s="28">
        <f>SUM(Emissions!BE44:BE45)</f>
        <v>0.1414629478844272</v>
      </c>
      <c r="BD22" s="28">
        <f>SUM(Emissions!BF44:BF45)</f>
        <v>0.14175145272880812</v>
      </c>
      <c r="BE22" s="28">
        <f>SUM(Emissions!BG44:BG45)</f>
        <v>0.14190084217623566</v>
      </c>
      <c r="BF22" s="28">
        <f>SUM(Emissions!BH44:BH45)</f>
        <v>0.1420656576753013</v>
      </c>
      <c r="BG22" s="28">
        <f>SUM(Emissions!BI44:BI45)</f>
        <v>0.14224595102145024</v>
      </c>
      <c r="BH22" s="28">
        <f>SUM(Emissions!BJ44:BJ45)</f>
        <v>0.1424410436860187</v>
      </c>
      <c r="BI22" s="28">
        <f>SUM(Emissions!BK44:BK45)</f>
        <v>0.14265166326546885</v>
      </c>
      <c r="BJ22" s="28">
        <f>SUM(Emissions!BL44:BL45)</f>
        <v>0.14272167508586342</v>
      </c>
      <c r="BK22" s="28">
        <f>SUM(Emissions!BM44:BM45)</f>
        <v>0.1428050673892714</v>
      </c>
      <c r="BL22" s="28">
        <f>SUM(Emissions!BN44:BN45)</f>
        <v>0.14289853416901752</v>
      </c>
      <c r="BM22" s="28">
        <f>SUM(Emissions!BO44:BO45)</f>
        <v>0.14300488168371764</v>
      </c>
      <c r="BN22" s="28">
        <f>SUM(Emissions!BP44:BP45)</f>
        <v>0.14312449986180295</v>
      </c>
    </row>
    <row r="23" spans="1:66" x14ac:dyDescent="0.25">
      <c r="A23" t="str">
        <f t="shared" si="2"/>
        <v>3A Livestock</v>
      </c>
      <c r="B23" t="str">
        <f t="shared" si="14"/>
        <v>3A2 Manure management (N2O)</v>
      </c>
      <c r="C23" t="str">
        <f t="shared" si="13"/>
        <v>3A2f Horses</v>
      </c>
      <c r="D23" t="str">
        <f t="shared" si="15"/>
        <v>N2O</v>
      </c>
      <c r="E23" t="str">
        <f t="shared" si="16"/>
        <v>Gg N2O</v>
      </c>
      <c r="F23" s="28" t="str">
        <f>Emissions!H46</f>
        <v>NO</v>
      </c>
      <c r="G23" s="28" t="str">
        <f>Emissions!I46</f>
        <v>NO</v>
      </c>
      <c r="H23" s="28" t="str">
        <f>Emissions!J46</f>
        <v>NO</v>
      </c>
      <c r="I23" s="28" t="str">
        <f>Emissions!K46</f>
        <v>NO</v>
      </c>
      <c r="J23" s="28" t="str">
        <f>Emissions!L46</f>
        <v>NO</v>
      </c>
      <c r="K23" s="28" t="str">
        <f>Emissions!M46</f>
        <v>NO</v>
      </c>
      <c r="L23" s="28" t="str">
        <f>Emissions!N46</f>
        <v>NO</v>
      </c>
      <c r="M23" s="28" t="str">
        <f>Emissions!O46</f>
        <v>NO</v>
      </c>
      <c r="N23" s="28" t="str">
        <f>Emissions!P46</f>
        <v>NO</v>
      </c>
      <c r="O23" s="28" t="str">
        <f>Emissions!Q46</f>
        <v>NO</v>
      </c>
      <c r="P23" s="28" t="str">
        <f>Emissions!R46</f>
        <v>NO</v>
      </c>
      <c r="Q23" s="28" t="str">
        <f>Emissions!S46</f>
        <v>NO</v>
      </c>
      <c r="R23" s="28" t="str">
        <f>Emissions!T46</f>
        <v>NO</v>
      </c>
      <c r="S23" s="28" t="str">
        <f>Emissions!U46</f>
        <v>NO</v>
      </c>
      <c r="T23" s="28" t="str">
        <f>Emissions!V46</f>
        <v>NO</v>
      </c>
      <c r="U23" s="28" t="str">
        <f>Emissions!W46</f>
        <v>NO</v>
      </c>
      <c r="V23" s="28" t="str">
        <f>Emissions!X46</f>
        <v>NO</v>
      </c>
      <c r="W23" s="28" t="str">
        <f>Emissions!Y46</f>
        <v>NO</v>
      </c>
      <c r="X23" s="28" t="str">
        <f>Emissions!Z46</f>
        <v>NO</v>
      </c>
      <c r="Y23" s="28" t="str">
        <f>Emissions!AA46</f>
        <v>NO</v>
      </c>
      <c r="Z23" s="28" t="str">
        <f>Emissions!AB46</f>
        <v>NO</v>
      </c>
      <c r="AA23" s="28" t="str">
        <f>Emissions!AC46</f>
        <v>NO</v>
      </c>
      <c r="AB23" s="28" t="str">
        <f>Emissions!AD46</f>
        <v>NO</v>
      </c>
      <c r="AC23" s="28" t="str">
        <f>Emissions!AE46</f>
        <v>NO</v>
      </c>
      <c r="AD23" s="28" t="str">
        <f>Emissions!AF46</f>
        <v>NO</v>
      </c>
      <c r="AE23" s="28" t="str">
        <f>Emissions!AG46</f>
        <v>NO</v>
      </c>
      <c r="AF23" s="28" t="str">
        <f>Emissions!AH46</f>
        <v>NO</v>
      </c>
      <c r="AG23" s="28" t="str">
        <f>Emissions!AI46</f>
        <v>NO</v>
      </c>
      <c r="AH23" s="28" t="str">
        <f>Emissions!AJ46</f>
        <v>NO</v>
      </c>
      <c r="AI23" s="28" t="str">
        <f>Emissions!AK46</f>
        <v>NO</v>
      </c>
      <c r="AJ23" s="28" t="str">
        <f>Emissions!AL46</f>
        <v>NO</v>
      </c>
      <c r="AK23" s="28" t="str">
        <f>Emissions!AM46</f>
        <v>NO</v>
      </c>
      <c r="AL23" s="28" t="str">
        <f>Emissions!AN46</f>
        <v>NO</v>
      </c>
      <c r="AM23" s="28" t="str">
        <f>Emissions!AO46</f>
        <v>NO</v>
      </c>
      <c r="AN23" s="28" t="str">
        <f>Emissions!AP46</f>
        <v>NO</v>
      </c>
      <c r="AO23" s="28" t="str">
        <f>Emissions!AQ46</f>
        <v>NO</v>
      </c>
      <c r="AP23" s="28" t="str">
        <f>Emissions!AR46</f>
        <v>NO</v>
      </c>
      <c r="AQ23" s="28" t="str">
        <f>Emissions!AS46</f>
        <v>NO</v>
      </c>
      <c r="AR23" s="28" t="str">
        <f>Emissions!AT46</f>
        <v>NO</v>
      </c>
      <c r="AS23" s="28" t="str">
        <f>Emissions!AU46</f>
        <v>NO</v>
      </c>
      <c r="AT23" s="28" t="str">
        <f>Emissions!AV46</f>
        <v>NO</v>
      </c>
      <c r="AU23" s="28" t="str">
        <f>Emissions!AW46</f>
        <v>NO</v>
      </c>
      <c r="AV23" s="28" t="str">
        <f>Emissions!AX46</f>
        <v>NO</v>
      </c>
      <c r="AW23" s="28" t="str">
        <f>Emissions!AY46</f>
        <v>NO</v>
      </c>
      <c r="AX23" s="28" t="str">
        <f>Emissions!AZ46</f>
        <v>NO</v>
      </c>
      <c r="AY23" s="28" t="str">
        <f>Emissions!BA46</f>
        <v>NO</v>
      </c>
      <c r="AZ23" s="28" t="str">
        <f>Emissions!BB46</f>
        <v>NO</v>
      </c>
      <c r="BA23" s="28" t="str">
        <f>Emissions!BC46</f>
        <v>NO</v>
      </c>
      <c r="BB23" s="28" t="str">
        <f>Emissions!BD46</f>
        <v>NO</v>
      </c>
      <c r="BC23" s="28" t="str">
        <f>Emissions!BE46</f>
        <v>NO</v>
      </c>
      <c r="BD23" s="28" t="str">
        <f>Emissions!BF46</f>
        <v>NO</v>
      </c>
      <c r="BE23" s="28" t="str">
        <f>Emissions!BG46</f>
        <v>NO</v>
      </c>
      <c r="BF23" s="28" t="str">
        <f>Emissions!BH46</f>
        <v>NO</v>
      </c>
      <c r="BG23" s="28" t="str">
        <f>Emissions!BI46</f>
        <v>NO</v>
      </c>
      <c r="BH23" s="28" t="str">
        <f>Emissions!BJ46</f>
        <v>NO</v>
      </c>
      <c r="BI23" s="28" t="str">
        <f>Emissions!BK46</f>
        <v>NO</v>
      </c>
      <c r="BJ23" s="28" t="str">
        <f>Emissions!BL46</f>
        <v>NO</v>
      </c>
      <c r="BK23" s="28" t="str">
        <f>Emissions!BM46</f>
        <v>NO</v>
      </c>
      <c r="BL23" s="28" t="str">
        <f>Emissions!BN46</f>
        <v>NO</v>
      </c>
      <c r="BM23" s="28" t="str">
        <f>Emissions!BO46</f>
        <v>NO</v>
      </c>
      <c r="BN23" s="28" t="str">
        <f>Emissions!BP46</f>
        <v>NO</v>
      </c>
    </row>
    <row r="24" spans="1:66" x14ac:dyDescent="0.25">
      <c r="A24" t="str">
        <f t="shared" si="2"/>
        <v>3A Livestock</v>
      </c>
      <c r="B24" t="str">
        <f t="shared" si="14"/>
        <v>3A2 Manure management (N2O)</v>
      </c>
      <c r="C24" t="str">
        <f t="shared" si="13"/>
        <v>3A2g Mules &amp; asses</v>
      </c>
      <c r="D24" t="str">
        <f t="shared" si="15"/>
        <v>N2O</v>
      </c>
      <c r="E24" t="str">
        <f t="shared" si="16"/>
        <v>Gg N2O</v>
      </c>
      <c r="F24" s="28" t="str">
        <f>Emissions!H47</f>
        <v>NO</v>
      </c>
      <c r="G24" s="28" t="str">
        <f>Emissions!I47</f>
        <v>NO</v>
      </c>
      <c r="H24" s="28" t="str">
        <f>Emissions!J47</f>
        <v>NO</v>
      </c>
      <c r="I24" s="28" t="str">
        <f>Emissions!K47</f>
        <v>NO</v>
      </c>
      <c r="J24" s="28" t="str">
        <f>Emissions!L47</f>
        <v>NO</v>
      </c>
      <c r="K24" s="28" t="str">
        <f>Emissions!M47</f>
        <v>NO</v>
      </c>
      <c r="L24" s="28" t="str">
        <f>Emissions!N47</f>
        <v>NO</v>
      </c>
      <c r="M24" s="28" t="str">
        <f>Emissions!O47</f>
        <v>NO</v>
      </c>
      <c r="N24" s="28" t="str">
        <f>Emissions!P47</f>
        <v>NO</v>
      </c>
      <c r="O24" s="28" t="str">
        <f>Emissions!Q47</f>
        <v>NO</v>
      </c>
      <c r="P24" s="28" t="str">
        <f>Emissions!R47</f>
        <v>NO</v>
      </c>
      <c r="Q24" s="28" t="str">
        <f>Emissions!S47</f>
        <v>NO</v>
      </c>
      <c r="R24" s="28" t="str">
        <f>Emissions!T47</f>
        <v>NO</v>
      </c>
      <c r="S24" s="28" t="str">
        <f>Emissions!U47</f>
        <v>NO</v>
      </c>
      <c r="T24" s="28" t="str">
        <f>Emissions!V47</f>
        <v>NO</v>
      </c>
      <c r="U24" s="28" t="str">
        <f>Emissions!W47</f>
        <v>NO</v>
      </c>
      <c r="V24" s="28" t="str">
        <f>Emissions!X47</f>
        <v>NO</v>
      </c>
      <c r="W24" s="28" t="str">
        <f>Emissions!Y47</f>
        <v>NO</v>
      </c>
      <c r="X24" s="28" t="str">
        <f>Emissions!Z47</f>
        <v>NO</v>
      </c>
      <c r="Y24" s="28" t="str">
        <f>Emissions!AA47</f>
        <v>NO</v>
      </c>
      <c r="Z24" s="28" t="str">
        <f>Emissions!AB47</f>
        <v>NO</v>
      </c>
      <c r="AA24" s="28" t="str">
        <f>Emissions!AC47</f>
        <v>NO</v>
      </c>
      <c r="AB24" s="28" t="str">
        <f>Emissions!AD47</f>
        <v>NO</v>
      </c>
      <c r="AC24" s="28" t="str">
        <f>Emissions!AE47</f>
        <v>NO</v>
      </c>
      <c r="AD24" s="28" t="str">
        <f>Emissions!AF47</f>
        <v>NO</v>
      </c>
      <c r="AE24" s="28" t="str">
        <f>Emissions!AG47</f>
        <v>NO</v>
      </c>
      <c r="AF24" s="28" t="str">
        <f>Emissions!AH47</f>
        <v>NO</v>
      </c>
      <c r="AG24" s="28" t="str">
        <f>Emissions!AI47</f>
        <v>NO</v>
      </c>
      <c r="AH24" s="28" t="str">
        <f>Emissions!AJ47</f>
        <v>NO</v>
      </c>
      <c r="AI24" s="28" t="str">
        <f>Emissions!AK47</f>
        <v>NO</v>
      </c>
      <c r="AJ24" s="28" t="str">
        <f>Emissions!AL47</f>
        <v>NO</v>
      </c>
      <c r="AK24" s="28" t="str">
        <f>Emissions!AM47</f>
        <v>NO</v>
      </c>
      <c r="AL24" s="28" t="str">
        <f>Emissions!AN47</f>
        <v>NO</v>
      </c>
      <c r="AM24" s="28" t="str">
        <f>Emissions!AO47</f>
        <v>NO</v>
      </c>
      <c r="AN24" s="28" t="str">
        <f>Emissions!AP47</f>
        <v>NO</v>
      </c>
      <c r="AO24" s="28" t="str">
        <f>Emissions!AQ47</f>
        <v>NO</v>
      </c>
      <c r="AP24" s="28" t="str">
        <f>Emissions!AR47</f>
        <v>NO</v>
      </c>
      <c r="AQ24" s="28" t="str">
        <f>Emissions!AS47</f>
        <v>NO</v>
      </c>
      <c r="AR24" s="28" t="str">
        <f>Emissions!AT47</f>
        <v>NO</v>
      </c>
      <c r="AS24" s="28" t="str">
        <f>Emissions!AU47</f>
        <v>NO</v>
      </c>
      <c r="AT24" s="28" t="str">
        <f>Emissions!AV47</f>
        <v>NO</v>
      </c>
      <c r="AU24" s="28" t="str">
        <f>Emissions!AW47</f>
        <v>NO</v>
      </c>
      <c r="AV24" s="28" t="str">
        <f>Emissions!AX47</f>
        <v>NO</v>
      </c>
      <c r="AW24" s="28" t="str">
        <f>Emissions!AY47</f>
        <v>NO</v>
      </c>
      <c r="AX24" s="28" t="str">
        <f>Emissions!AZ47</f>
        <v>NO</v>
      </c>
      <c r="AY24" s="28" t="str">
        <f>Emissions!BA47</f>
        <v>NO</v>
      </c>
      <c r="AZ24" s="28" t="str">
        <f>Emissions!BB47</f>
        <v>NO</v>
      </c>
      <c r="BA24" s="28" t="str">
        <f>Emissions!BC47</f>
        <v>NO</v>
      </c>
      <c r="BB24" s="28" t="str">
        <f>Emissions!BD47</f>
        <v>NO</v>
      </c>
      <c r="BC24" s="28" t="str">
        <f>Emissions!BE47</f>
        <v>NO</v>
      </c>
      <c r="BD24" s="28" t="str">
        <f>Emissions!BF47</f>
        <v>NO</v>
      </c>
      <c r="BE24" s="28" t="str">
        <f>Emissions!BG47</f>
        <v>NO</v>
      </c>
      <c r="BF24" s="28" t="str">
        <f>Emissions!BH47</f>
        <v>NO</v>
      </c>
      <c r="BG24" s="28" t="str">
        <f>Emissions!BI47</f>
        <v>NO</v>
      </c>
      <c r="BH24" s="28" t="str">
        <f>Emissions!BJ47</f>
        <v>NO</v>
      </c>
      <c r="BI24" s="28" t="str">
        <f>Emissions!BK47</f>
        <v>NO</v>
      </c>
      <c r="BJ24" s="28" t="str">
        <f>Emissions!BL47</f>
        <v>NO</v>
      </c>
      <c r="BK24" s="28" t="str">
        <f>Emissions!BM47</f>
        <v>NO</v>
      </c>
      <c r="BL24" s="28" t="str">
        <f>Emissions!BN47</f>
        <v>NO</v>
      </c>
      <c r="BM24" s="28" t="str">
        <f>Emissions!BO47</f>
        <v>NO</v>
      </c>
      <c r="BN24" s="28" t="str">
        <f>Emissions!BP47</f>
        <v>NO</v>
      </c>
    </row>
    <row r="25" spans="1:66" x14ac:dyDescent="0.25">
      <c r="A25" t="str">
        <f t="shared" si="2"/>
        <v>3A Livestock</v>
      </c>
      <c r="B25" t="str">
        <f t="shared" si="14"/>
        <v>3A2 Manure management (N2O)</v>
      </c>
      <c r="C25" t="str">
        <f t="shared" si="13"/>
        <v>3A2h Swine</v>
      </c>
      <c r="D25" t="str">
        <f t="shared" si="15"/>
        <v>N2O</v>
      </c>
      <c r="E25" t="str">
        <f t="shared" si="16"/>
        <v>Gg N2O</v>
      </c>
      <c r="F25" s="28">
        <f>SUM(Emissions!H48:H49)</f>
        <v>0.12329867623327949</v>
      </c>
      <c r="G25" s="28">
        <f>SUM(Emissions!I48:I49)</f>
        <v>0.13470623092415376</v>
      </c>
      <c r="H25" s="28">
        <f>SUM(Emissions!J48:J49)</f>
        <v>0.13381627984897917</v>
      </c>
      <c r="I25" s="28">
        <f>SUM(Emissions!K48:K49)</f>
        <v>0.13373537520578149</v>
      </c>
      <c r="J25" s="28">
        <f>SUM(Emissions!L48:L49)</f>
        <v>0.12702028982037319</v>
      </c>
      <c r="K25" s="28">
        <f>SUM(Emissions!M48:M49)</f>
        <v>0.12823385946833857</v>
      </c>
      <c r="L25" s="28">
        <f>SUM(Emissions!N48:N49)</f>
        <v>0.13810422593845673</v>
      </c>
      <c r="M25" s="28">
        <f>SUM(Emissions!O48:O49)</f>
        <v>0.13745698879287524</v>
      </c>
      <c r="N25" s="28">
        <f>SUM(Emissions!P48:P49)</f>
        <v>0.14045046059118976</v>
      </c>
      <c r="O25" s="28">
        <f>SUM(Emissions!Q48:Q49)</f>
        <v>0.14401026489188812</v>
      </c>
      <c r="P25" s="28">
        <f>SUM(Emissions!R48:R49)</f>
        <v>0.13324994734659534</v>
      </c>
      <c r="Q25" s="28">
        <f>SUM(Emissions!S48:S49)</f>
        <v>0.13575799128572374</v>
      </c>
      <c r="R25" s="28">
        <f>SUM(Emissions!T48:T49)</f>
        <v>0.1383469398680498</v>
      </c>
      <c r="S25" s="28">
        <f>SUM(Emissions!U48:U49)</f>
        <v>0.1345444216377584</v>
      </c>
      <c r="T25" s="28">
        <f>SUM(Emissions!V48:V49)</f>
        <v>0.1345444216377584</v>
      </c>
      <c r="U25" s="28">
        <f>SUM(Emissions!W48:W49)</f>
        <v>0.1335735659193861</v>
      </c>
      <c r="V25" s="28">
        <f>SUM(Emissions!X48:X49)</f>
        <v>0.13122733126665309</v>
      </c>
      <c r="W25" s="28">
        <f>SUM(Emissions!Y48:Y49)</f>
        <v>0.1335735659193861</v>
      </c>
      <c r="X25" s="28">
        <f>SUM(Emissions!Z48:Z49)</f>
        <v>0.13066099876426929</v>
      </c>
      <c r="Y25" s="28">
        <f>SUM(Emissions!AA48:AA49)</f>
        <v>0.13049918947787389</v>
      </c>
      <c r="Z25" s="28">
        <f>SUM(Emissions!AB48:AB49)</f>
        <v>0.12896200125711779</v>
      </c>
      <c r="AA25" s="28">
        <f>SUM(Emissions!AC48:AC49)</f>
        <v>0.12815295482514089</v>
      </c>
      <c r="AB25" s="28">
        <f>SUM(Emissions!AD48:AD49)</f>
        <v>0.1356319193591361</v>
      </c>
      <c r="AC25" s="28">
        <f>SUM(Emissions!AE48:AE49)</f>
        <v>0.13562170973853305</v>
      </c>
      <c r="AD25" s="28">
        <f>SUM(Emissions!AF48:AF49)</f>
        <v>0.13468466600838686</v>
      </c>
      <c r="AE25" s="28">
        <f>SUM(Emissions!AG48:AG49)</f>
        <v>0.13309570210113986</v>
      </c>
      <c r="AF25" s="28">
        <f>SUM(Emissions!AH48:AH49)</f>
        <v>0.13084166473054235</v>
      </c>
      <c r="AG25" s="28">
        <f>SUM(Emissions!AI48:AI49)</f>
        <v>0.12962049563212458</v>
      </c>
      <c r="AH25" s="28">
        <f>SUM(Emissions!AJ48:AJ49)</f>
        <v>0.12826772955353868</v>
      </c>
      <c r="AI25" s="28">
        <f>SUM(Emissions!AK48:AK49)</f>
        <v>0.12690648827548809</v>
      </c>
      <c r="AJ25" s="28">
        <f>SUM(Emissions!AL48:AL49)</f>
        <v>0.11153768735368733</v>
      </c>
      <c r="AK25" s="28">
        <f>SUM(Emissions!AM48:AM49)</f>
        <v>0.11246024712504915</v>
      </c>
      <c r="AL25" s="28">
        <f>SUM(Emissions!AN48:AN49)</f>
        <v>0.11318572752378378</v>
      </c>
      <c r="AM25" s="28">
        <f>SUM(Emissions!AO48:AO49)</f>
        <v>0.11395736997260261</v>
      </c>
      <c r="AN25" s="28">
        <f>SUM(Emissions!AP48:AP49)</f>
        <v>0.1149400846593895</v>
      </c>
      <c r="AO25" s="28">
        <f>SUM(Emissions!AQ48:AQ49)</f>
        <v>0.11624120691406989</v>
      </c>
      <c r="AP25" s="28">
        <f>SUM(Emissions!AR48:AR49)</f>
        <v>0.11766946542587683</v>
      </c>
      <c r="AQ25" s="28">
        <f>SUM(Emissions!AS48:AS49)</f>
        <v>0.11928027442132641</v>
      </c>
      <c r="AR25" s="28">
        <f>SUM(Emissions!AT48:AT49)</f>
        <v>0.12109014586457012</v>
      </c>
      <c r="AS25" s="28">
        <f>SUM(Emissions!AU48:AU49)</f>
        <v>0.12332558633747988</v>
      </c>
      <c r="AT25" s="28">
        <f>SUM(Emissions!AV48:AV49)</f>
        <v>0.12545152604523716</v>
      </c>
      <c r="AU25" s="28">
        <f>SUM(Emissions!AW48:AW49)</f>
        <v>0.12824431947744641</v>
      </c>
      <c r="AV25" s="28">
        <f>SUM(Emissions!AX48:AX49)</f>
        <v>0.13111165867184801</v>
      </c>
      <c r="AW25" s="28">
        <f>SUM(Emissions!AY48:AY49)</f>
        <v>0.13402651575640628</v>
      </c>
      <c r="AX25" s="28">
        <f>SUM(Emissions!AZ48:AZ49)</f>
        <v>0.13696177778715604</v>
      </c>
      <c r="AY25" s="28">
        <f>SUM(Emissions!BA48:BA49)</f>
        <v>0.13942415193186097</v>
      </c>
      <c r="AZ25" s="28">
        <f>SUM(Emissions!BB48:BB49)</f>
        <v>0.14202144543746448</v>
      </c>
      <c r="BA25" s="28">
        <f>SUM(Emissions!BC48:BC49)</f>
        <v>0.14485633738882547</v>
      </c>
      <c r="BB25" s="28">
        <f>SUM(Emissions!BD48:BD49)</f>
        <v>0.14782253797786016</v>
      </c>
      <c r="BC25" s="28">
        <f>SUM(Emissions!BE48:BE49)</f>
        <v>0.15057040968182173</v>
      </c>
      <c r="BD25" s="28">
        <f>SUM(Emissions!BF48:BF49)</f>
        <v>0.15329118762139773</v>
      </c>
      <c r="BE25" s="28">
        <f>SUM(Emissions!BG48:BG49)</f>
        <v>0.15611569730265257</v>
      </c>
      <c r="BF25" s="28">
        <f>SUM(Emissions!BH48:BH49)</f>
        <v>0.15908038150296711</v>
      </c>
      <c r="BG25" s="28">
        <f>SUM(Emissions!BI48:BI49)</f>
        <v>0.16223694246505063</v>
      </c>
      <c r="BH25" s="28">
        <f>SUM(Emissions!BJ48:BJ49)</f>
        <v>0.16555173088560232</v>
      </c>
      <c r="BI25" s="28">
        <f>SUM(Emissions!BK48:BK49)</f>
        <v>0.16913863089820746</v>
      </c>
      <c r="BJ25" s="28">
        <f>SUM(Emissions!BL48:BL49)</f>
        <v>0.17293709870285984</v>
      </c>
      <c r="BK25" s="28">
        <f>SUM(Emissions!BM48:BM49)</f>
        <v>0.17686258125668494</v>
      </c>
      <c r="BL25" s="28">
        <f>SUM(Emissions!BN48:BN49)</f>
        <v>0.18060831125408977</v>
      </c>
      <c r="BM25" s="28">
        <f>SUM(Emissions!BO48:BO49)</f>
        <v>0.18449681785782293</v>
      </c>
      <c r="BN25" s="28">
        <f>SUM(Emissions!BP48:BP49)</f>
        <v>0.18859108056970689</v>
      </c>
    </row>
    <row r="26" spans="1:66" x14ac:dyDescent="0.25">
      <c r="A26" t="str">
        <f t="shared" si="2"/>
        <v>3A Livestock</v>
      </c>
      <c r="B26" t="str">
        <f t="shared" si="14"/>
        <v>3A2 Manure management (N2O)</v>
      </c>
      <c r="C26" t="str">
        <f t="shared" si="13"/>
        <v>3A2i Poultry</v>
      </c>
      <c r="D26" t="str">
        <f t="shared" si="15"/>
        <v>N2O</v>
      </c>
      <c r="E26" t="str">
        <f t="shared" si="16"/>
        <v>Gg N2O</v>
      </c>
      <c r="F26" s="28">
        <f>SUM(Emissions!H50:H53)</f>
        <v>0.97142643116498173</v>
      </c>
      <c r="G26" s="28">
        <f>SUM(Emissions!I50:I53)</f>
        <v>0.91979947773956539</v>
      </c>
      <c r="H26" s="28">
        <f>SUM(Emissions!J50:J53)</f>
        <v>0.86996640861962027</v>
      </c>
      <c r="I26" s="28">
        <f>SUM(Emissions!K50:K53)</f>
        <v>0.95105089689588118</v>
      </c>
      <c r="J26" s="28">
        <f>SUM(Emissions!L50:L53)</f>
        <v>0.93558760332506563</v>
      </c>
      <c r="K26" s="28">
        <f>SUM(Emissions!M50:M53)</f>
        <v>1.0610980244624493</v>
      </c>
      <c r="L26" s="28">
        <f>SUM(Emissions!N50:N53)</f>
        <v>1.2124779056940209</v>
      </c>
      <c r="M26" s="28">
        <f>SUM(Emissions!O50:O53)</f>
        <v>1.2310774331909755</v>
      </c>
      <c r="N26" s="28">
        <f>SUM(Emissions!P50:P53)</f>
        <v>1.3553349187397734</v>
      </c>
      <c r="O26" s="28">
        <f>SUM(Emissions!Q50:Q53)</f>
        <v>1.4216688462228295</v>
      </c>
      <c r="P26" s="28">
        <f>SUM(Emissions!R50:R53)</f>
        <v>1.5047428388913393</v>
      </c>
      <c r="Q26" s="28">
        <f>SUM(Emissions!S50:S53)</f>
        <v>1.4682944579243469</v>
      </c>
      <c r="R26" s="28">
        <f>SUM(Emissions!T50:T53)</f>
        <v>1.5974517753633082</v>
      </c>
      <c r="S26" s="28">
        <f>SUM(Emissions!U50:U53)</f>
        <v>1.5216968274171625</v>
      </c>
      <c r="T26" s="28">
        <f>SUM(Emissions!V50:V53)</f>
        <v>1.561402779749649</v>
      </c>
      <c r="U26" s="28">
        <f>SUM(Emissions!W50:W53)</f>
        <v>1.715924170745724</v>
      </c>
      <c r="V26" s="28">
        <f>SUM(Emissions!X50:X53)</f>
        <v>1.8445047156055465</v>
      </c>
      <c r="W26" s="28">
        <f>SUM(Emissions!Y50:Y53)</f>
        <v>1.9478096113399568</v>
      </c>
      <c r="X26" s="28">
        <f>SUM(Emissions!Z50:Z53)</f>
        <v>2.0569289282113736</v>
      </c>
      <c r="Y26" s="28">
        <f>SUM(Emissions!AA50:AA53)</f>
        <v>1.9474443632124327</v>
      </c>
      <c r="Z26" s="28">
        <f>SUM(Emissions!AB50:AB53)</f>
        <v>2.0008545268528479</v>
      </c>
      <c r="AA26" s="28">
        <f>SUM(Emissions!AC50:AC53)</f>
        <v>2.0733749858055939</v>
      </c>
      <c r="AB26" s="28">
        <f>SUM(Emissions!AD50:AD53)</f>
        <v>2.1150849586845268</v>
      </c>
      <c r="AC26" s="28">
        <f>SUM(Emissions!AE50:AE53)</f>
        <v>2.1604772859343337</v>
      </c>
      <c r="AD26" s="28">
        <f>SUM(Emissions!AF50:AF53)</f>
        <v>2.1853342424643807</v>
      </c>
      <c r="AE26" s="28">
        <f>SUM(Emissions!AG50:AG53)</f>
        <v>2.1947593661481322</v>
      </c>
      <c r="AF26" s="28">
        <f>SUM(Emissions!AH50:AH53)</f>
        <v>2.1879406753364132</v>
      </c>
      <c r="AG26" s="28">
        <f>SUM(Emissions!AI50:AI53)</f>
        <v>2.2017875661902608</v>
      </c>
      <c r="AH26" s="28">
        <f>SUM(Emissions!AJ50:AJ53)</f>
        <v>2.2115888787426754</v>
      </c>
      <c r="AI26" s="28">
        <f>SUM(Emissions!AK50:AK53)</f>
        <v>2.2200554737946887</v>
      </c>
      <c r="AJ26" s="28">
        <f>SUM(Emissions!AL50:AL53)</f>
        <v>1.9045724059434201</v>
      </c>
      <c r="AK26" s="28">
        <f>SUM(Emissions!AM50:AM53)</f>
        <v>1.9629375675381664</v>
      </c>
      <c r="AL26" s="28">
        <f>SUM(Emissions!AN50:AN53)</f>
        <v>2.017157547364647</v>
      </c>
      <c r="AM26" s="28">
        <f>SUM(Emissions!AO50:AO53)</f>
        <v>2.0729368841580342</v>
      </c>
      <c r="AN26" s="28">
        <f>SUM(Emissions!AP50:AP53)</f>
        <v>2.1343911237869682</v>
      </c>
      <c r="AO26" s="28">
        <f>SUM(Emissions!AQ50:AQ53)</f>
        <v>2.2044331306533422</v>
      </c>
      <c r="AP26" s="28">
        <f>SUM(Emissions!AR50:AR53)</f>
        <v>2.2798012987393026</v>
      </c>
      <c r="AQ26" s="28">
        <f>SUM(Emissions!AS50:AS53)</f>
        <v>2.3609213575943135</v>
      </c>
      <c r="AR26" s="28">
        <f>SUM(Emissions!AT50:AT53)</f>
        <v>2.4484557968058831</v>
      </c>
      <c r="AS26" s="28">
        <f>SUM(Emissions!AU50:AU53)</f>
        <v>2.5485711861977767</v>
      </c>
      <c r="AT26" s="28">
        <f>SUM(Emissions!AV50:AV53)</f>
        <v>2.6476212502432763</v>
      </c>
      <c r="AU26" s="28">
        <f>SUM(Emissions!AW50:AW53)</f>
        <v>2.7672589452584675</v>
      </c>
      <c r="AV26" s="28">
        <f>SUM(Emissions!AX50:AX53)</f>
        <v>2.8912633012585678</v>
      </c>
      <c r="AW26" s="28">
        <f>SUM(Emissions!AY50:AY53)</f>
        <v>3.0190375755866512</v>
      </c>
      <c r="AX26" s="28">
        <f>SUM(Emissions!AZ50:AZ53)</f>
        <v>3.149946628850484</v>
      </c>
      <c r="AY26" s="28">
        <f>SUM(Emissions!BA50:BA53)</f>
        <v>3.2701491582161486</v>
      </c>
      <c r="AZ26" s="28">
        <f>SUM(Emissions!BB50:BB53)</f>
        <v>3.3974257177401794</v>
      </c>
      <c r="BA26" s="28">
        <f>SUM(Emissions!BC50:BC53)</f>
        <v>3.534134988686354</v>
      </c>
      <c r="BB26" s="28">
        <f>SUM(Emissions!BD50:BD53)</f>
        <v>3.6775009844425517</v>
      </c>
      <c r="BC26" s="28">
        <f>SUM(Emissions!BE50:BE53)</f>
        <v>3.8173451035686092</v>
      </c>
      <c r="BD26" s="28">
        <f>SUM(Emissions!BF50:BF53)</f>
        <v>3.9592629995294604</v>
      </c>
      <c r="BE26" s="28">
        <f>SUM(Emissions!BG50:BG53)</f>
        <v>4.1080717241734961</v>
      </c>
      <c r="BF26" s="28">
        <f>SUM(Emissions!BH50:BH53)</f>
        <v>4.2643451409249993</v>
      </c>
      <c r="BG26" s="28">
        <f>SUM(Emissions!BI50:BI53)</f>
        <v>4.4299713766486661</v>
      </c>
      <c r="BH26" s="28">
        <f>SUM(Emissions!BJ50:BJ53)</f>
        <v>4.6042185874470363</v>
      </c>
      <c r="BI26" s="28">
        <f>SUM(Emissions!BK50:BK53)</f>
        <v>4.791065371599398</v>
      </c>
      <c r="BJ26" s="28">
        <f>SUM(Emissions!BL50:BL53)</f>
        <v>4.9897566535385431</v>
      </c>
      <c r="BK26" s="28">
        <f>SUM(Emissions!BM50:BM53)</f>
        <v>5.1971339846344273</v>
      </c>
      <c r="BL26" s="28">
        <f>SUM(Emissions!BN50:BN53)</f>
        <v>5.4032049337986443</v>
      </c>
      <c r="BM26" s="28">
        <f>SUM(Emissions!BO50:BO53)</f>
        <v>5.6188357136459279</v>
      </c>
      <c r="BN26" s="28">
        <f>SUM(Emissions!BP50:BP53)</f>
        <v>5.8465383404871583</v>
      </c>
    </row>
    <row r="27" spans="1:66" s="19" customFormat="1" ht="15.75" x14ac:dyDescent="0.25">
      <c r="A27" s="19" t="str">
        <f>'IPCC Categories'!A59</f>
        <v>3C Aggregated and non-CO2 emissions on land</v>
      </c>
      <c r="B27" s="19" t="str">
        <f>'IPCC Categories'!B59</f>
        <v>3C1 Biomass burning (CH4)</v>
      </c>
      <c r="C27" s="19" t="s">
        <v>148</v>
      </c>
      <c r="D27" s="19" t="s">
        <v>121</v>
      </c>
      <c r="E27" s="19" t="s">
        <v>286</v>
      </c>
      <c r="F27" s="49">
        <f>SUM(F28:F33)</f>
        <v>53.0453492171862</v>
      </c>
      <c r="G27" s="49">
        <f t="shared" ref="G27:BN27" si="17">SUM(G28:G33)</f>
        <v>53.0453492171862</v>
      </c>
      <c r="H27" s="49">
        <f t="shared" si="17"/>
        <v>53.0453492171862</v>
      </c>
      <c r="I27" s="49">
        <f t="shared" si="17"/>
        <v>53.0453492171862</v>
      </c>
      <c r="J27" s="49">
        <f t="shared" si="17"/>
        <v>53.0453492171862</v>
      </c>
      <c r="K27" s="49">
        <f t="shared" si="17"/>
        <v>53.0453492171862</v>
      </c>
      <c r="L27" s="49">
        <f t="shared" si="17"/>
        <v>53.0453492171862</v>
      </c>
      <c r="M27" s="49">
        <f t="shared" si="17"/>
        <v>53.0453492171862</v>
      </c>
      <c r="N27" s="49">
        <f t="shared" si="17"/>
        <v>53.0453492171862</v>
      </c>
      <c r="O27" s="49">
        <f t="shared" si="17"/>
        <v>53.0453492171862</v>
      </c>
      <c r="P27" s="49">
        <f t="shared" si="17"/>
        <v>52.546557109309774</v>
      </c>
      <c r="Q27" s="49">
        <f t="shared" si="17"/>
        <v>61.073892579993647</v>
      </c>
      <c r="R27" s="49">
        <f t="shared" si="17"/>
        <v>61.377028794942774</v>
      </c>
      <c r="S27" s="49">
        <f t="shared" si="17"/>
        <v>48.163551471837515</v>
      </c>
      <c r="T27" s="49">
        <f t="shared" si="17"/>
        <v>42.065716129847253</v>
      </c>
      <c r="U27" s="49">
        <f t="shared" si="17"/>
        <v>67.254014225099425</v>
      </c>
      <c r="V27" s="49">
        <f t="shared" si="17"/>
        <v>58.899233231775128</v>
      </c>
      <c r="W27" s="49">
        <f t="shared" si="17"/>
        <v>58.027482006018275</v>
      </c>
      <c r="X27" s="49">
        <f t="shared" si="17"/>
        <v>54.279261632604765</v>
      </c>
      <c r="Y27" s="49">
        <f t="shared" si="17"/>
        <v>51.374827411779322</v>
      </c>
      <c r="Z27" s="49">
        <f t="shared" si="17"/>
        <v>52.716909833999999</v>
      </c>
      <c r="AA27" s="49">
        <f t="shared" si="17"/>
        <v>52.066398634182001</v>
      </c>
      <c r="AB27" s="49">
        <f t="shared" si="17"/>
        <v>43.638049727653843</v>
      </c>
      <c r="AC27" s="49">
        <f t="shared" si="17"/>
        <v>45.605203762152264</v>
      </c>
      <c r="AD27" s="49">
        <f t="shared" si="17"/>
        <v>44.965256516650697</v>
      </c>
      <c r="AE27" s="49">
        <f t="shared" si="17"/>
        <v>44.370632311149102</v>
      </c>
      <c r="AF27" s="49">
        <f t="shared" si="17"/>
        <v>44.847337385647528</v>
      </c>
      <c r="AG27" s="49">
        <f t="shared" si="17"/>
        <v>45.270823420145945</v>
      </c>
      <c r="AH27" s="49">
        <f t="shared" si="17"/>
        <v>45.390629294644363</v>
      </c>
      <c r="AI27" s="49">
        <f t="shared" si="17"/>
        <v>45.56015529937843</v>
      </c>
      <c r="AJ27" s="49">
        <f t="shared" si="17"/>
        <v>45.729681304112475</v>
      </c>
      <c r="AK27" s="49">
        <f t="shared" si="17"/>
        <v>45.899207308846528</v>
      </c>
      <c r="AL27" s="49">
        <f t="shared" si="17"/>
        <v>46.068733313580573</v>
      </c>
      <c r="AM27" s="49">
        <f t="shared" si="17"/>
        <v>46.238259318314633</v>
      </c>
      <c r="AN27" s="49">
        <f t="shared" si="17"/>
        <v>46.407785323048678</v>
      </c>
      <c r="AO27" s="49">
        <f t="shared" si="17"/>
        <v>46.577311327782738</v>
      </c>
      <c r="AP27" s="49">
        <f t="shared" si="17"/>
        <v>46.74683733251679</v>
      </c>
      <c r="AQ27" s="49">
        <f t="shared" si="17"/>
        <v>46.916363337250836</v>
      </c>
      <c r="AR27" s="49">
        <f t="shared" si="17"/>
        <v>47.085889341984888</v>
      </c>
      <c r="AS27" s="49">
        <f t="shared" si="17"/>
        <v>47.255415346718941</v>
      </c>
      <c r="AT27" s="49">
        <f t="shared" si="17"/>
        <v>47.424941351453</v>
      </c>
      <c r="AU27" s="49">
        <f t="shared" si="17"/>
        <v>47.584388215769366</v>
      </c>
      <c r="AV27" s="49">
        <f t="shared" si="17"/>
        <v>47.743835080085738</v>
      </c>
      <c r="AW27" s="49">
        <f t="shared" si="17"/>
        <v>47.90328194440211</v>
      </c>
      <c r="AX27" s="49">
        <f t="shared" si="17"/>
        <v>48.062728808718475</v>
      </c>
      <c r="AY27" s="49">
        <f t="shared" si="17"/>
        <v>48.222175673034847</v>
      </c>
      <c r="AZ27" s="49">
        <f t="shared" si="17"/>
        <v>48.38162253735122</v>
      </c>
      <c r="BA27" s="49">
        <f t="shared" si="17"/>
        <v>48.541069401667592</v>
      </c>
      <c r="BB27" s="49">
        <f t="shared" si="17"/>
        <v>48.700516265983957</v>
      </c>
      <c r="BC27" s="49">
        <f t="shared" si="17"/>
        <v>48.846366490942629</v>
      </c>
      <c r="BD27" s="49">
        <f t="shared" si="17"/>
        <v>48.992216715901286</v>
      </c>
      <c r="BE27" s="49">
        <f t="shared" si="17"/>
        <v>49.138066940859957</v>
      </c>
      <c r="BF27" s="49">
        <f t="shared" si="17"/>
        <v>49.283917165818607</v>
      </c>
      <c r="BG27" s="49">
        <f t="shared" si="17"/>
        <v>49.429767390777279</v>
      </c>
      <c r="BH27" s="49">
        <f t="shared" si="17"/>
        <v>49.575617615735943</v>
      </c>
      <c r="BI27" s="49">
        <f t="shared" si="17"/>
        <v>49.721467840694608</v>
      </c>
      <c r="BJ27" s="49">
        <f t="shared" si="17"/>
        <v>49.867318065653272</v>
      </c>
      <c r="BK27" s="49">
        <f t="shared" si="17"/>
        <v>50.013168290611944</v>
      </c>
      <c r="BL27" s="49">
        <f t="shared" si="17"/>
        <v>50.159018515570601</v>
      </c>
      <c r="BM27" s="49">
        <f t="shared" si="17"/>
        <v>50.304868740529272</v>
      </c>
      <c r="BN27" s="49">
        <f t="shared" si="17"/>
        <v>50.45071896548793</v>
      </c>
    </row>
    <row r="28" spans="1:66" x14ac:dyDescent="0.25">
      <c r="A28" t="str">
        <f>'IPCC Categories'!A59</f>
        <v>3C Aggregated and non-CO2 emissions on land</v>
      </c>
      <c r="B28" t="str">
        <f>'IPCC Categories'!B59</f>
        <v>3C1 Biomass burning (CH4)</v>
      </c>
      <c r="C28" t="str">
        <f>'IPCC Categories'!C59</f>
        <v>3C1a Biomass burning in forest land</v>
      </c>
      <c r="D28" t="s">
        <v>121</v>
      </c>
      <c r="E28" t="s">
        <v>286</v>
      </c>
      <c r="F28" s="22">
        <f>SUMIF(Emissions!$C$54:$C$69,'Emissions summary'!$C28,Emissions!H$54:H$69)</f>
        <v>17.00038365344173</v>
      </c>
      <c r="G28" s="22">
        <f>SUMIF(Emissions!$C$54:$C$69,'Emissions summary'!$C28,Emissions!I$54:I$69)</f>
        <v>17.00038365344173</v>
      </c>
      <c r="H28" s="22">
        <f>SUMIF(Emissions!$C$54:$C$69,'Emissions summary'!$C28,Emissions!J$54:J$69)</f>
        <v>17.00038365344173</v>
      </c>
      <c r="I28" s="22">
        <f>SUMIF(Emissions!$C$54:$C$69,'Emissions summary'!$C28,Emissions!K$54:K$69)</f>
        <v>17.00038365344173</v>
      </c>
      <c r="J28" s="22">
        <f>SUMIF(Emissions!$C$54:$C$69,'Emissions summary'!$C28,Emissions!L$54:L$69)</f>
        <v>17.00038365344173</v>
      </c>
      <c r="K28" s="22">
        <f>SUMIF(Emissions!$C$54:$C$69,'Emissions summary'!$C28,Emissions!M$54:M$69)</f>
        <v>17.00038365344173</v>
      </c>
      <c r="L28" s="22">
        <f>SUMIF(Emissions!$C$54:$C$69,'Emissions summary'!$C28,Emissions!N$54:N$69)</f>
        <v>17.00038365344173</v>
      </c>
      <c r="M28" s="22">
        <f>SUMIF(Emissions!$C$54:$C$69,'Emissions summary'!$C28,Emissions!O$54:O$69)</f>
        <v>17.00038365344173</v>
      </c>
      <c r="N28" s="22">
        <f>SUMIF(Emissions!$C$54:$C$69,'Emissions summary'!$C28,Emissions!P$54:P$69)</f>
        <v>17.00038365344173</v>
      </c>
      <c r="O28" s="22">
        <f>SUMIF(Emissions!$C$54:$C$69,'Emissions summary'!$C28,Emissions!Q$54:Q$69)</f>
        <v>17.00038365344173</v>
      </c>
      <c r="P28" s="22">
        <f>SUMIF(Emissions!$C$54:$C$69,'Emissions summary'!$C28,Emissions!R$54:R$69)</f>
        <v>16.569822193461611</v>
      </c>
      <c r="Q28" s="22">
        <f>SUMIF(Emissions!$C$54:$C$69,'Emissions summary'!$C28,Emissions!S$54:S$69)</f>
        <v>21.58066748690964</v>
      </c>
      <c r="R28" s="22">
        <f>SUMIF(Emissions!$C$54:$C$69,'Emissions summary'!$C28,Emissions!T$54:T$69)</f>
        <v>18.378408970459198</v>
      </c>
      <c r="S28" s="22">
        <f>SUMIF(Emissions!$C$54:$C$69,'Emissions summary'!$C28,Emissions!U$54:U$69)</f>
        <v>14.650554917049229</v>
      </c>
      <c r="T28" s="22">
        <f>SUMIF(Emissions!$C$54:$C$69,'Emissions summary'!$C28,Emissions!V$54:V$69)</f>
        <v>13.82246469932897</v>
      </c>
      <c r="U28" s="22">
        <f>SUMIF(Emissions!$C$54:$C$69,'Emissions summary'!$C28,Emissions!W$54:W$69)</f>
        <v>21.599133953641967</v>
      </c>
      <c r="V28" s="22">
        <f>SUMIF(Emissions!$C$54:$C$69,'Emissions summary'!$C28,Emissions!X$54:X$69)</f>
        <v>17.797777704403263</v>
      </c>
      <c r="W28" s="22">
        <f>SUMIF(Emissions!$C$54:$C$69,'Emissions summary'!$C28,Emissions!Y$54:Y$69)</f>
        <v>21.680359355173707</v>
      </c>
      <c r="X28" s="22">
        <f>SUMIF(Emissions!$C$54:$C$69,'Emissions summary'!$C28,Emissions!Z$54:Z$69)</f>
        <v>20.332068235899591</v>
      </c>
      <c r="Y28" s="22">
        <f>SUMIF(Emissions!$C$54:$C$69,'Emissions summary'!$C28,Emissions!AA$54:AA$69)</f>
        <v>15.730541423024663</v>
      </c>
      <c r="Z28" s="22">
        <f>SUMIF(Emissions!$C$54:$C$69,'Emissions summary'!$C28,Emissions!AB$54:AB$69)</f>
        <v>16.81926023646</v>
      </c>
      <c r="AA28" s="22">
        <f>SUMIF(Emissions!$C$54:$C$69,'Emissions summary'!$C28,Emissions!AC$54:AC$69)</f>
        <v>16.168604044590001</v>
      </c>
      <c r="AB28" s="22">
        <f>SUMIF(Emissions!$C$54:$C$69,'Emissions summary'!$C28,Emissions!AD$54:AD$69)</f>
        <v>11.204575160010251</v>
      </c>
      <c r="AC28" s="22">
        <f>SUMIF(Emissions!$C$54:$C$69,'Emissions summary'!$C28,Emissions!AE$54:AE$69)</f>
        <v>13.05690518017699</v>
      </c>
      <c r="AD28" s="22">
        <f>SUMIF(Emissions!$C$54:$C$69,'Emissions summary'!$C28,Emissions!AF$54:AF$69)</f>
        <v>12.302133920343731</v>
      </c>
      <c r="AE28" s="22">
        <f>SUMIF(Emissions!$C$54:$C$69,'Emissions summary'!$C28,Emissions!AG$54:AG$69)</f>
        <v>11.592685700510469</v>
      </c>
      <c r="AF28" s="22">
        <f>SUMIF(Emissions!$C$54:$C$69,'Emissions summary'!$C28,Emissions!AH$54:AH$69)</f>
        <v>11.954566760677208</v>
      </c>
      <c r="AG28" s="22">
        <f>SUMIF(Emissions!$C$54:$C$69,'Emissions summary'!$C28,Emissions!AI$54:AI$69)</f>
        <v>12.263228780843946</v>
      </c>
      <c r="AH28" s="22">
        <f>SUMIF(Emissions!$C$54:$C$69,'Emissions summary'!$C28,Emissions!AJ$54:AJ$69)</f>
        <v>12.268210641010684</v>
      </c>
      <c r="AI28" s="22">
        <f>SUMIF(Emissions!$C$54:$C$69,'Emissions summary'!$C28,Emissions!AK$54:AK$69)</f>
        <v>12.23948849988569</v>
      </c>
      <c r="AJ28" s="22">
        <f>SUMIF(Emissions!$C$54:$C$69,'Emissions summary'!$C28,Emissions!AL$54:AL$69)</f>
        <v>12.210766358760694</v>
      </c>
      <c r="AK28" s="22">
        <f>SUMIF(Emissions!$C$54:$C$69,'Emissions summary'!$C28,Emissions!AM$54:AM$69)</f>
        <v>12.182044217635699</v>
      </c>
      <c r="AL28" s="22">
        <f>SUMIF(Emissions!$C$54:$C$69,'Emissions summary'!$C28,Emissions!AN$54:AN$69)</f>
        <v>12.153322076510703</v>
      </c>
      <c r="AM28" s="22">
        <f>SUMIF(Emissions!$C$54:$C$69,'Emissions summary'!$C28,Emissions!AO$54:AO$69)</f>
        <v>12.124599935385708</v>
      </c>
      <c r="AN28" s="22">
        <f>SUMIF(Emissions!$C$54:$C$69,'Emissions summary'!$C28,Emissions!AP$54:AP$69)</f>
        <v>12.095877794260716</v>
      </c>
      <c r="AO28" s="22">
        <f>SUMIF(Emissions!$C$54:$C$69,'Emissions summary'!$C28,Emissions!AQ$54:AQ$69)</f>
        <v>12.067155653135719</v>
      </c>
      <c r="AP28" s="22">
        <f>SUMIF(Emissions!$C$54:$C$69,'Emissions summary'!$C28,Emissions!AR$54:AR$69)</f>
        <v>12.038433512010723</v>
      </c>
      <c r="AQ28" s="22">
        <f>SUMIF(Emissions!$C$54:$C$69,'Emissions summary'!$C28,Emissions!AS$54:AS$69)</f>
        <v>12.009711370885729</v>
      </c>
      <c r="AR28" s="22">
        <f>SUMIF(Emissions!$C$54:$C$69,'Emissions summary'!$C28,Emissions!AT$54:AT$69)</f>
        <v>11.980989229760732</v>
      </c>
      <c r="AS28" s="22">
        <f>SUMIF(Emissions!$C$54:$C$69,'Emissions summary'!$C28,Emissions!AU$54:AU$69)</f>
        <v>11.952267088635738</v>
      </c>
      <c r="AT28" s="22">
        <f>SUMIF(Emissions!$C$54:$C$69,'Emissions summary'!$C28,Emissions!AV$54:AV$69)</f>
        <v>11.923544947510743</v>
      </c>
      <c r="AU28" s="22">
        <f>SUMIF(Emissions!$C$54:$C$69,'Emissions summary'!$C28,Emissions!AW$54:AW$69)</f>
        <v>11.881226167028043</v>
      </c>
      <c r="AV28" s="22">
        <f>SUMIF(Emissions!$C$54:$C$69,'Emissions summary'!$C28,Emissions!AX$54:AX$69)</f>
        <v>11.838907386545339</v>
      </c>
      <c r="AW28" s="22">
        <f>SUMIF(Emissions!$C$54:$C$69,'Emissions summary'!$C28,Emissions!AY$54:AY$69)</f>
        <v>11.796588606062636</v>
      </c>
      <c r="AX28" s="22">
        <f>SUMIF(Emissions!$C$54:$C$69,'Emissions summary'!$C28,Emissions!AZ$54:AZ$69)</f>
        <v>11.754269825579936</v>
      </c>
      <c r="AY28" s="22">
        <f>SUMIF(Emissions!$C$54:$C$69,'Emissions summary'!$C28,Emissions!BA$54:BA$69)</f>
        <v>11.711951045097234</v>
      </c>
      <c r="AZ28" s="22">
        <f>SUMIF(Emissions!$C$54:$C$69,'Emissions summary'!$C28,Emissions!BB$54:BB$69)</f>
        <v>11.669632264614533</v>
      </c>
      <c r="BA28" s="22">
        <f>SUMIF(Emissions!$C$54:$C$69,'Emissions summary'!$C28,Emissions!BC$54:BC$69)</f>
        <v>11.627313484131829</v>
      </c>
      <c r="BB28" s="22">
        <f>SUMIF(Emissions!$C$54:$C$69,'Emissions summary'!$C28,Emissions!BD$54:BD$69)</f>
        <v>11.584994703649127</v>
      </c>
      <c r="BC28" s="22">
        <f>SUMIF(Emissions!$C$54:$C$69,'Emissions summary'!$C28,Emissions!BE$54:BE$69)</f>
        <v>11.52907928380872</v>
      </c>
      <c r="BD28" s="22">
        <f>SUMIF(Emissions!$C$54:$C$69,'Emissions summary'!$C28,Emissions!BF$54:BF$69)</f>
        <v>11.473163863968312</v>
      </c>
      <c r="BE28" s="22">
        <f>SUMIF(Emissions!$C$54:$C$69,'Emissions summary'!$C28,Emissions!BG$54:BG$69)</f>
        <v>11.4172484441279</v>
      </c>
      <c r="BF28" s="22">
        <f>SUMIF(Emissions!$C$54:$C$69,'Emissions summary'!$C28,Emissions!BH$54:BH$69)</f>
        <v>11.361333024287493</v>
      </c>
      <c r="BG28" s="22">
        <f>SUMIF(Emissions!$C$54:$C$69,'Emissions summary'!$C28,Emissions!BI$54:BI$69)</f>
        <v>11.305417604447085</v>
      </c>
      <c r="BH28" s="22">
        <f>SUMIF(Emissions!$C$54:$C$69,'Emissions summary'!$C28,Emissions!BJ$54:BJ$69)</f>
        <v>11.249502184606676</v>
      </c>
      <c r="BI28" s="22">
        <f>SUMIF(Emissions!$C$54:$C$69,'Emissions summary'!$C28,Emissions!BK$54:BK$69)</f>
        <v>11.193586764766268</v>
      </c>
      <c r="BJ28" s="22">
        <f>SUMIF(Emissions!$C$54:$C$69,'Emissions summary'!$C28,Emissions!BL$54:BL$69)</f>
        <v>11.13767134492586</v>
      </c>
      <c r="BK28" s="22">
        <f>SUMIF(Emissions!$C$54:$C$69,'Emissions summary'!$C28,Emissions!BM$54:BM$69)</f>
        <v>11.081755925085453</v>
      </c>
      <c r="BL28" s="22">
        <f>SUMIF(Emissions!$C$54:$C$69,'Emissions summary'!$C28,Emissions!BN$54:BN$69)</f>
        <v>11.025840505245043</v>
      </c>
      <c r="BM28" s="22">
        <f>SUMIF(Emissions!$C$54:$C$69,'Emissions summary'!$C28,Emissions!BO$54:BO$69)</f>
        <v>10.969925085404636</v>
      </c>
      <c r="BN28" s="22">
        <f>SUMIF(Emissions!$C$54:$C$69,'Emissions summary'!$C28,Emissions!BP$54:BP$69)</f>
        <v>10.914009665564226</v>
      </c>
    </row>
    <row r="29" spans="1:66" x14ac:dyDescent="0.25">
      <c r="A29" t="str">
        <f>A28</f>
        <v>3C Aggregated and non-CO2 emissions on land</v>
      </c>
      <c r="B29" t="str">
        <f>B28</f>
        <v>3C1 Biomass burning (CH4)</v>
      </c>
      <c r="C29" t="str">
        <f>'IPCC Categories'!C60</f>
        <v>3C1b Biomass burning in Croplands</v>
      </c>
      <c r="D29" t="str">
        <f>D28</f>
        <v>CH4</v>
      </c>
      <c r="E29" t="str">
        <f>E28</f>
        <v>Gg CH4</v>
      </c>
      <c r="F29" s="22">
        <f>SUMIF(Emissions!$C$54:$C$69,'Emissions summary'!$C29,Emissions!H$54:H$69)</f>
        <v>10.116490581610325</v>
      </c>
      <c r="G29" s="22">
        <f>SUMIF(Emissions!$C$54:$C$69,'Emissions summary'!$C29,Emissions!I$54:I$69)</f>
        <v>10.116490581610325</v>
      </c>
      <c r="H29" s="22">
        <f>SUMIF(Emissions!$C$54:$C$69,'Emissions summary'!$C29,Emissions!J$54:J$69)</f>
        <v>10.116490581610325</v>
      </c>
      <c r="I29" s="22">
        <f>SUMIF(Emissions!$C$54:$C$69,'Emissions summary'!$C29,Emissions!K$54:K$69)</f>
        <v>10.116490581610325</v>
      </c>
      <c r="J29" s="22">
        <f>SUMIF(Emissions!$C$54:$C$69,'Emissions summary'!$C29,Emissions!L$54:L$69)</f>
        <v>10.116490581610325</v>
      </c>
      <c r="K29" s="22">
        <f>SUMIF(Emissions!$C$54:$C$69,'Emissions summary'!$C29,Emissions!M$54:M$69)</f>
        <v>10.116490581610325</v>
      </c>
      <c r="L29" s="22">
        <f>SUMIF(Emissions!$C$54:$C$69,'Emissions summary'!$C29,Emissions!N$54:N$69)</f>
        <v>10.116490581610325</v>
      </c>
      <c r="M29" s="22">
        <f>SUMIF(Emissions!$C$54:$C$69,'Emissions summary'!$C29,Emissions!O$54:O$69)</f>
        <v>10.116490581610325</v>
      </c>
      <c r="N29" s="22">
        <f>SUMIF(Emissions!$C$54:$C$69,'Emissions summary'!$C29,Emissions!P$54:P$69)</f>
        <v>10.116490581610325</v>
      </c>
      <c r="O29" s="22">
        <f>SUMIF(Emissions!$C$54:$C$69,'Emissions summary'!$C29,Emissions!Q$54:Q$69)</f>
        <v>10.116490581610325</v>
      </c>
      <c r="P29" s="22">
        <f>SUMIF(Emissions!$C$54:$C$69,'Emissions summary'!$C29,Emissions!R$54:R$69)</f>
        <v>10.51046399228327</v>
      </c>
      <c r="Q29" s="22">
        <f>SUMIF(Emissions!$C$54:$C$69,'Emissions summary'!$C29,Emissions!S$54:S$69)</f>
        <v>10.882894026282271</v>
      </c>
      <c r="R29" s="22">
        <f>SUMIF(Emissions!$C$54:$C$69,'Emissions summary'!$C29,Emissions!T$54:T$69)</f>
        <v>11.945235434738436</v>
      </c>
      <c r="S29" s="22">
        <f>SUMIF(Emissions!$C$54:$C$69,'Emissions summary'!$C29,Emissions!U$54:U$69)</f>
        <v>9.2981039284457765</v>
      </c>
      <c r="T29" s="22">
        <f>SUMIF(Emissions!$C$54:$C$69,'Emissions summary'!$C29,Emissions!V$54:V$69)</f>
        <v>7.9457555263018627</v>
      </c>
      <c r="U29" s="22">
        <f>SUMIF(Emissions!$C$54:$C$69,'Emissions summary'!$C29,Emissions!W$54:W$69)</f>
        <v>13.860153794562336</v>
      </c>
      <c r="V29" s="22">
        <f>SUMIF(Emissions!$C$54:$C$69,'Emissions summary'!$C29,Emissions!X$54:X$69)</f>
        <v>13.058600630053951</v>
      </c>
      <c r="W29" s="22">
        <f>SUMIF(Emissions!$C$54:$C$69,'Emissions summary'!$C29,Emissions!Y$54:Y$69)</f>
        <v>10.476884235119428</v>
      </c>
      <c r="X29" s="22">
        <f>SUMIF(Emissions!$C$54:$C$69,'Emissions summary'!$C29,Emissions!Z$54:Z$69)</f>
        <v>9.4298063526468283</v>
      </c>
      <c r="Y29" s="22">
        <f>SUMIF(Emissions!$C$54:$C$69,'Emissions summary'!$C29,Emissions!AA$54:AA$69)</f>
        <v>9.8044168903577642</v>
      </c>
      <c r="Z29" s="22">
        <f>SUMIF(Emissions!$C$54:$C$69,'Emissions summary'!$C29,Emissions!AB$54:AB$69)</f>
        <v>9.7783617960000022</v>
      </c>
      <c r="AA29" s="22">
        <f>SUMIF(Emissions!$C$54:$C$69,'Emissions summary'!$C29,Emissions!AC$54:AC$69)</f>
        <v>9.4288811400000014</v>
      </c>
      <c r="AB29" s="22">
        <f>SUMIF(Emissions!$C$54:$C$69,'Emissions summary'!$C29,Emissions!AD$54:AD$69)</f>
        <v>8.929388994926228</v>
      </c>
      <c r="AC29" s="22">
        <f>SUMIF(Emissions!$C$54:$C$69,'Emissions summary'!$C29,Emissions!AE$54:AE$69)</f>
        <v>8.9289309923184508</v>
      </c>
      <c r="AD29" s="22">
        <f>SUMIF(Emissions!$C$54:$C$69,'Emissions summary'!$C29,Emissions!AF$54:AF$69)</f>
        <v>8.9284729897106754</v>
      </c>
      <c r="AE29" s="22">
        <f>SUMIF(Emissions!$C$54:$C$69,'Emissions summary'!$C29,Emissions!AG$54:AG$69)</f>
        <v>8.9280149871028947</v>
      </c>
      <c r="AF29" s="22">
        <f>SUMIF(Emissions!$C$54:$C$69,'Emissions summary'!$C29,Emissions!AH$54:AH$69)</f>
        <v>8.9275569844951157</v>
      </c>
      <c r="AG29" s="22">
        <f>SUMIF(Emissions!$C$54:$C$69,'Emissions summary'!$C29,Emissions!AI$54:AI$69)</f>
        <v>8.9270989818873403</v>
      </c>
      <c r="AH29" s="22">
        <f>SUMIF(Emissions!$C$54:$C$69,'Emissions summary'!$C29,Emissions!AJ$54:AJ$69)</f>
        <v>8.9266409792795596</v>
      </c>
      <c r="AI29" s="22">
        <f>SUMIF(Emissions!$C$54:$C$69,'Emissions summary'!$C29,Emissions!AK$54:AK$69)</f>
        <v>8.926182976671786</v>
      </c>
      <c r="AJ29" s="22">
        <f>SUMIF(Emissions!$C$54:$C$69,'Emissions summary'!$C29,Emissions!AL$54:AL$69)</f>
        <v>8.925724974064007</v>
      </c>
      <c r="AK29" s="22">
        <f>SUMIF(Emissions!$C$54:$C$69,'Emissions summary'!$C29,Emissions!AM$54:AM$69)</f>
        <v>8.925266971456228</v>
      </c>
      <c r="AL29" s="22">
        <f>SUMIF(Emissions!$C$54:$C$69,'Emissions summary'!$C29,Emissions!AN$54:AN$69)</f>
        <v>8.9248089688484491</v>
      </c>
      <c r="AM29" s="22">
        <f>SUMIF(Emissions!$C$54:$C$69,'Emissions summary'!$C29,Emissions!AO$54:AO$69)</f>
        <v>8.9243509662406719</v>
      </c>
      <c r="AN29" s="22">
        <f>SUMIF(Emissions!$C$54:$C$69,'Emissions summary'!$C29,Emissions!AP$54:AP$69)</f>
        <v>8.9238929636328947</v>
      </c>
      <c r="AO29" s="22">
        <f>SUMIF(Emissions!$C$54:$C$69,'Emissions summary'!$C29,Emissions!AQ$54:AQ$69)</f>
        <v>8.9234349610251176</v>
      </c>
      <c r="AP29" s="22">
        <f>SUMIF(Emissions!$C$54:$C$69,'Emissions summary'!$C29,Emissions!AR$54:AR$69)</f>
        <v>8.9229769584173386</v>
      </c>
      <c r="AQ29" s="22">
        <f>SUMIF(Emissions!$C$54:$C$69,'Emissions summary'!$C29,Emissions!AS$54:AS$69)</f>
        <v>8.9225189558095614</v>
      </c>
      <c r="AR29" s="22">
        <f>SUMIF(Emissions!$C$54:$C$69,'Emissions summary'!$C29,Emissions!AT$54:AT$69)</f>
        <v>8.9220609532017825</v>
      </c>
      <c r="AS29" s="22">
        <f>SUMIF(Emissions!$C$54:$C$69,'Emissions summary'!$C29,Emissions!AU$54:AU$69)</f>
        <v>8.9216029505940071</v>
      </c>
      <c r="AT29" s="22">
        <f>SUMIF(Emissions!$C$54:$C$69,'Emissions summary'!$C29,Emissions!AV$54:AV$69)</f>
        <v>8.9211449479862281</v>
      </c>
      <c r="AU29" s="22">
        <f>SUMIF(Emissions!$C$54:$C$69,'Emissions summary'!$C29,Emissions!AW$54:AW$69)</f>
        <v>8.9206869453784492</v>
      </c>
      <c r="AV29" s="22">
        <f>SUMIF(Emissions!$C$54:$C$69,'Emissions summary'!$C29,Emissions!AX$54:AX$69)</f>
        <v>8.920228942770672</v>
      </c>
      <c r="AW29" s="22">
        <f>SUMIF(Emissions!$C$54:$C$69,'Emissions summary'!$C29,Emissions!AY$54:AY$69)</f>
        <v>8.9197709401628948</v>
      </c>
      <c r="AX29" s="22">
        <f>SUMIF(Emissions!$C$54:$C$69,'Emissions summary'!$C29,Emissions!AZ$54:AZ$69)</f>
        <v>8.9193129375551177</v>
      </c>
      <c r="AY29" s="22">
        <f>SUMIF(Emissions!$C$54:$C$69,'Emissions summary'!$C29,Emissions!BA$54:BA$69)</f>
        <v>8.9188549349473387</v>
      </c>
      <c r="AZ29" s="22">
        <f>SUMIF(Emissions!$C$54:$C$69,'Emissions summary'!$C29,Emissions!BB$54:BB$69)</f>
        <v>8.9183969323395598</v>
      </c>
      <c r="BA29" s="22">
        <f>SUMIF(Emissions!$C$54:$C$69,'Emissions summary'!$C29,Emissions!BC$54:BC$69)</f>
        <v>8.9179389297317826</v>
      </c>
      <c r="BB29" s="22">
        <f>SUMIF(Emissions!$C$54:$C$69,'Emissions summary'!$C29,Emissions!BD$54:BD$69)</f>
        <v>8.9174809271240072</v>
      </c>
      <c r="BC29" s="22">
        <f>SUMIF(Emissions!$C$54:$C$69,'Emissions summary'!$C29,Emissions!BE$54:BE$69)</f>
        <v>8.9170229245162282</v>
      </c>
      <c r="BD29" s="22">
        <f>SUMIF(Emissions!$C$54:$C$69,'Emissions summary'!$C29,Emissions!BF$54:BF$69)</f>
        <v>8.9165649219084475</v>
      </c>
      <c r="BE29" s="22">
        <f>SUMIF(Emissions!$C$54:$C$69,'Emissions summary'!$C29,Emissions!BG$54:BG$69)</f>
        <v>8.9161069193006721</v>
      </c>
      <c r="BF29" s="22">
        <f>SUMIF(Emissions!$C$54:$C$69,'Emissions summary'!$C29,Emissions!BH$54:BH$69)</f>
        <v>8.9156489166928932</v>
      </c>
      <c r="BG29" s="22">
        <f>SUMIF(Emissions!$C$54:$C$69,'Emissions summary'!$C29,Emissions!BI$54:BI$69)</f>
        <v>8.915190914085116</v>
      </c>
      <c r="BH29" s="22">
        <f>SUMIF(Emissions!$C$54:$C$69,'Emissions summary'!$C29,Emissions!BJ$54:BJ$69)</f>
        <v>8.9147329114773388</v>
      </c>
      <c r="BI29" s="22">
        <f>SUMIF(Emissions!$C$54:$C$69,'Emissions summary'!$C29,Emissions!BK$54:BK$69)</f>
        <v>8.9142749088695599</v>
      </c>
      <c r="BJ29" s="22">
        <f>SUMIF(Emissions!$C$54:$C$69,'Emissions summary'!$C29,Emissions!BL$54:BL$69)</f>
        <v>8.9138169062617827</v>
      </c>
      <c r="BK29" s="22">
        <f>SUMIF(Emissions!$C$54:$C$69,'Emissions summary'!$C29,Emissions!BM$54:BM$69)</f>
        <v>8.9133589036540037</v>
      </c>
      <c r="BL29" s="22">
        <f>SUMIF(Emissions!$C$54:$C$69,'Emissions summary'!$C29,Emissions!BN$54:BN$69)</f>
        <v>8.9129009010462266</v>
      </c>
      <c r="BM29" s="22">
        <f>SUMIF(Emissions!$C$54:$C$69,'Emissions summary'!$C29,Emissions!BO$54:BO$69)</f>
        <v>8.9124428984384494</v>
      </c>
      <c r="BN29" s="22">
        <f>SUMIF(Emissions!$C$54:$C$69,'Emissions summary'!$C29,Emissions!BP$54:BP$69)</f>
        <v>8.9119848958306704</v>
      </c>
    </row>
    <row r="30" spans="1:66" x14ac:dyDescent="0.25">
      <c r="A30" t="str">
        <f t="shared" ref="A30:B46" si="18">A29</f>
        <v>3C Aggregated and non-CO2 emissions on land</v>
      </c>
      <c r="B30" t="str">
        <f t="shared" ref="B30:B33" si="19">B29</f>
        <v>3C1 Biomass burning (CH4)</v>
      </c>
      <c r="C30" t="str">
        <f>'IPCC Categories'!C61</f>
        <v>3C1c Biomass burning in Grasslands</v>
      </c>
      <c r="D30" t="str">
        <f t="shared" ref="D30:E33" si="20">D29</f>
        <v>CH4</v>
      </c>
      <c r="E30" t="str">
        <f t="shared" si="20"/>
        <v>Gg CH4</v>
      </c>
      <c r="F30" s="22">
        <f>SUMIF(Emissions!$C$54:$C$69,'Emissions summary'!$C30,Emissions!H$54:H$69)</f>
        <v>24.633908128575744</v>
      </c>
      <c r="G30" s="22">
        <f>SUMIF(Emissions!$C$54:$C$69,'Emissions summary'!$C30,Emissions!I$54:I$69)</f>
        <v>24.633908128575744</v>
      </c>
      <c r="H30" s="22">
        <f>SUMIF(Emissions!$C$54:$C$69,'Emissions summary'!$C30,Emissions!J$54:J$69)</f>
        <v>24.633908128575744</v>
      </c>
      <c r="I30" s="22">
        <f>SUMIF(Emissions!$C$54:$C$69,'Emissions summary'!$C30,Emissions!K$54:K$69)</f>
        <v>24.633908128575744</v>
      </c>
      <c r="J30" s="22">
        <f>SUMIF(Emissions!$C$54:$C$69,'Emissions summary'!$C30,Emissions!L$54:L$69)</f>
        <v>24.633908128575744</v>
      </c>
      <c r="K30" s="22">
        <f>SUMIF(Emissions!$C$54:$C$69,'Emissions summary'!$C30,Emissions!M$54:M$69)</f>
        <v>24.633908128575744</v>
      </c>
      <c r="L30" s="22">
        <f>SUMIF(Emissions!$C$54:$C$69,'Emissions summary'!$C30,Emissions!N$54:N$69)</f>
        <v>24.633908128575744</v>
      </c>
      <c r="M30" s="22">
        <f>SUMIF(Emissions!$C$54:$C$69,'Emissions summary'!$C30,Emissions!O$54:O$69)</f>
        <v>24.633908128575744</v>
      </c>
      <c r="N30" s="22">
        <f>SUMIF(Emissions!$C$54:$C$69,'Emissions summary'!$C30,Emissions!P$54:P$69)</f>
        <v>24.633908128575744</v>
      </c>
      <c r="O30" s="22">
        <f>SUMIF(Emissions!$C$54:$C$69,'Emissions summary'!$C30,Emissions!Q$54:Q$69)</f>
        <v>24.633908128575744</v>
      </c>
      <c r="P30" s="22">
        <f>SUMIF(Emissions!$C$54:$C$69,'Emissions summary'!$C30,Emissions!R$54:R$69)</f>
        <v>24.22100971223729</v>
      </c>
      <c r="Q30" s="22">
        <f>SUMIF(Emissions!$C$54:$C$69,'Emissions summary'!$C30,Emissions!S$54:S$69)</f>
        <v>27.159665944327305</v>
      </c>
      <c r="R30" s="22">
        <f>SUMIF(Emissions!$C$54:$C$69,'Emissions summary'!$C30,Emissions!T$54:T$69)</f>
        <v>29.557460778373962</v>
      </c>
      <c r="S30" s="22">
        <f>SUMIF(Emissions!$C$54:$C$69,'Emissions summary'!$C30,Emissions!U$54:U$69)</f>
        <v>22.967890703903489</v>
      </c>
      <c r="T30" s="22">
        <f>SUMIF(Emissions!$C$54:$C$69,'Emissions summary'!$C30,Emissions!V$54:V$69)</f>
        <v>19.263513504036663</v>
      </c>
      <c r="U30" s="22">
        <f>SUMIF(Emissions!$C$54:$C$69,'Emissions summary'!$C30,Emissions!W$54:W$69)</f>
        <v>29.989609054359072</v>
      </c>
      <c r="V30" s="22">
        <f>SUMIF(Emissions!$C$54:$C$69,'Emissions summary'!$C30,Emissions!X$54:X$69)</f>
        <v>26.44988664148541</v>
      </c>
      <c r="W30" s="22">
        <f>SUMIF(Emissions!$C$54:$C$69,'Emissions summary'!$C30,Emissions!Y$54:Y$69)</f>
        <v>24.310343671009509</v>
      </c>
      <c r="X30" s="22">
        <f>SUMIF(Emissions!$C$54:$C$69,'Emissions summary'!$C30,Emissions!Z$54:Z$69)</f>
        <v>23.321518510517112</v>
      </c>
      <c r="Y30" s="22">
        <f>SUMIF(Emissions!$C$54:$C$69,'Emissions summary'!$C30,Emissions!AA$54:AA$69)</f>
        <v>24.458614831490095</v>
      </c>
      <c r="Z30" s="22">
        <f>SUMIF(Emissions!$C$54:$C$69,'Emissions summary'!$C30,Emissions!AB$54:AB$69)</f>
        <v>24.608200366439995</v>
      </c>
      <c r="AA30" s="22">
        <f>SUMIF(Emissions!$C$54:$C$69,'Emissions summary'!$C30,Emissions!AC$54:AC$69)</f>
        <v>25.000606435391994</v>
      </c>
      <c r="AB30" s="22">
        <f>SUMIF(Emissions!$C$54:$C$69,'Emissions summary'!$C30,Emissions!AD$54:AD$69)</f>
        <v>22.211168240472922</v>
      </c>
      <c r="AC30" s="22">
        <f>SUMIF(Emissions!$C$54:$C$69,'Emissions summary'!$C30,Emissions!AE$54:AE$69)</f>
        <v>22.3255420719256</v>
      </c>
      <c r="AD30" s="22">
        <f>SUMIF(Emissions!$C$54:$C$69,'Emissions summary'!$C30,Emissions!AF$54:AF$69)</f>
        <v>22.439915903378274</v>
      </c>
      <c r="AE30" s="22">
        <f>SUMIF(Emissions!$C$54:$C$69,'Emissions summary'!$C30,Emissions!AG$54:AG$69)</f>
        <v>22.554289734830945</v>
      </c>
      <c r="AF30" s="22">
        <f>SUMIF(Emissions!$C$54:$C$69,'Emissions summary'!$C30,Emissions!AH$54:AH$69)</f>
        <v>22.668663566283627</v>
      </c>
      <c r="AG30" s="22">
        <f>SUMIF(Emissions!$C$54:$C$69,'Emissions summary'!$C30,Emissions!AI$54:AI$69)</f>
        <v>22.783037397736297</v>
      </c>
      <c r="AH30" s="22">
        <f>SUMIF(Emissions!$C$54:$C$69,'Emissions summary'!$C30,Emissions!AJ$54:AJ$69)</f>
        <v>22.897411229188972</v>
      </c>
      <c r="AI30" s="22">
        <f>SUMIF(Emissions!$C$54:$C$69,'Emissions summary'!$C30,Emissions!AK$54:AK$69)</f>
        <v>23.095209192169019</v>
      </c>
      <c r="AJ30" s="22">
        <f>SUMIF(Emissions!$C$54:$C$69,'Emissions summary'!$C30,Emissions!AL$54:AL$69)</f>
        <v>23.293007155149056</v>
      </c>
      <c r="AK30" s="22">
        <f>SUMIF(Emissions!$C$54:$C$69,'Emissions summary'!$C30,Emissions!AM$54:AM$69)</f>
        <v>23.490805118129099</v>
      </c>
      <c r="AL30" s="22">
        <f>SUMIF(Emissions!$C$54:$C$69,'Emissions summary'!$C30,Emissions!AN$54:AN$69)</f>
        <v>23.688603081109136</v>
      </c>
      <c r="AM30" s="22">
        <f>SUMIF(Emissions!$C$54:$C$69,'Emissions summary'!$C30,Emissions!AO$54:AO$69)</f>
        <v>23.886401044089183</v>
      </c>
      <c r="AN30" s="22">
        <f>SUMIF(Emissions!$C$54:$C$69,'Emissions summary'!$C30,Emissions!AP$54:AP$69)</f>
        <v>24.08419900706922</v>
      </c>
      <c r="AO30" s="22">
        <f>SUMIF(Emissions!$C$54:$C$69,'Emissions summary'!$C30,Emissions!AQ$54:AQ$69)</f>
        <v>24.281996970049263</v>
      </c>
      <c r="AP30" s="22">
        <f>SUMIF(Emissions!$C$54:$C$69,'Emissions summary'!$C30,Emissions!AR$54:AR$69)</f>
        <v>24.479794933029304</v>
      </c>
      <c r="AQ30" s="22">
        <f>SUMIF(Emissions!$C$54:$C$69,'Emissions summary'!$C30,Emissions!AS$54:AS$69)</f>
        <v>24.677592896009344</v>
      </c>
      <c r="AR30" s="22">
        <f>SUMIF(Emissions!$C$54:$C$69,'Emissions summary'!$C30,Emissions!AT$54:AT$69)</f>
        <v>24.875390858989384</v>
      </c>
      <c r="AS30" s="22">
        <f>SUMIF(Emissions!$C$54:$C$69,'Emissions summary'!$C30,Emissions!AU$54:AU$69)</f>
        <v>25.073188821969428</v>
      </c>
      <c r="AT30" s="22">
        <f>SUMIF(Emissions!$C$54:$C$69,'Emissions summary'!$C30,Emissions!AV$54:AV$69)</f>
        <v>25.270986784949468</v>
      </c>
      <c r="AU30" s="22">
        <f>SUMIF(Emissions!$C$54:$C$69,'Emissions summary'!$C30,Emissions!AW$54:AW$69)</f>
        <v>25.472302246869535</v>
      </c>
      <c r="AV30" s="22">
        <f>SUMIF(Emissions!$C$54:$C$69,'Emissions summary'!$C30,Emissions!AX$54:AX$69)</f>
        <v>25.6736177087896</v>
      </c>
      <c r="AW30" s="22">
        <f>SUMIF(Emissions!$C$54:$C$69,'Emissions summary'!$C30,Emissions!AY$54:AY$69)</f>
        <v>25.874933170709671</v>
      </c>
      <c r="AX30" s="22">
        <f>SUMIF(Emissions!$C$54:$C$69,'Emissions summary'!$C30,Emissions!AZ$54:AZ$69)</f>
        <v>26.076248632629738</v>
      </c>
      <c r="AY30" s="22">
        <f>SUMIF(Emissions!$C$54:$C$69,'Emissions summary'!$C30,Emissions!BA$54:BA$69)</f>
        <v>26.277564094549799</v>
      </c>
      <c r="AZ30" s="22">
        <f>SUMIF(Emissions!$C$54:$C$69,'Emissions summary'!$C30,Emissions!BB$54:BB$69)</f>
        <v>26.47887955646987</v>
      </c>
      <c r="BA30" s="22">
        <f>SUMIF(Emissions!$C$54:$C$69,'Emissions summary'!$C30,Emissions!BC$54:BC$69)</f>
        <v>26.680195018389934</v>
      </c>
      <c r="BB30" s="22">
        <f>SUMIF(Emissions!$C$54:$C$69,'Emissions summary'!$C30,Emissions!BD$54:BD$69)</f>
        <v>26.881510480309998</v>
      </c>
      <c r="BC30" s="22">
        <f>SUMIF(Emissions!$C$54:$C$69,'Emissions summary'!$C30,Emissions!BE$54:BE$69)</f>
        <v>27.082825942230066</v>
      </c>
      <c r="BD30" s="22">
        <f>SUMIF(Emissions!$C$54:$C$69,'Emissions summary'!$C30,Emissions!BF$54:BF$69)</f>
        <v>27.28414140415013</v>
      </c>
      <c r="BE30" s="22">
        <f>SUMIF(Emissions!$C$54:$C$69,'Emissions summary'!$C30,Emissions!BG$54:BG$69)</f>
        <v>27.485456866070198</v>
      </c>
      <c r="BF30" s="22">
        <f>SUMIF(Emissions!$C$54:$C$69,'Emissions summary'!$C30,Emissions!BH$54:BH$69)</f>
        <v>27.686772327990262</v>
      </c>
      <c r="BG30" s="22">
        <f>SUMIF(Emissions!$C$54:$C$69,'Emissions summary'!$C30,Emissions!BI$54:BI$69)</f>
        <v>27.88808778991033</v>
      </c>
      <c r="BH30" s="22">
        <f>SUMIF(Emissions!$C$54:$C$69,'Emissions summary'!$C30,Emissions!BJ$54:BJ$69)</f>
        <v>28.089403251830397</v>
      </c>
      <c r="BI30" s="22">
        <f>SUMIF(Emissions!$C$54:$C$69,'Emissions summary'!$C30,Emissions!BK$54:BK$69)</f>
        <v>28.290718713750465</v>
      </c>
      <c r="BJ30" s="22">
        <f>SUMIF(Emissions!$C$54:$C$69,'Emissions summary'!$C30,Emissions!BL$54:BL$69)</f>
        <v>28.492034175670533</v>
      </c>
      <c r="BK30" s="22">
        <f>SUMIF(Emissions!$C$54:$C$69,'Emissions summary'!$C30,Emissions!BM$54:BM$69)</f>
        <v>28.6933496375906</v>
      </c>
      <c r="BL30" s="22">
        <f>SUMIF(Emissions!$C$54:$C$69,'Emissions summary'!$C30,Emissions!BN$54:BN$69)</f>
        <v>28.894665099510664</v>
      </c>
      <c r="BM30" s="22">
        <f>SUMIF(Emissions!$C$54:$C$69,'Emissions summary'!$C30,Emissions!BO$54:BO$69)</f>
        <v>29.095980561430732</v>
      </c>
      <c r="BN30" s="22">
        <f>SUMIF(Emissions!$C$54:$C$69,'Emissions summary'!$C30,Emissions!BP$54:BP$69)</f>
        <v>29.2972960233508</v>
      </c>
    </row>
    <row r="31" spans="1:66" x14ac:dyDescent="0.25">
      <c r="A31" t="str">
        <f t="shared" si="18"/>
        <v>3C Aggregated and non-CO2 emissions on land</v>
      </c>
      <c r="B31" t="str">
        <f t="shared" si="19"/>
        <v>3C1 Biomass burning (CH4)</v>
      </c>
      <c r="C31" t="str">
        <f>'IPCC Categories'!C62</f>
        <v>3C1d Biomass burning in Wetlands</v>
      </c>
      <c r="D31" t="str">
        <f t="shared" si="20"/>
        <v>CH4</v>
      </c>
      <c r="E31" t="str">
        <f t="shared" si="20"/>
        <v>Gg CH4</v>
      </c>
      <c r="F31" s="22">
        <f>SUMIF(Emissions!$C$54:$C$69,'Emissions summary'!$C31,Emissions!H$54:H$69)</f>
        <v>0.80577517347341965</v>
      </c>
      <c r="G31" s="22">
        <f>SUMIF(Emissions!$C$54:$C$69,'Emissions summary'!$C31,Emissions!I$54:I$69)</f>
        <v>0.80577517347341965</v>
      </c>
      <c r="H31" s="22">
        <f>SUMIF(Emissions!$C$54:$C$69,'Emissions summary'!$C31,Emissions!J$54:J$69)</f>
        <v>0.80577517347341965</v>
      </c>
      <c r="I31" s="22">
        <f>SUMIF(Emissions!$C$54:$C$69,'Emissions summary'!$C31,Emissions!K$54:K$69)</f>
        <v>0.80577517347341965</v>
      </c>
      <c r="J31" s="22">
        <f>SUMIF(Emissions!$C$54:$C$69,'Emissions summary'!$C31,Emissions!L$54:L$69)</f>
        <v>0.80577517347341965</v>
      </c>
      <c r="K31" s="22">
        <f>SUMIF(Emissions!$C$54:$C$69,'Emissions summary'!$C31,Emissions!M$54:M$69)</f>
        <v>0.80577517347341965</v>
      </c>
      <c r="L31" s="22">
        <f>SUMIF(Emissions!$C$54:$C$69,'Emissions summary'!$C31,Emissions!N$54:N$69)</f>
        <v>0.80577517347341965</v>
      </c>
      <c r="M31" s="22">
        <f>SUMIF(Emissions!$C$54:$C$69,'Emissions summary'!$C31,Emissions!O$54:O$69)</f>
        <v>0.80577517347341965</v>
      </c>
      <c r="N31" s="22">
        <f>SUMIF(Emissions!$C$54:$C$69,'Emissions summary'!$C31,Emissions!P$54:P$69)</f>
        <v>0.80577517347341965</v>
      </c>
      <c r="O31" s="22">
        <f>SUMIF(Emissions!$C$54:$C$69,'Emissions summary'!$C31,Emissions!Q$54:Q$69)</f>
        <v>0.80577517347341965</v>
      </c>
      <c r="P31" s="22">
        <f>SUMIF(Emissions!$C$54:$C$69,'Emissions summary'!$C31,Emissions!R$54:R$69)</f>
        <v>0.71282120012392636</v>
      </c>
      <c r="Q31" s="22">
        <f>SUMIF(Emissions!$C$54:$C$69,'Emissions summary'!$C31,Emissions!S$54:S$69)</f>
        <v>0.86099923348302065</v>
      </c>
      <c r="R31" s="22">
        <f>SUMIF(Emissions!$C$54:$C$69,'Emissions summary'!$C31,Emissions!T$54:T$69)</f>
        <v>0.97458063350276725</v>
      </c>
      <c r="S31" s="22">
        <f>SUMIF(Emissions!$C$54:$C$69,'Emissions summary'!$C31,Emissions!U$54:U$69)</f>
        <v>0.79724568902749249</v>
      </c>
      <c r="T31" s="22">
        <f>SUMIF(Emissions!$C$54:$C$69,'Emissions summary'!$C31,Emissions!V$54:V$69)</f>
        <v>0.68322911122989261</v>
      </c>
      <c r="U31" s="22">
        <f>SUMIF(Emissions!$C$54:$C$69,'Emissions summary'!$C31,Emissions!W$54:W$69)</f>
        <v>1.0109179779535291</v>
      </c>
      <c r="V31" s="22">
        <f>SUMIF(Emissions!$C$54:$C$69,'Emissions summary'!$C31,Emissions!X$54:X$69)</f>
        <v>0.89733657793378252</v>
      </c>
      <c r="W31" s="22">
        <f>SUMIF(Emissions!$C$54:$C$69,'Emissions summary'!$C31,Emissions!Y$54:Y$69)</f>
        <v>0.79050043347076437</v>
      </c>
      <c r="X31" s="22">
        <f>SUMIF(Emissions!$C$54:$C$69,'Emissions summary'!$C31,Emissions!Z$54:Z$69)</f>
        <v>0.72087198901421468</v>
      </c>
      <c r="Y31" s="22">
        <f>SUMIF(Emissions!$C$54:$C$69,'Emissions summary'!$C31,Emissions!AA$54:AA$69)</f>
        <v>0.80964825569631549</v>
      </c>
      <c r="Z31" s="22">
        <f>SUMIF(Emissions!$C$54:$C$69,'Emissions summary'!$C31,Emissions!AB$54:AB$69)</f>
        <v>1.0836294956999997</v>
      </c>
      <c r="AA31" s="22">
        <f>SUMIF(Emissions!$C$54:$C$69,'Emissions summary'!$C31,Emissions!AC$54:AC$69)</f>
        <v>1.1703623921999995</v>
      </c>
      <c r="AB31" s="22">
        <f>SUMIF(Emissions!$C$54:$C$69,'Emissions summary'!$C31,Emissions!AD$54:AD$69)</f>
        <v>0.86319492850198365</v>
      </c>
      <c r="AC31" s="22">
        <f>SUMIF(Emissions!$C$54:$C$69,'Emissions summary'!$C31,Emissions!AE$54:AE$69)</f>
        <v>0.86319492850198365</v>
      </c>
      <c r="AD31" s="22">
        <f>SUMIF(Emissions!$C$54:$C$69,'Emissions summary'!$C31,Emissions!AF$54:AF$69)</f>
        <v>0.86319492850198365</v>
      </c>
      <c r="AE31" s="22">
        <f>SUMIF(Emissions!$C$54:$C$69,'Emissions summary'!$C31,Emissions!AG$54:AG$69)</f>
        <v>0.86319492850198365</v>
      </c>
      <c r="AF31" s="22">
        <f>SUMIF(Emissions!$C$54:$C$69,'Emissions summary'!$C31,Emissions!AH$54:AH$69)</f>
        <v>0.86319492850198365</v>
      </c>
      <c r="AG31" s="22">
        <f>SUMIF(Emissions!$C$54:$C$69,'Emissions summary'!$C31,Emissions!AI$54:AI$69)</f>
        <v>0.86319492850198365</v>
      </c>
      <c r="AH31" s="22">
        <f>SUMIF(Emissions!$C$54:$C$69,'Emissions summary'!$C31,Emissions!AJ$54:AJ$69)</f>
        <v>0.86319492850198365</v>
      </c>
      <c r="AI31" s="22">
        <f>SUMIF(Emissions!$C$54:$C$69,'Emissions summary'!$C31,Emissions!AK$54:AK$69)</f>
        <v>0.86319492850198365</v>
      </c>
      <c r="AJ31" s="22">
        <f>SUMIF(Emissions!$C$54:$C$69,'Emissions summary'!$C31,Emissions!AL$54:AL$69)</f>
        <v>0.86319492850198365</v>
      </c>
      <c r="AK31" s="22">
        <f>SUMIF(Emissions!$C$54:$C$69,'Emissions summary'!$C31,Emissions!AM$54:AM$69)</f>
        <v>0.86319492850198365</v>
      </c>
      <c r="AL31" s="22">
        <f>SUMIF(Emissions!$C$54:$C$69,'Emissions summary'!$C31,Emissions!AN$54:AN$69)</f>
        <v>0.86319492850198365</v>
      </c>
      <c r="AM31" s="22">
        <f>SUMIF(Emissions!$C$54:$C$69,'Emissions summary'!$C31,Emissions!AO$54:AO$69)</f>
        <v>0.86319492850198365</v>
      </c>
      <c r="AN31" s="22">
        <f>SUMIF(Emissions!$C$54:$C$69,'Emissions summary'!$C31,Emissions!AP$54:AP$69)</f>
        <v>0.86319492850198365</v>
      </c>
      <c r="AO31" s="22">
        <f>SUMIF(Emissions!$C$54:$C$69,'Emissions summary'!$C31,Emissions!AQ$54:AQ$69)</f>
        <v>0.86319492850198365</v>
      </c>
      <c r="AP31" s="22">
        <f>SUMIF(Emissions!$C$54:$C$69,'Emissions summary'!$C31,Emissions!AR$54:AR$69)</f>
        <v>0.86319492850198365</v>
      </c>
      <c r="AQ31" s="22">
        <f>SUMIF(Emissions!$C$54:$C$69,'Emissions summary'!$C31,Emissions!AS$54:AS$69)</f>
        <v>0.86319492850198365</v>
      </c>
      <c r="AR31" s="22">
        <f>SUMIF(Emissions!$C$54:$C$69,'Emissions summary'!$C31,Emissions!AT$54:AT$69)</f>
        <v>0.86319492850198365</v>
      </c>
      <c r="AS31" s="22">
        <f>SUMIF(Emissions!$C$54:$C$69,'Emissions summary'!$C31,Emissions!AU$54:AU$69)</f>
        <v>0.86319492850198365</v>
      </c>
      <c r="AT31" s="22">
        <f>SUMIF(Emissions!$C$54:$C$69,'Emissions summary'!$C31,Emissions!AV$54:AV$69)</f>
        <v>0.86319492850198365</v>
      </c>
      <c r="AU31" s="22">
        <f>SUMIF(Emissions!$C$54:$C$69,'Emissions summary'!$C31,Emissions!AW$54:AW$69)</f>
        <v>0.86319492850198365</v>
      </c>
      <c r="AV31" s="22">
        <f>SUMIF(Emissions!$C$54:$C$69,'Emissions summary'!$C31,Emissions!AX$54:AX$69)</f>
        <v>0.86319492850198365</v>
      </c>
      <c r="AW31" s="22">
        <f>SUMIF(Emissions!$C$54:$C$69,'Emissions summary'!$C31,Emissions!AY$54:AY$69)</f>
        <v>0.86319492850198365</v>
      </c>
      <c r="AX31" s="22">
        <f>SUMIF(Emissions!$C$54:$C$69,'Emissions summary'!$C31,Emissions!AZ$54:AZ$69)</f>
        <v>0.86319492850198365</v>
      </c>
      <c r="AY31" s="22">
        <f>SUMIF(Emissions!$C$54:$C$69,'Emissions summary'!$C31,Emissions!BA$54:BA$69)</f>
        <v>0.86319492850198365</v>
      </c>
      <c r="AZ31" s="22">
        <f>SUMIF(Emissions!$C$54:$C$69,'Emissions summary'!$C31,Emissions!BB$54:BB$69)</f>
        <v>0.86319492850198365</v>
      </c>
      <c r="BA31" s="22">
        <f>SUMIF(Emissions!$C$54:$C$69,'Emissions summary'!$C31,Emissions!BC$54:BC$69)</f>
        <v>0.86319492850198365</v>
      </c>
      <c r="BB31" s="22">
        <f>SUMIF(Emissions!$C$54:$C$69,'Emissions summary'!$C31,Emissions!BD$54:BD$69)</f>
        <v>0.86319492850198365</v>
      </c>
      <c r="BC31" s="22">
        <f>SUMIF(Emissions!$C$54:$C$69,'Emissions summary'!$C31,Emissions!BE$54:BE$69)</f>
        <v>0.86319492850198365</v>
      </c>
      <c r="BD31" s="22">
        <f>SUMIF(Emissions!$C$54:$C$69,'Emissions summary'!$C31,Emissions!BF$54:BF$69)</f>
        <v>0.86319492850198365</v>
      </c>
      <c r="BE31" s="22">
        <f>SUMIF(Emissions!$C$54:$C$69,'Emissions summary'!$C31,Emissions!BG$54:BG$69)</f>
        <v>0.86319492850198365</v>
      </c>
      <c r="BF31" s="22">
        <f>SUMIF(Emissions!$C$54:$C$69,'Emissions summary'!$C31,Emissions!BH$54:BH$69)</f>
        <v>0.86319492850198365</v>
      </c>
      <c r="BG31" s="22">
        <f>SUMIF(Emissions!$C$54:$C$69,'Emissions summary'!$C31,Emissions!BI$54:BI$69)</f>
        <v>0.86319492850198365</v>
      </c>
      <c r="BH31" s="22">
        <f>SUMIF(Emissions!$C$54:$C$69,'Emissions summary'!$C31,Emissions!BJ$54:BJ$69)</f>
        <v>0.86319492850198365</v>
      </c>
      <c r="BI31" s="22">
        <f>SUMIF(Emissions!$C$54:$C$69,'Emissions summary'!$C31,Emissions!BK$54:BK$69)</f>
        <v>0.86319492850198365</v>
      </c>
      <c r="BJ31" s="22">
        <f>SUMIF(Emissions!$C$54:$C$69,'Emissions summary'!$C31,Emissions!BL$54:BL$69)</f>
        <v>0.86319492850198365</v>
      </c>
      <c r="BK31" s="22">
        <f>SUMIF(Emissions!$C$54:$C$69,'Emissions summary'!$C31,Emissions!BM$54:BM$69)</f>
        <v>0.86319492850198365</v>
      </c>
      <c r="BL31" s="22">
        <f>SUMIF(Emissions!$C$54:$C$69,'Emissions summary'!$C31,Emissions!BN$54:BN$69)</f>
        <v>0.86319492850198365</v>
      </c>
      <c r="BM31" s="22">
        <f>SUMIF(Emissions!$C$54:$C$69,'Emissions summary'!$C31,Emissions!BO$54:BO$69)</f>
        <v>0.86319492850198365</v>
      </c>
      <c r="BN31" s="22">
        <f>SUMIF(Emissions!$C$54:$C$69,'Emissions summary'!$C31,Emissions!BP$54:BP$69)</f>
        <v>0.86319492850198365</v>
      </c>
    </row>
    <row r="32" spans="1:66" x14ac:dyDescent="0.25">
      <c r="A32" t="str">
        <f t="shared" si="18"/>
        <v>3C Aggregated and non-CO2 emissions on land</v>
      </c>
      <c r="B32" t="str">
        <f t="shared" si="19"/>
        <v>3C1 Biomass burning (CH4)</v>
      </c>
      <c r="C32" t="str">
        <f>'IPCC Categories'!C63</f>
        <v>3C1e Biomass burning in Settlements</v>
      </c>
      <c r="D32" t="str">
        <f t="shared" si="20"/>
        <v>CH4</v>
      </c>
      <c r="E32" t="str">
        <f t="shared" si="20"/>
        <v>Gg CH4</v>
      </c>
      <c r="F32" s="22">
        <f>SUMIF(Emissions!$C$54:$C$69,'Emissions summary'!$C32,Emissions!H$54:H$69)</f>
        <v>0.48879168008497798</v>
      </c>
      <c r="G32" s="22">
        <f>SUMIF(Emissions!$C$54:$C$69,'Emissions summary'!$C32,Emissions!I$54:I$69)</f>
        <v>0.48879168008497798</v>
      </c>
      <c r="H32" s="22">
        <f>SUMIF(Emissions!$C$54:$C$69,'Emissions summary'!$C32,Emissions!J$54:J$69)</f>
        <v>0.48879168008497798</v>
      </c>
      <c r="I32" s="22">
        <f>SUMIF(Emissions!$C$54:$C$69,'Emissions summary'!$C32,Emissions!K$54:K$69)</f>
        <v>0.48879168008497798</v>
      </c>
      <c r="J32" s="22">
        <f>SUMIF(Emissions!$C$54:$C$69,'Emissions summary'!$C32,Emissions!L$54:L$69)</f>
        <v>0.48879168008497798</v>
      </c>
      <c r="K32" s="22">
        <f>SUMIF(Emissions!$C$54:$C$69,'Emissions summary'!$C32,Emissions!M$54:M$69)</f>
        <v>0.48879168008497798</v>
      </c>
      <c r="L32" s="22">
        <f>SUMIF(Emissions!$C$54:$C$69,'Emissions summary'!$C32,Emissions!N$54:N$69)</f>
        <v>0.48879168008497798</v>
      </c>
      <c r="M32" s="22">
        <f>SUMIF(Emissions!$C$54:$C$69,'Emissions summary'!$C32,Emissions!O$54:O$69)</f>
        <v>0.48879168008497798</v>
      </c>
      <c r="N32" s="22">
        <f>SUMIF(Emissions!$C$54:$C$69,'Emissions summary'!$C32,Emissions!P$54:P$69)</f>
        <v>0.48879168008497798</v>
      </c>
      <c r="O32" s="22">
        <f>SUMIF(Emissions!$C$54:$C$69,'Emissions summary'!$C32,Emissions!Q$54:Q$69)</f>
        <v>0.48879168008497798</v>
      </c>
      <c r="P32" s="22">
        <f>SUMIF(Emissions!$C$54:$C$69,'Emissions summary'!$C32,Emissions!R$54:R$69)</f>
        <v>0.53244001120367745</v>
      </c>
      <c r="Q32" s="22">
        <f>SUMIF(Emissions!$C$54:$C$69,'Emissions summary'!$C32,Emissions!S$54:S$69)</f>
        <v>0.58966588899140415</v>
      </c>
      <c r="R32" s="22">
        <f>SUMIF(Emissions!$C$54:$C$69,'Emissions summary'!$C32,Emissions!T$54:T$69)</f>
        <v>0.52134297786841477</v>
      </c>
      <c r="S32" s="22">
        <f>SUMIF(Emissions!$C$54:$C$69,'Emissions summary'!$C32,Emissions!U$54:U$69)</f>
        <v>0.44975623341152487</v>
      </c>
      <c r="T32" s="22">
        <f>SUMIF(Emissions!$C$54:$C$69,'Emissions summary'!$C32,Emissions!V$54:V$69)</f>
        <v>0.35075328894986846</v>
      </c>
      <c r="U32" s="22">
        <f>SUMIF(Emissions!$C$54:$C$69,'Emissions summary'!$C32,Emissions!W$54:W$69)</f>
        <v>0.79419944458251857</v>
      </c>
      <c r="V32" s="22">
        <f>SUMIF(Emissions!$C$54:$C$69,'Emissions summary'!$C32,Emissions!X$54:X$69)</f>
        <v>0.69563167789871561</v>
      </c>
      <c r="W32" s="22">
        <f>SUMIF(Emissions!$C$54:$C$69,'Emissions summary'!$C32,Emissions!Y$54:Y$69)</f>
        <v>0.76939431124487268</v>
      </c>
      <c r="X32" s="22">
        <f>SUMIF(Emissions!$C$54:$C$69,'Emissions summary'!$C32,Emissions!Z$54:Z$69)</f>
        <v>0.47499654452702411</v>
      </c>
      <c r="Y32" s="22">
        <f>SUMIF(Emissions!$C$54:$C$69,'Emissions summary'!$C32,Emissions!AA$54:AA$69)</f>
        <v>0.5716060112104866</v>
      </c>
      <c r="Z32" s="22">
        <f>SUMIF(Emissions!$C$54:$C$69,'Emissions summary'!$C32,Emissions!AB$54:AB$69)</f>
        <v>0.42745793939999993</v>
      </c>
      <c r="AA32" s="22">
        <f>SUMIF(Emissions!$C$54:$C$69,'Emissions summary'!$C32,Emissions!AC$54:AC$69)</f>
        <v>0.29794462199999994</v>
      </c>
      <c r="AB32" s="22">
        <f>SUMIF(Emissions!$C$54:$C$69,'Emissions summary'!$C32,Emissions!AD$54:AD$69)</f>
        <v>0.42972240374246135</v>
      </c>
      <c r="AC32" s="22">
        <f>SUMIF(Emissions!$C$54:$C$69,'Emissions summary'!$C32,Emissions!AE$54:AE$69)</f>
        <v>0.43063058922924524</v>
      </c>
      <c r="AD32" s="22">
        <f>SUMIF(Emissions!$C$54:$C$69,'Emissions summary'!$C32,Emissions!AF$54:AF$69)</f>
        <v>0.43153877471602919</v>
      </c>
      <c r="AE32" s="22">
        <f>SUMIF(Emissions!$C$54:$C$69,'Emissions summary'!$C32,Emissions!AG$54:AG$69)</f>
        <v>0.43244696020281326</v>
      </c>
      <c r="AF32" s="22">
        <f>SUMIF(Emissions!$C$54:$C$69,'Emissions summary'!$C32,Emissions!AH$54:AH$69)</f>
        <v>0.43335514568959721</v>
      </c>
      <c r="AG32" s="22">
        <f>SUMIF(Emissions!$C$54:$C$69,'Emissions summary'!$C32,Emissions!AI$54:AI$69)</f>
        <v>0.43426333117638116</v>
      </c>
      <c r="AH32" s="22">
        <f>SUMIF(Emissions!$C$54:$C$69,'Emissions summary'!$C32,Emissions!AJ$54:AJ$69)</f>
        <v>0.43517151666316517</v>
      </c>
      <c r="AI32" s="22">
        <f>SUMIF(Emissions!$C$54:$C$69,'Emissions summary'!$C32,Emissions!AK$54:AK$69)</f>
        <v>0.43607970214994918</v>
      </c>
      <c r="AJ32" s="22">
        <f>SUMIF(Emissions!$C$54:$C$69,'Emissions summary'!$C32,Emissions!AL$54:AL$69)</f>
        <v>0.43698788763673319</v>
      </c>
      <c r="AK32" s="22">
        <f>SUMIF(Emissions!$C$54:$C$69,'Emissions summary'!$C32,Emissions!AM$54:AM$69)</f>
        <v>0.43789607312351719</v>
      </c>
      <c r="AL32" s="22">
        <f>SUMIF(Emissions!$C$54:$C$69,'Emissions summary'!$C32,Emissions!AN$54:AN$69)</f>
        <v>0.4388042586103012</v>
      </c>
      <c r="AM32" s="22">
        <f>SUMIF(Emissions!$C$54:$C$69,'Emissions summary'!$C32,Emissions!AO$54:AO$69)</f>
        <v>0.43971244409708521</v>
      </c>
      <c r="AN32" s="22">
        <f>SUMIF(Emissions!$C$54:$C$69,'Emissions summary'!$C32,Emissions!AP$54:AP$69)</f>
        <v>0.44062062958386911</v>
      </c>
      <c r="AO32" s="22">
        <f>SUMIF(Emissions!$C$54:$C$69,'Emissions summary'!$C32,Emissions!AQ$54:AQ$69)</f>
        <v>0.44152881507065311</v>
      </c>
      <c r="AP32" s="22">
        <f>SUMIF(Emissions!$C$54:$C$69,'Emissions summary'!$C32,Emissions!AR$54:AR$69)</f>
        <v>0.44243700055743712</v>
      </c>
      <c r="AQ32" s="22">
        <f>SUMIF(Emissions!$C$54:$C$69,'Emissions summary'!$C32,Emissions!AS$54:AS$69)</f>
        <v>0.44334518604422107</v>
      </c>
      <c r="AR32" s="22">
        <f>SUMIF(Emissions!$C$54:$C$69,'Emissions summary'!$C32,Emissions!AT$54:AT$69)</f>
        <v>0.44425337153100508</v>
      </c>
      <c r="AS32" s="22">
        <f>SUMIF(Emissions!$C$54:$C$69,'Emissions summary'!$C32,Emissions!AU$54:AU$69)</f>
        <v>0.44516155701778909</v>
      </c>
      <c r="AT32" s="22">
        <f>SUMIF(Emissions!$C$54:$C$69,'Emissions summary'!$C32,Emissions!AV$54:AV$69)</f>
        <v>0.44606974250457304</v>
      </c>
      <c r="AU32" s="22">
        <f>SUMIF(Emissions!$C$54:$C$69,'Emissions summary'!$C32,Emissions!AW$54:AW$69)</f>
        <v>0.44697792799135705</v>
      </c>
      <c r="AV32" s="22">
        <f>SUMIF(Emissions!$C$54:$C$69,'Emissions summary'!$C32,Emissions!AX$54:AX$69)</f>
        <v>0.44788611347814106</v>
      </c>
      <c r="AW32" s="22">
        <f>SUMIF(Emissions!$C$54:$C$69,'Emissions summary'!$C32,Emissions!AY$54:AY$69)</f>
        <v>0.44879429896492501</v>
      </c>
      <c r="AX32" s="22">
        <f>SUMIF(Emissions!$C$54:$C$69,'Emissions summary'!$C32,Emissions!AZ$54:AZ$69)</f>
        <v>0.44970248445170896</v>
      </c>
      <c r="AY32" s="22">
        <f>SUMIF(Emissions!$C$54:$C$69,'Emissions summary'!$C32,Emissions!BA$54:BA$69)</f>
        <v>0.45061066993849297</v>
      </c>
      <c r="AZ32" s="22">
        <f>SUMIF(Emissions!$C$54:$C$69,'Emissions summary'!$C32,Emissions!BB$54:BB$69)</f>
        <v>0.45151885542527692</v>
      </c>
      <c r="BA32" s="22">
        <f>SUMIF(Emissions!$C$54:$C$69,'Emissions summary'!$C32,Emissions!BC$54:BC$69)</f>
        <v>0.45242704091206093</v>
      </c>
      <c r="BB32" s="22">
        <f>SUMIF(Emissions!$C$54:$C$69,'Emissions summary'!$C32,Emissions!BD$54:BD$69)</f>
        <v>0.45333522639884494</v>
      </c>
      <c r="BC32" s="22">
        <f>SUMIF(Emissions!$C$54:$C$69,'Emissions summary'!$C32,Emissions!BE$54:BE$69)</f>
        <v>0.454243411885629</v>
      </c>
      <c r="BD32" s="22">
        <f>SUMIF(Emissions!$C$54:$C$69,'Emissions summary'!$C32,Emissions!BF$54:BF$69)</f>
        <v>0.45515159737241295</v>
      </c>
      <c r="BE32" s="22">
        <f>SUMIF(Emissions!$C$54:$C$69,'Emissions summary'!$C32,Emissions!BG$54:BG$69)</f>
        <v>0.4560597828591969</v>
      </c>
      <c r="BF32" s="22">
        <f>SUMIF(Emissions!$C$54:$C$69,'Emissions summary'!$C32,Emissions!BH$54:BH$69)</f>
        <v>0.45696796834598097</v>
      </c>
      <c r="BG32" s="22">
        <f>SUMIF(Emissions!$C$54:$C$69,'Emissions summary'!$C32,Emissions!BI$54:BI$69)</f>
        <v>0.45787615383276492</v>
      </c>
      <c r="BH32" s="22">
        <f>SUMIF(Emissions!$C$54:$C$69,'Emissions summary'!$C32,Emissions!BJ$54:BJ$69)</f>
        <v>0.45878433931954882</v>
      </c>
      <c r="BI32" s="22">
        <f>SUMIF(Emissions!$C$54:$C$69,'Emissions summary'!$C32,Emissions!BK$54:BK$69)</f>
        <v>0.45969252480633288</v>
      </c>
      <c r="BJ32" s="22">
        <f>SUMIF(Emissions!$C$54:$C$69,'Emissions summary'!$C32,Emissions!BL$54:BL$69)</f>
        <v>0.46060071029311683</v>
      </c>
      <c r="BK32" s="22">
        <f>SUMIF(Emissions!$C$54:$C$69,'Emissions summary'!$C32,Emissions!BM$54:BM$69)</f>
        <v>0.46150889577990084</v>
      </c>
      <c r="BL32" s="22">
        <f>SUMIF(Emissions!$C$54:$C$69,'Emissions summary'!$C32,Emissions!BN$54:BN$69)</f>
        <v>0.46241708126668479</v>
      </c>
      <c r="BM32" s="22">
        <f>SUMIF(Emissions!$C$54:$C$69,'Emissions summary'!$C32,Emissions!BO$54:BO$69)</f>
        <v>0.4633252667534688</v>
      </c>
      <c r="BN32" s="22">
        <f>SUMIF(Emissions!$C$54:$C$69,'Emissions summary'!$C32,Emissions!BP$54:BP$69)</f>
        <v>0.46423345224025281</v>
      </c>
    </row>
    <row r="33" spans="1:66" x14ac:dyDescent="0.25">
      <c r="A33" t="str">
        <f t="shared" si="18"/>
        <v>3C Aggregated and non-CO2 emissions on land</v>
      </c>
      <c r="B33" t="str">
        <f t="shared" si="19"/>
        <v>3C1 Biomass burning (CH4)</v>
      </c>
      <c r="C33" t="str">
        <f>'IPCC Categories'!C64</f>
        <v>3C1f Biomass burning in Other lands</v>
      </c>
      <c r="D33" t="str">
        <f t="shared" si="20"/>
        <v>CH4</v>
      </c>
      <c r="E33" t="str">
        <f t="shared" si="20"/>
        <v>Gg CH4</v>
      </c>
      <c r="F33" s="22">
        <f>SUMIF(Emissions!$C$54:$C$69,'Emissions summary'!$C33,Emissions!H$54:H$69)</f>
        <v>0</v>
      </c>
      <c r="G33" s="22">
        <f>SUMIF(Emissions!$C$54:$C$69,'Emissions summary'!$C33,Emissions!I$54:I$69)</f>
        <v>0</v>
      </c>
      <c r="H33" s="22">
        <f>SUMIF(Emissions!$C$54:$C$69,'Emissions summary'!$C33,Emissions!J$54:J$69)</f>
        <v>0</v>
      </c>
      <c r="I33" s="22">
        <f>SUMIF(Emissions!$C$54:$C$69,'Emissions summary'!$C33,Emissions!K$54:K$69)</f>
        <v>0</v>
      </c>
      <c r="J33" s="22">
        <f>SUMIF(Emissions!$C$54:$C$69,'Emissions summary'!$C33,Emissions!L$54:L$69)</f>
        <v>0</v>
      </c>
      <c r="K33" s="22">
        <f>SUMIF(Emissions!$C$54:$C$69,'Emissions summary'!$C33,Emissions!M$54:M$69)</f>
        <v>0</v>
      </c>
      <c r="L33" s="22">
        <f>SUMIF(Emissions!$C$54:$C$69,'Emissions summary'!$C33,Emissions!N$54:N$69)</f>
        <v>0</v>
      </c>
      <c r="M33" s="22">
        <f>SUMIF(Emissions!$C$54:$C$69,'Emissions summary'!$C33,Emissions!O$54:O$69)</f>
        <v>0</v>
      </c>
      <c r="N33" s="22">
        <f>SUMIF(Emissions!$C$54:$C$69,'Emissions summary'!$C33,Emissions!P$54:P$69)</f>
        <v>0</v>
      </c>
      <c r="O33" s="22">
        <f>SUMIF(Emissions!$C$54:$C$69,'Emissions summary'!$C33,Emissions!Q$54:Q$69)</f>
        <v>0</v>
      </c>
      <c r="P33" s="22">
        <f>SUMIF(Emissions!$C$54:$C$69,'Emissions summary'!$C33,Emissions!R$54:R$69)</f>
        <v>0</v>
      </c>
      <c r="Q33" s="22">
        <f>SUMIF(Emissions!$C$54:$C$69,'Emissions summary'!$C33,Emissions!S$54:S$69)</f>
        <v>0</v>
      </c>
      <c r="R33" s="22">
        <f>SUMIF(Emissions!$C$54:$C$69,'Emissions summary'!$C33,Emissions!T$54:T$69)</f>
        <v>0</v>
      </c>
      <c r="S33" s="22">
        <f>SUMIF(Emissions!$C$54:$C$69,'Emissions summary'!$C33,Emissions!U$54:U$69)</f>
        <v>0</v>
      </c>
      <c r="T33" s="22">
        <f>SUMIF(Emissions!$C$54:$C$69,'Emissions summary'!$C33,Emissions!V$54:V$69)</f>
        <v>0</v>
      </c>
      <c r="U33" s="22">
        <f>SUMIF(Emissions!$C$54:$C$69,'Emissions summary'!$C33,Emissions!W$54:W$69)</f>
        <v>0</v>
      </c>
      <c r="V33" s="22">
        <f>SUMIF(Emissions!$C$54:$C$69,'Emissions summary'!$C33,Emissions!X$54:X$69)</f>
        <v>0</v>
      </c>
      <c r="W33" s="22">
        <f>SUMIF(Emissions!$C$54:$C$69,'Emissions summary'!$C33,Emissions!Y$54:Y$69)</f>
        <v>0</v>
      </c>
      <c r="X33" s="22">
        <f>SUMIF(Emissions!$C$54:$C$69,'Emissions summary'!$C33,Emissions!Z$54:Z$69)</f>
        <v>0</v>
      </c>
      <c r="Y33" s="22">
        <f>SUMIF(Emissions!$C$54:$C$69,'Emissions summary'!$C33,Emissions!AA$54:AA$69)</f>
        <v>0</v>
      </c>
      <c r="Z33" s="22">
        <f>SUMIF(Emissions!$C$54:$C$69,'Emissions summary'!$C33,Emissions!AB$54:AB$69)</f>
        <v>0</v>
      </c>
      <c r="AA33" s="22">
        <f>SUMIF(Emissions!$C$54:$C$69,'Emissions summary'!$C33,Emissions!AC$54:AC$69)</f>
        <v>0</v>
      </c>
      <c r="AB33" s="22">
        <f>SUMIF(Emissions!$C$54:$C$69,'Emissions summary'!$C33,Emissions!AD$54:AD$69)</f>
        <v>0</v>
      </c>
      <c r="AC33" s="22">
        <f>SUMIF(Emissions!$C$54:$C$69,'Emissions summary'!$C33,Emissions!AE$54:AE$69)</f>
        <v>0</v>
      </c>
      <c r="AD33" s="22">
        <f>SUMIF(Emissions!$C$54:$C$69,'Emissions summary'!$C33,Emissions!AF$54:AF$69)</f>
        <v>0</v>
      </c>
      <c r="AE33" s="22">
        <f>SUMIF(Emissions!$C$54:$C$69,'Emissions summary'!$C33,Emissions!AG$54:AG$69)</f>
        <v>0</v>
      </c>
      <c r="AF33" s="22">
        <f>SUMIF(Emissions!$C$54:$C$69,'Emissions summary'!$C33,Emissions!AH$54:AH$69)</f>
        <v>0</v>
      </c>
      <c r="AG33" s="22">
        <f>SUMIF(Emissions!$C$54:$C$69,'Emissions summary'!$C33,Emissions!AI$54:AI$69)</f>
        <v>0</v>
      </c>
      <c r="AH33" s="22">
        <f>SUMIF(Emissions!$C$54:$C$69,'Emissions summary'!$C33,Emissions!AJ$54:AJ$69)</f>
        <v>0</v>
      </c>
      <c r="AI33" s="22">
        <f>SUMIF(Emissions!$C$54:$C$69,'Emissions summary'!$C33,Emissions!AK$54:AK$69)</f>
        <v>0</v>
      </c>
      <c r="AJ33" s="22">
        <f>SUMIF(Emissions!$C$54:$C$69,'Emissions summary'!$C33,Emissions!AL$54:AL$69)</f>
        <v>0</v>
      </c>
      <c r="AK33" s="22">
        <f>SUMIF(Emissions!$C$54:$C$69,'Emissions summary'!$C33,Emissions!AM$54:AM$69)</f>
        <v>0</v>
      </c>
      <c r="AL33" s="22">
        <f>SUMIF(Emissions!$C$54:$C$69,'Emissions summary'!$C33,Emissions!AN$54:AN$69)</f>
        <v>0</v>
      </c>
      <c r="AM33" s="22">
        <f>SUMIF(Emissions!$C$54:$C$69,'Emissions summary'!$C33,Emissions!AO$54:AO$69)</f>
        <v>0</v>
      </c>
      <c r="AN33" s="22">
        <f>SUMIF(Emissions!$C$54:$C$69,'Emissions summary'!$C33,Emissions!AP$54:AP$69)</f>
        <v>0</v>
      </c>
      <c r="AO33" s="22">
        <f>SUMIF(Emissions!$C$54:$C$69,'Emissions summary'!$C33,Emissions!AQ$54:AQ$69)</f>
        <v>0</v>
      </c>
      <c r="AP33" s="22">
        <f>SUMIF(Emissions!$C$54:$C$69,'Emissions summary'!$C33,Emissions!AR$54:AR$69)</f>
        <v>0</v>
      </c>
      <c r="AQ33" s="22">
        <f>SUMIF(Emissions!$C$54:$C$69,'Emissions summary'!$C33,Emissions!AS$54:AS$69)</f>
        <v>0</v>
      </c>
      <c r="AR33" s="22">
        <f>SUMIF(Emissions!$C$54:$C$69,'Emissions summary'!$C33,Emissions!AT$54:AT$69)</f>
        <v>0</v>
      </c>
      <c r="AS33" s="22">
        <f>SUMIF(Emissions!$C$54:$C$69,'Emissions summary'!$C33,Emissions!AU$54:AU$69)</f>
        <v>0</v>
      </c>
      <c r="AT33" s="22">
        <f>SUMIF(Emissions!$C$54:$C$69,'Emissions summary'!$C33,Emissions!AV$54:AV$69)</f>
        <v>0</v>
      </c>
      <c r="AU33" s="22">
        <f>SUMIF(Emissions!$C$54:$C$69,'Emissions summary'!$C33,Emissions!AW$54:AW$69)</f>
        <v>0</v>
      </c>
      <c r="AV33" s="22">
        <f>SUMIF(Emissions!$C$54:$C$69,'Emissions summary'!$C33,Emissions!AX$54:AX$69)</f>
        <v>0</v>
      </c>
      <c r="AW33" s="22">
        <f>SUMIF(Emissions!$C$54:$C$69,'Emissions summary'!$C33,Emissions!AY$54:AY$69)</f>
        <v>0</v>
      </c>
      <c r="AX33" s="22">
        <f>SUMIF(Emissions!$C$54:$C$69,'Emissions summary'!$C33,Emissions!AZ$54:AZ$69)</f>
        <v>0</v>
      </c>
      <c r="AY33" s="22">
        <f>SUMIF(Emissions!$C$54:$C$69,'Emissions summary'!$C33,Emissions!BA$54:BA$69)</f>
        <v>0</v>
      </c>
      <c r="AZ33" s="22">
        <f>SUMIF(Emissions!$C$54:$C$69,'Emissions summary'!$C33,Emissions!BB$54:BB$69)</f>
        <v>0</v>
      </c>
      <c r="BA33" s="22">
        <f>SUMIF(Emissions!$C$54:$C$69,'Emissions summary'!$C33,Emissions!BC$54:BC$69)</f>
        <v>0</v>
      </c>
      <c r="BB33" s="22">
        <f>SUMIF(Emissions!$C$54:$C$69,'Emissions summary'!$C33,Emissions!BD$54:BD$69)</f>
        <v>0</v>
      </c>
      <c r="BC33" s="22">
        <f>SUMIF(Emissions!$C$54:$C$69,'Emissions summary'!$C33,Emissions!BE$54:BE$69)</f>
        <v>0</v>
      </c>
      <c r="BD33" s="22">
        <f>SUMIF(Emissions!$C$54:$C$69,'Emissions summary'!$C33,Emissions!BF$54:BF$69)</f>
        <v>0</v>
      </c>
      <c r="BE33" s="22">
        <f>SUMIF(Emissions!$C$54:$C$69,'Emissions summary'!$C33,Emissions!BG$54:BG$69)</f>
        <v>0</v>
      </c>
      <c r="BF33" s="22">
        <f>SUMIF(Emissions!$C$54:$C$69,'Emissions summary'!$C33,Emissions!BH$54:BH$69)</f>
        <v>0</v>
      </c>
      <c r="BG33" s="22">
        <f>SUMIF(Emissions!$C$54:$C$69,'Emissions summary'!$C33,Emissions!BI$54:BI$69)</f>
        <v>0</v>
      </c>
      <c r="BH33" s="22">
        <f>SUMIF(Emissions!$C$54:$C$69,'Emissions summary'!$C33,Emissions!BJ$54:BJ$69)</f>
        <v>0</v>
      </c>
      <c r="BI33" s="22">
        <f>SUMIF(Emissions!$C$54:$C$69,'Emissions summary'!$C33,Emissions!BK$54:BK$69)</f>
        <v>0</v>
      </c>
      <c r="BJ33" s="22">
        <f>SUMIF(Emissions!$C$54:$C$69,'Emissions summary'!$C33,Emissions!BL$54:BL$69)</f>
        <v>0</v>
      </c>
      <c r="BK33" s="22">
        <f>SUMIF(Emissions!$C$54:$C$69,'Emissions summary'!$C33,Emissions!BM$54:BM$69)</f>
        <v>0</v>
      </c>
      <c r="BL33" s="22">
        <f>SUMIF(Emissions!$C$54:$C$69,'Emissions summary'!$C33,Emissions!BN$54:BN$69)</f>
        <v>0</v>
      </c>
      <c r="BM33" s="22">
        <f>SUMIF(Emissions!$C$54:$C$69,'Emissions summary'!$C33,Emissions!BO$54:BO$69)</f>
        <v>0</v>
      </c>
      <c r="BN33" s="22">
        <f>SUMIF(Emissions!$C$54:$C$69,'Emissions summary'!$C33,Emissions!BP$54:BP$69)</f>
        <v>0</v>
      </c>
    </row>
    <row r="34" spans="1:66" s="19" customFormat="1" ht="15.75" x14ac:dyDescent="0.25">
      <c r="A34" s="19" t="str">
        <f t="shared" si="18"/>
        <v>3C Aggregated and non-CO2 emissions on land</v>
      </c>
      <c r="B34" s="19" t="str">
        <f>'IPCC Categories'!B65</f>
        <v>3C1 Biomass burning (N2O)</v>
      </c>
      <c r="C34" s="19" t="s">
        <v>148</v>
      </c>
      <c r="D34" s="19" t="s">
        <v>139</v>
      </c>
      <c r="E34" s="19" t="s">
        <v>287</v>
      </c>
      <c r="F34" s="49">
        <f>SUM(F35:F40)</f>
        <v>3.7075879357894523</v>
      </c>
      <c r="G34" s="49">
        <f t="shared" ref="G34:BN34" si="21">SUM(G35:G40)</f>
        <v>3.7075879357894523</v>
      </c>
      <c r="H34" s="49">
        <f t="shared" si="21"/>
        <v>3.7075879357894523</v>
      </c>
      <c r="I34" s="49">
        <f t="shared" si="21"/>
        <v>3.7075879357894523</v>
      </c>
      <c r="J34" s="49">
        <f t="shared" si="21"/>
        <v>3.7075879357894523</v>
      </c>
      <c r="K34" s="49">
        <f t="shared" si="21"/>
        <v>3.7075879357894523</v>
      </c>
      <c r="L34" s="49">
        <f t="shared" si="21"/>
        <v>3.7075879357894523</v>
      </c>
      <c r="M34" s="49">
        <f t="shared" si="21"/>
        <v>3.7075879357894523</v>
      </c>
      <c r="N34" s="49">
        <f t="shared" si="21"/>
        <v>3.7075879357894523</v>
      </c>
      <c r="O34" s="49">
        <f t="shared" si="21"/>
        <v>3.7075879357894523</v>
      </c>
      <c r="P34" s="49">
        <f t="shared" si="21"/>
        <v>3.6718973949162081</v>
      </c>
      <c r="Q34" s="49">
        <f t="shared" si="21"/>
        <v>4.3479436666429772</v>
      </c>
      <c r="R34" s="49">
        <f t="shared" si="21"/>
        <v>4.2850613259475647</v>
      </c>
      <c r="S34" s="49">
        <f t="shared" si="21"/>
        <v>3.282468107830713</v>
      </c>
      <c r="T34" s="49">
        <f t="shared" si="21"/>
        <v>2.9505691836097965</v>
      </c>
      <c r="U34" s="49">
        <f t="shared" si="21"/>
        <v>4.6706814433352601</v>
      </c>
      <c r="V34" s="49">
        <f t="shared" si="21"/>
        <v>4.0754902880758053</v>
      </c>
      <c r="W34" s="49">
        <f t="shared" si="21"/>
        <v>3.9272122256664277</v>
      </c>
      <c r="X34" s="49">
        <f t="shared" si="21"/>
        <v>3.8070383668685825</v>
      </c>
      <c r="Y34" s="49">
        <f t="shared" si="21"/>
        <v>3.574643820819225</v>
      </c>
      <c r="Z34" s="49">
        <f t="shared" si="21"/>
        <v>3.6185702919300007</v>
      </c>
      <c r="AA34" s="49">
        <f t="shared" si="21"/>
        <v>3.5841393659915992</v>
      </c>
      <c r="AB34" s="49">
        <f t="shared" si="21"/>
        <v>3.090013816562077</v>
      </c>
      <c r="AC34" s="49">
        <f t="shared" si="21"/>
        <v>3.2036391768546908</v>
      </c>
      <c r="AD34" s="49">
        <f t="shared" si="21"/>
        <v>3.1730419131473035</v>
      </c>
      <c r="AE34" s="49">
        <f t="shared" si="21"/>
        <v>3.1449518814399164</v>
      </c>
      <c r="AF34" s="49">
        <f t="shared" si="21"/>
        <v>3.1761268737325303</v>
      </c>
      <c r="AG34" s="49">
        <f t="shared" si="21"/>
        <v>3.2043578340251431</v>
      </c>
      <c r="AH34" s="49">
        <f t="shared" si="21"/>
        <v>3.2157894663177569</v>
      </c>
      <c r="AI34" s="49">
        <f t="shared" si="21"/>
        <v>3.2312714849038415</v>
      </c>
      <c r="AJ34" s="49">
        <f t="shared" si="21"/>
        <v>3.2467535034899253</v>
      </c>
      <c r="AK34" s="49">
        <f t="shared" si="21"/>
        <v>3.26223552207601</v>
      </c>
      <c r="AL34" s="49">
        <f t="shared" si="21"/>
        <v>3.2777175406620933</v>
      </c>
      <c r="AM34" s="49">
        <f t="shared" si="21"/>
        <v>3.2931995592481784</v>
      </c>
      <c r="AN34" s="49">
        <f t="shared" si="21"/>
        <v>3.3086815778342631</v>
      </c>
      <c r="AO34" s="49">
        <f t="shared" si="21"/>
        <v>3.3241635964203464</v>
      </c>
      <c r="AP34" s="49">
        <f t="shared" si="21"/>
        <v>3.3396456150064311</v>
      </c>
      <c r="AQ34" s="49">
        <f t="shared" si="21"/>
        <v>3.3551276335925149</v>
      </c>
      <c r="AR34" s="49">
        <f t="shared" si="21"/>
        <v>3.3706096521785995</v>
      </c>
      <c r="AS34" s="49">
        <f t="shared" si="21"/>
        <v>3.3860916707646842</v>
      </c>
      <c r="AT34" s="49">
        <f t="shared" si="21"/>
        <v>3.4015736893507675</v>
      </c>
      <c r="AU34" s="49">
        <f t="shared" si="21"/>
        <v>3.4166247163658898</v>
      </c>
      <c r="AV34" s="49">
        <f t="shared" si="21"/>
        <v>3.4316757433810112</v>
      </c>
      <c r="AW34" s="49">
        <f t="shared" si="21"/>
        <v>3.4467267703961331</v>
      </c>
      <c r="AX34" s="49">
        <f t="shared" si="21"/>
        <v>3.4617777974112558</v>
      </c>
      <c r="AY34" s="49">
        <f t="shared" si="21"/>
        <v>3.4768288244263776</v>
      </c>
      <c r="AZ34" s="49">
        <f t="shared" si="21"/>
        <v>3.491879851441499</v>
      </c>
      <c r="BA34" s="49">
        <f t="shared" si="21"/>
        <v>3.5069308784566204</v>
      </c>
      <c r="BB34" s="49">
        <f t="shared" si="21"/>
        <v>3.5219819054717427</v>
      </c>
      <c r="BC34" s="49">
        <f t="shared" si="21"/>
        <v>3.5362807779692043</v>
      </c>
      <c r="BD34" s="49">
        <f t="shared" si="21"/>
        <v>3.5505796504666653</v>
      </c>
      <c r="BE34" s="49">
        <f t="shared" si="21"/>
        <v>3.5648785229641264</v>
      </c>
      <c r="BF34" s="49">
        <f t="shared" si="21"/>
        <v>3.5791773954615884</v>
      </c>
      <c r="BG34" s="49">
        <f t="shared" si="21"/>
        <v>3.59347626795905</v>
      </c>
      <c r="BH34" s="49">
        <f t="shared" si="21"/>
        <v>3.6077751404565115</v>
      </c>
      <c r="BI34" s="49">
        <f t="shared" si="21"/>
        <v>3.622074012953973</v>
      </c>
      <c r="BJ34" s="49">
        <f t="shared" si="21"/>
        <v>3.6363728854514346</v>
      </c>
      <c r="BK34" s="49">
        <f t="shared" si="21"/>
        <v>3.6506717579488956</v>
      </c>
      <c r="BL34" s="49">
        <f t="shared" si="21"/>
        <v>3.6649706304463576</v>
      </c>
      <c r="BM34" s="49">
        <f t="shared" si="21"/>
        <v>3.6792695029438187</v>
      </c>
      <c r="BN34" s="49">
        <f t="shared" si="21"/>
        <v>3.6935683754412798</v>
      </c>
    </row>
    <row r="35" spans="1:66" x14ac:dyDescent="0.25">
      <c r="A35" t="str">
        <f>A33</f>
        <v>3C Aggregated and non-CO2 emissions on land</v>
      </c>
      <c r="B35" t="str">
        <f>'IPCC Categories'!B65</f>
        <v>3C1 Biomass burning (N2O)</v>
      </c>
      <c r="C35" t="str">
        <f>'IPCC Categories'!C65</f>
        <v>3C1a Biomass burning in forest land</v>
      </c>
      <c r="D35" t="s">
        <v>139</v>
      </c>
      <c r="E35" t="s">
        <v>287</v>
      </c>
      <c r="F35" s="22">
        <f>SUMIF(Emissions!$C$70:$C$85,'Emissions summary'!$C35,Emissions!H$70:H$85)</f>
        <v>1.1438763741385864</v>
      </c>
      <c r="G35" s="22">
        <f>SUMIF(Emissions!$C$70:$C$85,'Emissions summary'!$C35,Emissions!I$70:I$85)</f>
        <v>1.1438763741385864</v>
      </c>
      <c r="H35" s="22">
        <f>SUMIF(Emissions!$C$70:$C$85,'Emissions summary'!$C35,Emissions!J$70:J$85)</f>
        <v>1.1438763741385864</v>
      </c>
      <c r="I35" s="22">
        <f>SUMIF(Emissions!$C$70:$C$85,'Emissions summary'!$C35,Emissions!K$70:K$85)</f>
        <v>1.1438763741385864</v>
      </c>
      <c r="J35" s="22">
        <f>SUMIF(Emissions!$C$70:$C$85,'Emissions summary'!$C35,Emissions!L$70:L$85)</f>
        <v>1.1438763741385864</v>
      </c>
      <c r="K35" s="22">
        <f>SUMIF(Emissions!$C$70:$C$85,'Emissions summary'!$C35,Emissions!M$70:M$85)</f>
        <v>1.1438763741385864</v>
      </c>
      <c r="L35" s="22">
        <f>SUMIF(Emissions!$C$70:$C$85,'Emissions summary'!$C35,Emissions!N$70:N$85)</f>
        <v>1.1438763741385864</v>
      </c>
      <c r="M35" s="22">
        <f>SUMIF(Emissions!$C$70:$C$85,'Emissions summary'!$C35,Emissions!O$70:O$85)</f>
        <v>1.1438763741385864</v>
      </c>
      <c r="N35" s="22">
        <f>SUMIF(Emissions!$C$70:$C$85,'Emissions summary'!$C35,Emissions!P$70:P$85)</f>
        <v>1.1438763741385864</v>
      </c>
      <c r="O35" s="22">
        <f>SUMIF(Emissions!$C$70:$C$85,'Emissions summary'!$C35,Emissions!Q$70:Q$85)</f>
        <v>1.1438763741385864</v>
      </c>
      <c r="P35" s="22">
        <f>SUMIF(Emissions!$C$70:$C$85,'Emissions summary'!$C35,Emissions!R$70:R$85)</f>
        <v>1.129665625804974</v>
      </c>
      <c r="Q35" s="22">
        <f>SUMIF(Emissions!$C$70:$C$85,'Emissions summary'!$C35,Emissions!S$70:S$85)</f>
        <v>1.5001940667446125</v>
      </c>
      <c r="R35" s="22">
        <f>SUMIF(Emissions!$C$70:$C$85,'Emissions summary'!$C35,Emissions!T$70:T$85)</f>
        <v>1.2536062459262034</v>
      </c>
      <c r="S35" s="22">
        <f>SUMIF(Emissions!$C$70:$C$85,'Emissions summary'!$C35,Emissions!U$70:U$85)</f>
        <v>0.90130843582112352</v>
      </c>
      <c r="T35" s="22">
        <f>SUMIF(Emissions!$C$70:$C$85,'Emissions summary'!$C35,Emissions!V$70:V$85)</f>
        <v>0.93460749639601826</v>
      </c>
      <c r="U35" s="22">
        <f>SUMIF(Emissions!$C$70:$C$85,'Emissions summary'!$C35,Emissions!W$70:W$85)</f>
        <v>1.4818082671125721</v>
      </c>
      <c r="V35" s="22">
        <f>SUMIF(Emissions!$C$70:$C$85,'Emissions summary'!$C35,Emissions!X$70:X$85)</f>
        <v>1.2335191780721162</v>
      </c>
      <c r="W35" s="22">
        <f>SUMIF(Emissions!$C$70:$C$85,'Emissions summary'!$C35,Emissions!Y$70:Y$85)</f>
        <v>1.3425917486681966</v>
      </c>
      <c r="X35" s="22">
        <f>SUMIF(Emissions!$C$70:$C$85,'Emissions summary'!$C35,Emissions!Z$70:Z$85)</f>
        <v>1.3834411759926073</v>
      </c>
      <c r="Y35" s="22">
        <f>SUMIF(Emissions!$C$70:$C$85,'Emissions summary'!$C35,Emissions!AA$70:AA$85)</f>
        <v>1.0406581288181318</v>
      </c>
      <c r="Z35" s="22">
        <f>SUMIF(Emissions!$C$70:$C$85,'Emissions summary'!$C35,Emissions!AB$70:AB$85)</f>
        <v>1.1705685167880002</v>
      </c>
      <c r="AA35" s="22">
        <f>SUMIF(Emissions!$C$70:$C$85,'Emissions summary'!$C35,Emissions!AC$70:AC$85)</f>
        <v>1.1141746509779999</v>
      </c>
      <c r="AB35" s="22">
        <f>SUMIF(Emissions!$C$70:$C$85,'Emissions summary'!$C35,Emissions!AD$70:AD$85)</f>
        <v>0.81337835040550022</v>
      </c>
      <c r="AC35" s="22">
        <f>SUMIF(Emissions!$C$70:$C$85,'Emissions summary'!$C35,Emissions!AE$70:AE$85)</f>
        <v>0.91618667449117541</v>
      </c>
      <c r="AD35" s="22">
        <f>SUMIF(Emissions!$C$70:$C$85,'Emissions summary'!$C35,Emissions!AF$70:AF$85)</f>
        <v>0.87477237457685053</v>
      </c>
      <c r="AE35" s="22">
        <f>SUMIF(Emissions!$C$70:$C$85,'Emissions summary'!$C35,Emissions!AG$70:AG$85)</f>
        <v>0.83586530666252568</v>
      </c>
      <c r="AF35" s="22">
        <f>SUMIF(Emissions!$C$70:$C$85,'Emissions summary'!$C35,Emissions!AH$70:AH$85)</f>
        <v>0.85622326274820093</v>
      </c>
      <c r="AG35" s="22">
        <f>SUMIF(Emissions!$C$70:$C$85,'Emissions summary'!$C35,Emissions!AI$70:AI$85)</f>
        <v>0.87363718683387614</v>
      </c>
      <c r="AH35" s="22">
        <f>SUMIF(Emissions!$C$70:$C$85,'Emissions summary'!$C35,Emissions!AJ$70:AJ$85)</f>
        <v>0.87425178291955141</v>
      </c>
      <c r="AI35" s="22">
        <f>SUMIF(Emissions!$C$70:$C$85,'Emissions summary'!$C35,Emissions!AK$70:AK$85)</f>
        <v>0.87129977937663372</v>
      </c>
      <c r="AJ35" s="22">
        <f>SUMIF(Emissions!$C$70:$C$85,'Emissions summary'!$C35,Emissions!AL$70:AL$85)</f>
        <v>0.86834777583371592</v>
      </c>
      <c r="AK35" s="22">
        <f>SUMIF(Emissions!$C$70:$C$85,'Emissions summary'!$C35,Emissions!AM$70:AM$85)</f>
        <v>0.86539577229079812</v>
      </c>
      <c r="AL35" s="22">
        <f>SUMIF(Emissions!$C$70:$C$85,'Emissions summary'!$C35,Emissions!AN$70:AN$85)</f>
        <v>0.86244376874788042</v>
      </c>
      <c r="AM35" s="22">
        <f>SUMIF(Emissions!$C$70:$C$85,'Emissions summary'!$C35,Emissions!AO$70:AO$85)</f>
        <v>0.85949176520496295</v>
      </c>
      <c r="AN35" s="22">
        <f>SUMIF(Emissions!$C$70:$C$85,'Emissions summary'!$C35,Emissions!AP$70:AP$85)</f>
        <v>0.85653976166204526</v>
      </c>
      <c r="AO35" s="22">
        <f>SUMIF(Emissions!$C$70:$C$85,'Emissions summary'!$C35,Emissions!AQ$70:AQ$85)</f>
        <v>0.85358775811912746</v>
      </c>
      <c r="AP35" s="22">
        <f>SUMIF(Emissions!$C$70:$C$85,'Emissions summary'!$C35,Emissions!AR$70:AR$85)</f>
        <v>0.85063575457620977</v>
      </c>
      <c r="AQ35" s="22">
        <f>SUMIF(Emissions!$C$70:$C$85,'Emissions summary'!$C35,Emissions!AS$70:AS$85)</f>
        <v>0.84768375103329197</v>
      </c>
      <c r="AR35" s="22">
        <f>SUMIF(Emissions!$C$70:$C$85,'Emissions summary'!$C35,Emissions!AT$70:AT$85)</f>
        <v>0.84473174749037416</v>
      </c>
      <c r="AS35" s="22">
        <f>SUMIF(Emissions!$C$70:$C$85,'Emissions summary'!$C35,Emissions!AU$70:AU$85)</f>
        <v>0.84177974394745669</v>
      </c>
      <c r="AT35" s="22">
        <f>SUMIF(Emissions!$C$70:$C$85,'Emissions summary'!$C35,Emissions!AV$70:AV$85)</f>
        <v>0.838827740404539</v>
      </c>
      <c r="AU35" s="22">
        <f>SUMIF(Emissions!$C$70:$C$85,'Emissions summary'!$C35,Emissions!AW$70:AW$85)</f>
        <v>0.83512358234396089</v>
      </c>
      <c r="AV35" s="22">
        <f>SUMIF(Emissions!$C$70:$C$85,'Emissions summary'!$C35,Emissions!AX$70:AX$85)</f>
        <v>0.83141942428338278</v>
      </c>
      <c r="AW35" s="22">
        <f>SUMIF(Emissions!$C$70:$C$85,'Emissions summary'!$C35,Emissions!AY$70:AY$85)</f>
        <v>0.82771526622280467</v>
      </c>
      <c r="AX35" s="22">
        <f>SUMIF(Emissions!$C$70:$C$85,'Emissions summary'!$C35,Emissions!AZ$70:AZ$85)</f>
        <v>0.82401110816222667</v>
      </c>
      <c r="AY35" s="22">
        <f>SUMIF(Emissions!$C$70:$C$85,'Emissions summary'!$C35,Emissions!BA$70:BA$85)</f>
        <v>0.82030695010164856</v>
      </c>
      <c r="AZ35" s="22">
        <f>SUMIF(Emissions!$C$70:$C$85,'Emissions summary'!$C35,Emissions!BB$70:BB$85)</f>
        <v>0.81660279204107056</v>
      </c>
      <c r="BA35" s="22">
        <f>SUMIF(Emissions!$C$70:$C$85,'Emissions summary'!$C35,Emissions!BC$70:BC$85)</f>
        <v>0.81289863398049245</v>
      </c>
      <c r="BB35" s="22">
        <f>SUMIF(Emissions!$C$70:$C$85,'Emissions summary'!$C35,Emissions!BD$70:BD$85)</f>
        <v>0.80919447591991434</v>
      </c>
      <c r="BC35" s="22">
        <f>SUMIF(Emissions!$C$70:$C$85,'Emissions summary'!$C35,Emissions!BE$70:BE$85)</f>
        <v>0.80473816334167581</v>
      </c>
      <c r="BD35" s="22">
        <f>SUMIF(Emissions!$C$70:$C$85,'Emissions summary'!$C35,Emissions!BF$70:BF$85)</f>
        <v>0.80028185076343727</v>
      </c>
      <c r="BE35" s="22">
        <f>SUMIF(Emissions!$C$70:$C$85,'Emissions summary'!$C35,Emissions!BG$70:BG$85)</f>
        <v>0.79582553818519886</v>
      </c>
      <c r="BF35" s="22">
        <f>SUMIF(Emissions!$C$70:$C$85,'Emissions summary'!$C35,Emissions!BH$70:BH$85)</f>
        <v>0.79136922560696055</v>
      </c>
      <c r="BG35" s="22">
        <f>SUMIF(Emissions!$C$70:$C$85,'Emissions summary'!$C35,Emissions!BI$70:BI$85)</f>
        <v>0.78691291302872202</v>
      </c>
      <c r="BH35" s="22">
        <f>SUMIF(Emissions!$C$70:$C$85,'Emissions summary'!$C35,Emissions!BJ$70:BJ$85)</f>
        <v>0.7824566004504836</v>
      </c>
      <c r="BI35" s="22">
        <f>SUMIF(Emissions!$C$70:$C$85,'Emissions summary'!$C35,Emissions!BK$70:BK$85)</f>
        <v>0.77800028787224518</v>
      </c>
      <c r="BJ35" s="22">
        <f>SUMIF(Emissions!$C$70:$C$85,'Emissions summary'!$C35,Emissions!BL$70:BL$85)</f>
        <v>0.77354397529400676</v>
      </c>
      <c r="BK35" s="22">
        <f>SUMIF(Emissions!$C$70:$C$85,'Emissions summary'!$C35,Emissions!BM$70:BM$85)</f>
        <v>0.76908766271576834</v>
      </c>
      <c r="BL35" s="22">
        <f>SUMIF(Emissions!$C$70:$C$85,'Emissions summary'!$C35,Emissions!BN$70:BN$85)</f>
        <v>0.76463135013752992</v>
      </c>
      <c r="BM35" s="22">
        <f>SUMIF(Emissions!$C$70:$C$85,'Emissions summary'!$C35,Emissions!BO$70:BO$85)</f>
        <v>0.76017503755929161</v>
      </c>
      <c r="BN35" s="22">
        <f>SUMIF(Emissions!$C$70:$C$85,'Emissions summary'!$C35,Emissions!BP$70:BP$85)</f>
        <v>0.75571872498105297</v>
      </c>
    </row>
    <row r="36" spans="1:66" x14ac:dyDescent="0.25">
      <c r="A36" t="str">
        <f t="shared" si="18"/>
        <v>3C Aggregated and non-CO2 emissions on land</v>
      </c>
      <c r="B36" t="str">
        <f>B35</f>
        <v>3C1 Biomass burning (N2O)</v>
      </c>
      <c r="C36" t="str">
        <f>'IPCC Categories'!C66</f>
        <v>3C1b Biomass burning in Croplands</v>
      </c>
      <c r="D36" t="str">
        <f>D35</f>
        <v>N2O</v>
      </c>
      <c r="E36" t="str">
        <f>E35</f>
        <v>Gg N2O</v>
      </c>
      <c r="F36" s="22">
        <f>SUMIF(Emissions!$C$70:$C$85,'Emissions summary'!$C36,Emissions!H$70:H$85)</f>
        <v>0.26227938544915658</v>
      </c>
      <c r="G36" s="22">
        <f>SUMIF(Emissions!$C$70:$C$85,'Emissions summary'!$C36,Emissions!I$70:I$85)</f>
        <v>0.26227938544915658</v>
      </c>
      <c r="H36" s="22">
        <f>SUMIF(Emissions!$C$70:$C$85,'Emissions summary'!$C36,Emissions!J$70:J$85)</f>
        <v>0.26227938544915658</v>
      </c>
      <c r="I36" s="22">
        <f>SUMIF(Emissions!$C$70:$C$85,'Emissions summary'!$C36,Emissions!K$70:K$85)</f>
        <v>0.26227938544915658</v>
      </c>
      <c r="J36" s="22">
        <f>SUMIF(Emissions!$C$70:$C$85,'Emissions summary'!$C36,Emissions!L$70:L$85)</f>
        <v>0.26227938544915658</v>
      </c>
      <c r="K36" s="22">
        <f>SUMIF(Emissions!$C$70:$C$85,'Emissions summary'!$C36,Emissions!M$70:M$85)</f>
        <v>0.26227938544915658</v>
      </c>
      <c r="L36" s="22">
        <f>SUMIF(Emissions!$C$70:$C$85,'Emissions summary'!$C36,Emissions!N$70:N$85)</f>
        <v>0.26227938544915658</v>
      </c>
      <c r="M36" s="22">
        <f>SUMIF(Emissions!$C$70:$C$85,'Emissions summary'!$C36,Emissions!O$70:O$85)</f>
        <v>0.26227938544915658</v>
      </c>
      <c r="N36" s="22">
        <f>SUMIF(Emissions!$C$70:$C$85,'Emissions summary'!$C36,Emissions!P$70:P$85)</f>
        <v>0.26227938544915658</v>
      </c>
      <c r="O36" s="22">
        <f>SUMIF(Emissions!$C$70:$C$85,'Emissions summary'!$C36,Emissions!Q$70:Q$85)</f>
        <v>0.26227938544915658</v>
      </c>
      <c r="P36" s="22">
        <f>SUMIF(Emissions!$C$70:$C$85,'Emissions summary'!$C36,Emissions!R$70:R$85)</f>
        <v>0.27249351091104779</v>
      </c>
      <c r="Q36" s="22">
        <f>SUMIF(Emissions!$C$70:$C$85,'Emissions summary'!$C36,Emissions!S$70:S$85)</f>
        <v>0.28214910438509594</v>
      </c>
      <c r="R36" s="22">
        <f>SUMIF(Emissions!$C$70:$C$85,'Emissions summary'!$C36,Emissions!T$70:T$85)</f>
        <v>0.3096912890487743</v>
      </c>
      <c r="S36" s="22">
        <f>SUMIF(Emissions!$C$70:$C$85,'Emissions summary'!$C36,Emissions!U$70:U$85)</f>
        <v>0.24106195370044609</v>
      </c>
      <c r="T36" s="22">
        <f>SUMIF(Emissions!$C$70:$C$85,'Emissions summary'!$C36,Emissions!V$70:V$85)</f>
        <v>0.20600106920041864</v>
      </c>
      <c r="U36" s="22">
        <f>SUMIF(Emissions!$C$70:$C$85,'Emissions summary'!$C36,Emissions!W$70:W$85)</f>
        <v>0.35933732059976431</v>
      </c>
      <c r="V36" s="22">
        <f>SUMIF(Emissions!$C$70:$C$85,'Emissions summary'!$C36,Emissions!X$70:X$85)</f>
        <v>0.33855631263102837</v>
      </c>
      <c r="W36" s="22">
        <f>SUMIF(Emissions!$C$70:$C$85,'Emissions summary'!$C36,Emissions!Y$70:Y$85)</f>
        <v>0.27162292461420739</v>
      </c>
      <c r="X36" s="22">
        <f>SUMIF(Emissions!$C$70:$C$85,'Emissions summary'!$C36,Emissions!Z$70:Z$85)</f>
        <v>0.2444764609945474</v>
      </c>
      <c r="Y36" s="22">
        <f>SUMIF(Emissions!$C$70:$C$85,'Emissions summary'!$C36,Emissions!AA$70:AA$85)</f>
        <v>0.25418858604631245</v>
      </c>
      <c r="Z36" s="22">
        <f>SUMIF(Emissions!$C$70:$C$85,'Emissions summary'!$C36,Emissions!AB$70:AB$85)</f>
        <v>0.25351308360000002</v>
      </c>
      <c r="AA36" s="22">
        <f>SUMIF(Emissions!$C$70:$C$85,'Emissions summary'!$C36,Emissions!AC$70:AC$85)</f>
        <v>0.24445247399999998</v>
      </c>
      <c r="AB36" s="22">
        <f>SUMIF(Emissions!$C$70:$C$85,'Emissions summary'!$C36,Emissions!AD$70:AD$85)</f>
        <v>0.23150267764623561</v>
      </c>
      <c r="AC36" s="22">
        <f>SUMIF(Emissions!$C$70:$C$85,'Emissions summary'!$C36,Emissions!AE$70:AE$85)</f>
        <v>0.23149080350455245</v>
      </c>
      <c r="AD36" s="22">
        <f>SUMIF(Emissions!$C$70:$C$85,'Emissions summary'!$C36,Emissions!AF$70:AF$85)</f>
        <v>0.23147892936286932</v>
      </c>
      <c r="AE36" s="22">
        <f>SUMIF(Emissions!$C$70:$C$85,'Emissions summary'!$C36,Emissions!AG$70:AG$85)</f>
        <v>0.23146705522118621</v>
      </c>
      <c r="AF36" s="22">
        <f>SUMIF(Emissions!$C$70:$C$85,'Emissions summary'!$C36,Emissions!AH$70:AH$85)</f>
        <v>0.23145518107950305</v>
      </c>
      <c r="AG36" s="22">
        <f>SUMIF(Emissions!$C$70:$C$85,'Emissions summary'!$C36,Emissions!AI$70:AI$85)</f>
        <v>0.23144330693781995</v>
      </c>
      <c r="AH36" s="22">
        <f>SUMIF(Emissions!$C$70:$C$85,'Emissions summary'!$C36,Emissions!AJ$70:AJ$85)</f>
        <v>0.23143143279613676</v>
      </c>
      <c r="AI36" s="22">
        <f>SUMIF(Emissions!$C$70:$C$85,'Emissions summary'!$C36,Emissions!AK$70:AK$85)</f>
        <v>0.23141955865445368</v>
      </c>
      <c r="AJ36" s="22">
        <f>SUMIF(Emissions!$C$70:$C$85,'Emissions summary'!$C36,Emissions!AL$70:AL$85)</f>
        <v>0.23140768451277055</v>
      </c>
      <c r="AK36" s="22">
        <f>SUMIF(Emissions!$C$70:$C$85,'Emissions summary'!$C36,Emissions!AM$70:AM$85)</f>
        <v>0.23139581037108745</v>
      </c>
      <c r="AL36" s="22">
        <f>SUMIF(Emissions!$C$70:$C$85,'Emissions summary'!$C36,Emissions!AN$70:AN$85)</f>
        <v>0.23138393622940429</v>
      </c>
      <c r="AM36" s="22">
        <f>SUMIF(Emissions!$C$70:$C$85,'Emissions summary'!$C36,Emissions!AO$70:AO$85)</f>
        <v>0.23137206208772113</v>
      </c>
      <c r="AN36" s="22">
        <f>SUMIF(Emissions!$C$70:$C$85,'Emissions summary'!$C36,Emissions!AP$70:AP$85)</f>
        <v>0.23136018794603802</v>
      </c>
      <c r="AO36" s="22">
        <f>SUMIF(Emissions!$C$70:$C$85,'Emissions summary'!$C36,Emissions!AQ$70:AQ$85)</f>
        <v>0.23134831380435489</v>
      </c>
      <c r="AP36" s="22">
        <f>SUMIF(Emissions!$C$70:$C$85,'Emissions summary'!$C36,Emissions!AR$70:AR$85)</f>
        <v>0.23133643966267178</v>
      </c>
      <c r="AQ36" s="22">
        <f>SUMIF(Emissions!$C$70:$C$85,'Emissions summary'!$C36,Emissions!AS$70:AS$85)</f>
        <v>0.23132456552098865</v>
      </c>
      <c r="AR36" s="22">
        <f>SUMIF(Emissions!$C$70:$C$85,'Emissions summary'!$C36,Emissions!AT$70:AT$85)</f>
        <v>0.23131269137930549</v>
      </c>
      <c r="AS36" s="22">
        <f>SUMIF(Emissions!$C$70:$C$85,'Emissions summary'!$C36,Emissions!AU$70:AU$85)</f>
        <v>0.23130081723762241</v>
      </c>
      <c r="AT36" s="22">
        <f>SUMIF(Emissions!$C$70:$C$85,'Emissions summary'!$C36,Emissions!AV$70:AV$85)</f>
        <v>0.23128894309593925</v>
      </c>
      <c r="AU36" s="22">
        <f>SUMIF(Emissions!$C$70:$C$85,'Emissions summary'!$C36,Emissions!AW$70:AW$85)</f>
        <v>0.23127706895425609</v>
      </c>
      <c r="AV36" s="22">
        <f>SUMIF(Emissions!$C$70:$C$85,'Emissions summary'!$C36,Emissions!AX$70:AX$85)</f>
        <v>0.23126519481257302</v>
      </c>
      <c r="AW36" s="22">
        <f>SUMIF(Emissions!$C$70:$C$85,'Emissions summary'!$C36,Emissions!AY$70:AY$85)</f>
        <v>0.23125332067088986</v>
      </c>
      <c r="AX36" s="22">
        <f>SUMIF(Emissions!$C$70:$C$85,'Emissions summary'!$C36,Emissions!AZ$70:AZ$85)</f>
        <v>0.23124144652920675</v>
      </c>
      <c r="AY36" s="22">
        <f>SUMIF(Emissions!$C$70:$C$85,'Emissions summary'!$C36,Emissions!BA$70:BA$85)</f>
        <v>0.23122957238752362</v>
      </c>
      <c r="AZ36" s="22">
        <f>SUMIF(Emissions!$C$70:$C$85,'Emissions summary'!$C36,Emissions!BB$70:BB$85)</f>
        <v>0.23121769824584049</v>
      </c>
      <c r="BA36" s="22">
        <f>SUMIF(Emissions!$C$70:$C$85,'Emissions summary'!$C36,Emissions!BC$70:BC$85)</f>
        <v>0.2312058241041573</v>
      </c>
      <c r="BB36" s="22">
        <f>SUMIF(Emissions!$C$70:$C$85,'Emissions summary'!$C36,Emissions!BD$70:BD$85)</f>
        <v>0.23119394996247425</v>
      </c>
      <c r="BC36" s="22">
        <f>SUMIF(Emissions!$C$70:$C$85,'Emissions summary'!$C36,Emissions!BE$70:BE$85)</f>
        <v>0.23118207582079112</v>
      </c>
      <c r="BD36" s="22">
        <f>SUMIF(Emissions!$C$70:$C$85,'Emissions summary'!$C36,Emissions!BF$70:BF$85)</f>
        <v>0.23117020167910793</v>
      </c>
      <c r="BE36" s="22">
        <f>SUMIF(Emissions!$C$70:$C$85,'Emissions summary'!$C36,Emissions!BG$70:BG$85)</f>
        <v>0.23115832753742488</v>
      </c>
      <c r="BF36" s="22">
        <f>SUMIF(Emissions!$C$70:$C$85,'Emissions summary'!$C36,Emissions!BH$70:BH$85)</f>
        <v>0.23114645339574169</v>
      </c>
      <c r="BG36" s="22">
        <f>SUMIF(Emissions!$C$70:$C$85,'Emissions summary'!$C36,Emissions!BI$70:BI$85)</f>
        <v>0.23113457925405859</v>
      </c>
      <c r="BH36" s="22">
        <f>SUMIF(Emissions!$C$70:$C$85,'Emissions summary'!$C36,Emissions!BJ$70:BJ$85)</f>
        <v>0.23112270511237543</v>
      </c>
      <c r="BI36" s="22">
        <f>SUMIF(Emissions!$C$70:$C$85,'Emissions summary'!$C36,Emissions!BK$70:BK$85)</f>
        <v>0.23111083097069229</v>
      </c>
      <c r="BJ36" s="22">
        <f>SUMIF(Emissions!$C$70:$C$85,'Emissions summary'!$C36,Emissions!BL$70:BL$85)</f>
        <v>0.23109895682900922</v>
      </c>
      <c r="BK36" s="22">
        <f>SUMIF(Emissions!$C$70:$C$85,'Emissions summary'!$C36,Emissions!BM$70:BM$85)</f>
        <v>0.23108708268732603</v>
      </c>
      <c r="BL36" s="22">
        <f>SUMIF(Emissions!$C$70:$C$85,'Emissions summary'!$C36,Emissions!BN$70:BN$85)</f>
        <v>0.23107520854564292</v>
      </c>
      <c r="BM36" s="22">
        <f>SUMIF(Emissions!$C$70:$C$85,'Emissions summary'!$C36,Emissions!BO$70:BO$85)</f>
        <v>0.23106333440395979</v>
      </c>
      <c r="BN36" s="22">
        <f>SUMIF(Emissions!$C$70:$C$85,'Emissions summary'!$C36,Emissions!BP$70:BP$85)</f>
        <v>0.23105146026227666</v>
      </c>
    </row>
    <row r="37" spans="1:66" x14ac:dyDescent="0.25">
      <c r="A37" t="str">
        <f t="shared" si="18"/>
        <v>3C Aggregated and non-CO2 emissions on land</v>
      </c>
      <c r="B37" t="str">
        <f t="shared" ref="B37:B40" si="22">B36</f>
        <v>3C1 Biomass burning (N2O)</v>
      </c>
      <c r="C37" t="str">
        <f>'IPCC Categories'!C67</f>
        <v>3C1c Biomass burning in Grasslands</v>
      </c>
      <c r="D37" t="str">
        <f t="shared" ref="D37:E40" si="23">D36</f>
        <v>N2O</v>
      </c>
      <c r="E37" t="str">
        <f t="shared" si="23"/>
        <v>Gg N2O</v>
      </c>
      <c r="F37" s="22">
        <f>SUMIF(Emissions!$C$70:$C$85,'Emissions summary'!$C37,Emissions!H$70:H$85)</f>
        <v>2.1832325939202906</v>
      </c>
      <c r="G37" s="22">
        <f>SUMIF(Emissions!$C$70:$C$85,'Emissions summary'!$C37,Emissions!I$70:I$85)</f>
        <v>2.1832325939202906</v>
      </c>
      <c r="H37" s="22">
        <f>SUMIF(Emissions!$C$70:$C$85,'Emissions summary'!$C37,Emissions!J$70:J$85)</f>
        <v>2.1832325939202906</v>
      </c>
      <c r="I37" s="22">
        <f>SUMIF(Emissions!$C$70:$C$85,'Emissions summary'!$C37,Emissions!K$70:K$85)</f>
        <v>2.1832325939202906</v>
      </c>
      <c r="J37" s="22">
        <f>SUMIF(Emissions!$C$70:$C$85,'Emissions summary'!$C37,Emissions!L$70:L$85)</f>
        <v>2.1832325939202906</v>
      </c>
      <c r="K37" s="22">
        <f>SUMIF(Emissions!$C$70:$C$85,'Emissions summary'!$C37,Emissions!M$70:M$85)</f>
        <v>2.1832325939202906</v>
      </c>
      <c r="L37" s="22">
        <f>SUMIF(Emissions!$C$70:$C$85,'Emissions summary'!$C37,Emissions!N$70:N$85)</f>
        <v>2.1832325939202906</v>
      </c>
      <c r="M37" s="22">
        <f>SUMIF(Emissions!$C$70:$C$85,'Emissions summary'!$C37,Emissions!O$70:O$85)</f>
        <v>2.1832325939202906</v>
      </c>
      <c r="N37" s="22">
        <f>SUMIF(Emissions!$C$70:$C$85,'Emissions summary'!$C37,Emissions!P$70:P$85)</f>
        <v>2.1832325939202906</v>
      </c>
      <c r="O37" s="22">
        <f>SUMIF(Emissions!$C$70:$C$85,'Emissions summary'!$C37,Emissions!Q$70:Q$85)</f>
        <v>2.1832325939202906</v>
      </c>
      <c r="P37" s="22">
        <f>SUMIF(Emissions!$C$70:$C$85,'Emissions summary'!$C37,Emissions!R$70:R$85)</f>
        <v>2.1560404954267964</v>
      </c>
      <c r="Q37" s="22">
        <f>SUMIF(Emissions!$C$70:$C$85,'Emissions summary'!$C37,Emissions!S$70:S$85)</f>
        <v>2.4331484625916917</v>
      </c>
      <c r="R37" s="22">
        <f>SUMIF(Emissions!$C$70:$C$85,'Emissions summary'!$C37,Emissions!T$70:T$85)</f>
        <v>2.5851794612386958</v>
      </c>
      <c r="S37" s="22">
        <f>SUMIF(Emissions!$C$70:$C$85,'Emissions summary'!$C37,Emissions!U$70:U$85)</f>
        <v>2.026241021042972</v>
      </c>
      <c r="T37" s="22">
        <f>SUMIF(Emissions!$C$70:$C$85,'Emissions summary'!$C37,Emissions!V$70:V$85)</f>
        <v>1.7155535293012945</v>
      </c>
      <c r="U37" s="22">
        <f>SUMIF(Emissions!$C$70:$C$85,'Emissions summary'!$C37,Emissions!W$70:W$85)</f>
        <v>2.664720786608763</v>
      </c>
      <c r="V37" s="22">
        <f>SUMIF(Emissions!$C$70:$C$85,'Emissions summary'!$C37,Emissions!X$70:X$85)</f>
        <v>2.3579698696662157</v>
      </c>
      <c r="W37" s="22">
        <f>SUMIF(Emissions!$C$70:$C$85,'Emissions summary'!$C37,Emissions!Y$70:Y$85)</f>
        <v>2.1705723800404217</v>
      </c>
      <c r="X37" s="22">
        <f>SUMIF(Emissions!$C$70:$C$85,'Emissions summary'!$C37,Emissions!Z$70:Z$85)</f>
        <v>2.069932733340706</v>
      </c>
      <c r="Y37" s="22">
        <f>SUMIF(Emissions!$C$70:$C$85,'Emissions summary'!$C37,Emissions!AA$70:AA$85)</f>
        <v>2.153682585932855</v>
      </c>
      <c r="Z37" s="22">
        <f>SUMIF(Emissions!$C$70:$C$85,'Emissions summary'!$C37,Emissions!AB$70:AB$85)</f>
        <v>2.0565198387720001</v>
      </c>
      <c r="AA37" s="22">
        <f>SUMIF(Emissions!$C$70:$C$85,'Emissions summary'!$C37,Emissions!AC$70:AC$85)</f>
        <v>2.0914494266735995</v>
      </c>
      <c r="AB37" s="22">
        <f>SUMIF(Emissions!$C$70:$C$85,'Emissions summary'!$C37,Emissions!AD$70:AD$85)</f>
        <v>1.9270838146967177</v>
      </c>
      <c r="AC37" s="22">
        <f>SUMIF(Emissions!$C$70:$C$85,'Emissions summary'!$C37,Emissions!AE$70:AE$85)</f>
        <v>1.9378298037617634</v>
      </c>
      <c r="AD37" s="22">
        <f>SUMIF(Emissions!$C$70:$C$85,'Emissions summary'!$C37,Emissions!AF$70:AF$85)</f>
        <v>1.9485757928268084</v>
      </c>
      <c r="AE37" s="22">
        <f>SUMIF(Emissions!$C$70:$C$85,'Emissions summary'!$C37,Emissions!AG$70:AG$85)</f>
        <v>1.9593217818918536</v>
      </c>
      <c r="AF37" s="22">
        <f>SUMIF(Emissions!$C$70:$C$85,'Emissions summary'!$C37,Emissions!AH$70:AH$85)</f>
        <v>1.9700677709568992</v>
      </c>
      <c r="AG37" s="22">
        <f>SUMIF(Emissions!$C$70:$C$85,'Emissions summary'!$C37,Emissions!AI$70:AI$85)</f>
        <v>1.9808137600219442</v>
      </c>
      <c r="AH37" s="22">
        <f>SUMIF(Emissions!$C$70:$C$85,'Emissions summary'!$C37,Emissions!AJ$70:AJ$85)</f>
        <v>1.9915597490869896</v>
      </c>
      <c r="AI37" s="22">
        <f>SUMIF(Emissions!$C$70:$C$85,'Emissions summary'!$C37,Emissions!AK$70:AK$85)</f>
        <v>2.0099227240740993</v>
      </c>
      <c r="AJ37" s="22">
        <f>SUMIF(Emissions!$C$70:$C$85,'Emissions summary'!$C37,Emissions!AL$70:AL$85)</f>
        <v>2.0282856990612084</v>
      </c>
      <c r="AK37" s="22">
        <f>SUMIF(Emissions!$C$70:$C$85,'Emissions summary'!$C37,Emissions!AM$70:AM$85)</f>
        <v>2.0466486740483179</v>
      </c>
      <c r="AL37" s="22">
        <f>SUMIF(Emissions!$C$70:$C$85,'Emissions summary'!$C37,Emissions!AN$70:AN$85)</f>
        <v>2.065011649035426</v>
      </c>
      <c r="AM37" s="22">
        <f>SUMIF(Emissions!$C$70:$C$85,'Emissions summary'!$C37,Emissions!AO$70:AO$85)</f>
        <v>2.0833746240225359</v>
      </c>
      <c r="AN37" s="22">
        <f>SUMIF(Emissions!$C$70:$C$85,'Emissions summary'!$C37,Emissions!AP$70:AP$85)</f>
        <v>2.101737599009645</v>
      </c>
      <c r="AO37" s="22">
        <f>SUMIF(Emissions!$C$70:$C$85,'Emissions summary'!$C37,Emissions!AQ$70:AQ$85)</f>
        <v>2.120100573996754</v>
      </c>
      <c r="AP37" s="22">
        <f>SUMIF(Emissions!$C$70:$C$85,'Emissions summary'!$C37,Emissions!AR$70:AR$85)</f>
        <v>2.138463548983863</v>
      </c>
      <c r="AQ37" s="22">
        <f>SUMIF(Emissions!$C$70:$C$85,'Emissions summary'!$C37,Emissions!AS$70:AS$85)</f>
        <v>2.1568265239709721</v>
      </c>
      <c r="AR37" s="22">
        <f>SUMIF(Emissions!$C$70:$C$85,'Emissions summary'!$C37,Emissions!AT$70:AT$85)</f>
        <v>2.1751894989580816</v>
      </c>
      <c r="AS37" s="22">
        <f>SUMIF(Emissions!$C$70:$C$85,'Emissions summary'!$C37,Emissions!AU$70:AU$85)</f>
        <v>2.1935524739451906</v>
      </c>
      <c r="AT37" s="22">
        <f>SUMIF(Emissions!$C$70:$C$85,'Emissions summary'!$C37,Emissions!AV$70:AV$85)</f>
        <v>2.2119154489322996</v>
      </c>
      <c r="AU37" s="22">
        <f>SUMIF(Emissions!$C$70:$C$85,'Emissions summary'!$C37,Emissions!AW$70:AW$85)</f>
        <v>2.230599586866107</v>
      </c>
      <c r="AV37" s="22">
        <f>SUMIF(Emissions!$C$70:$C$85,'Emissions summary'!$C37,Emissions!AX$70:AX$85)</f>
        <v>2.2492837247999136</v>
      </c>
      <c r="AW37" s="22">
        <f>SUMIF(Emissions!$C$70:$C$85,'Emissions summary'!$C37,Emissions!AY$70:AY$85)</f>
        <v>2.267967862733721</v>
      </c>
      <c r="AX37" s="22">
        <f>SUMIF(Emissions!$C$70:$C$85,'Emissions summary'!$C37,Emissions!AZ$70:AZ$85)</f>
        <v>2.2866520006675284</v>
      </c>
      <c r="AY37" s="22">
        <f>SUMIF(Emissions!$C$70:$C$85,'Emissions summary'!$C37,Emissions!BA$70:BA$85)</f>
        <v>2.3053361386013353</v>
      </c>
      <c r="AZ37" s="22">
        <f>SUMIF(Emissions!$C$70:$C$85,'Emissions summary'!$C37,Emissions!BB$70:BB$85)</f>
        <v>2.3240202765351423</v>
      </c>
      <c r="BA37" s="22">
        <f>SUMIF(Emissions!$C$70:$C$85,'Emissions summary'!$C37,Emissions!BC$70:BC$85)</f>
        <v>2.3427044144689493</v>
      </c>
      <c r="BB37" s="22">
        <f>SUMIF(Emissions!$C$70:$C$85,'Emissions summary'!$C37,Emissions!BD$70:BD$85)</f>
        <v>2.3613885524027567</v>
      </c>
      <c r="BC37" s="22">
        <f>SUMIF(Emissions!$C$70:$C$85,'Emissions summary'!$C37,Emissions!BE$70:BE$85)</f>
        <v>2.3800726903365637</v>
      </c>
      <c r="BD37" s="22">
        <f>SUMIF(Emissions!$C$70:$C$85,'Emissions summary'!$C37,Emissions!BF$70:BF$85)</f>
        <v>2.3987568282703706</v>
      </c>
      <c r="BE37" s="22">
        <f>SUMIF(Emissions!$C$70:$C$85,'Emissions summary'!$C37,Emissions!BG$70:BG$85)</f>
        <v>2.4174409662041776</v>
      </c>
      <c r="BF37" s="22">
        <f>SUMIF(Emissions!$C$70:$C$85,'Emissions summary'!$C37,Emissions!BH$70:BH$85)</f>
        <v>2.436125104137985</v>
      </c>
      <c r="BG37" s="22">
        <f>SUMIF(Emissions!$C$70:$C$85,'Emissions summary'!$C37,Emissions!BI$70:BI$85)</f>
        <v>2.454809242071792</v>
      </c>
      <c r="BH37" s="22">
        <f>SUMIF(Emissions!$C$70:$C$85,'Emissions summary'!$C37,Emissions!BJ$70:BJ$85)</f>
        <v>2.4734933800055994</v>
      </c>
      <c r="BI37" s="22">
        <f>SUMIF(Emissions!$C$70:$C$85,'Emissions summary'!$C37,Emissions!BK$70:BK$85)</f>
        <v>2.4921775179394063</v>
      </c>
      <c r="BJ37" s="22">
        <f>SUMIF(Emissions!$C$70:$C$85,'Emissions summary'!$C37,Emissions!BL$70:BL$85)</f>
        <v>2.5108616558732133</v>
      </c>
      <c r="BK37" s="22">
        <f>SUMIF(Emissions!$C$70:$C$85,'Emissions summary'!$C37,Emissions!BM$70:BM$85)</f>
        <v>2.5295457938070207</v>
      </c>
      <c r="BL37" s="22">
        <f>SUMIF(Emissions!$C$70:$C$85,'Emissions summary'!$C37,Emissions!BN$70:BN$85)</f>
        <v>2.5482299317408281</v>
      </c>
      <c r="BM37" s="22">
        <f>SUMIF(Emissions!$C$70:$C$85,'Emissions summary'!$C37,Emissions!BO$70:BO$85)</f>
        <v>2.5669140696746346</v>
      </c>
      <c r="BN37" s="22">
        <f>SUMIF(Emissions!$C$70:$C$85,'Emissions summary'!$C37,Emissions!BP$70:BP$85)</f>
        <v>2.5855982076084416</v>
      </c>
    </row>
    <row r="38" spans="1:66" x14ac:dyDescent="0.25">
      <c r="A38" t="str">
        <f t="shared" si="18"/>
        <v>3C Aggregated and non-CO2 emissions on land</v>
      </c>
      <c r="B38" t="str">
        <f t="shared" si="22"/>
        <v>3C1 Biomass burning (N2O)</v>
      </c>
      <c r="C38" t="str">
        <f>'IPCC Categories'!C68</f>
        <v>3C1d Biomass burning in Wetlands</v>
      </c>
      <c r="D38" t="str">
        <f t="shared" si="23"/>
        <v>N2O</v>
      </c>
      <c r="E38" t="str">
        <f t="shared" si="23"/>
        <v>Gg N2O</v>
      </c>
      <c r="F38" s="22">
        <f>SUMIF(Emissions!$C$70:$C$85,'Emissions summary'!$C38,Emissions!H$70:H$85)</f>
        <v>7.357077670844267E-2</v>
      </c>
      <c r="G38" s="22">
        <f>SUMIF(Emissions!$C$70:$C$85,'Emissions summary'!$C38,Emissions!I$70:I$85)</f>
        <v>7.357077670844267E-2</v>
      </c>
      <c r="H38" s="22">
        <f>SUMIF(Emissions!$C$70:$C$85,'Emissions summary'!$C38,Emissions!J$70:J$85)</f>
        <v>7.357077670844267E-2</v>
      </c>
      <c r="I38" s="22">
        <f>SUMIF(Emissions!$C$70:$C$85,'Emissions summary'!$C38,Emissions!K$70:K$85)</f>
        <v>7.357077670844267E-2</v>
      </c>
      <c r="J38" s="22">
        <f>SUMIF(Emissions!$C$70:$C$85,'Emissions summary'!$C38,Emissions!L$70:L$85)</f>
        <v>7.357077670844267E-2</v>
      </c>
      <c r="K38" s="22">
        <f>SUMIF(Emissions!$C$70:$C$85,'Emissions summary'!$C38,Emissions!M$70:M$85)</f>
        <v>7.357077670844267E-2</v>
      </c>
      <c r="L38" s="22">
        <f>SUMIF(Emissions!$C$70:$C$85,'Emissions summary'!$C38,Emissions!N$70:N$85)</f>
        <v>7.357077670844267E-2</v>
      </c>
      <c r="M38" s="22">
        <f>SUMIF(Emissions!$C$70:$C$85,'Emissions summary'!$C38,Emissions!O$70:O$85)</f>
        <v>7.357077670844267E-2</v>
      </c>
      <c r="N38" s="22">
        <f>SUMIF(Emissions!$C$70:$C$85,'Emissions summary'!$C38,Emissions!P$70:P$85)</f>
        <v>7.357077670844267E-2</v>
      </c>
      <c r="O38" s="22">
        <f>SUMIF(Emissions!$C$70:$C$85,'Emissions summary'!$C38,Emissions!Q$70:Q$85)</f>
        <v>7.357077670844267E-2</v>
      </c>
      <c r="P38" s="22">
        <f>SUMIF(Emissions!$C$70:$C$85,'Emissions summary'!$C38,Emissions!R$70:R$85)</f>
        <v>6.5083674793923713E-2</v>
      </c>
      <c r="Q38" s="22">
        <f>SUMIF(Emissions!$C$70:$C$85,'Emissions summary'!$C38,Emissions!S$70:S$85)</f>
        <v>7.8612973491927987E-2</v>
      </c>
      <c r="R38" s="22">
        <f>SUMIF(Emissions!$C$70:$C$85,'Emissions summary'!$C38,Emissions!T$70:T$85)</f>
        <v>8.8983449145904836E-2</v>
      </c>
      <c r="S38" s="22">
        <f>SUMIF(Emissions!$C$70:$C$85,'Emissions summary'!$C38,Emissions!U$70:U$85)</f>
        <v>7.2791997693814531E-2</v>
      </c>
      <c r="T38" s="22">
        <f>SUMIF(Emissions!$C$70:$C$85,'Emissions summary'!$C38,Emissions!V$70:V$85)</f>
        <v>6.2381788416642367E-2</v>
      </c>
      <c r="U38" s="22">
        <f>SUMIF(Emissions!$C$70:$C$85,'Emissions summary'!$C38,Emissions!W$70:W$85)</f>
        <v>9.2301206682713535E-2</v>
      </c>
      <c r="V38" s="22">
        <f>SUMIF(Emissions!$C$70:$C$85,'Emissions summary'!$C38,Emissions!X$70:X$85)</f>
        <v>8.1930731028736672E-2</v>
      </c>
      <c r="W38" s="22">
        <f>SUMIF(Emissions!$C$70:$C$85,'Emissions summary'!$C38,Emissions!Y$70:Y$85)</f>
        <v>7.2176126534287191E-2</v>
      </c>
      <c r="X38" s="22">
        <f>SUMIF(Emissions!$C$70:$C$85,'Emissions summary'!$C38,Emissions!Z$70:Z$85)</f>
        <v>6.5818746823036997E-2</v>
      </c>
      <c r="Y38" s="22">
        <f>SUMIF(Emissions!$C$70:$C$85,'Emissions summary'!$C38,Emissions!AA$70:AA$85)</f>
        <v>7.3924405954880992E-2</v>
      </c>
      <c r="Z38" s="22">
        <f>SUMIF(Emissions!$C$70:$C$85,'Emissions summary'!$C38,Emissions!AB$70:AB$85)</f>
        <v>9.8940084389999974E-2</v>
      </c>
      <c r="AA38" s="22">
        <f>SUMIF(Emissions!$C$70:$C$85,'Emissions summary'!$C38,Emissions!AC$70:AC$85)</f>
        <v>0.10685917493999998</v>
      </c>
      <c r="AB38" s="22">
        <f>SUMIF(Emissions!$C$70:$C$85,'Emissions summary'!$C38,Emissions!AD$70:AD$85)</f>
        <v>7.8813449993659371E-2</v>
      </c>
      <c r="AC38" s="22">
        <f>SUMIF(Emissions!$C$70:$C$85,'Emissions summary'!$C38,Emissions!AE$70:AE$85)</f>
        <v>7.8813449993659371E-2</v>
      </c>
      <c r="AD38" s="22">
        <f>SUMIF(Emissions!$C$70:$C$85,'Emissions summary'!$C38,Emissions!AF$70:AF$85)</f>
        <v>7.8813449993659371E-2</v>
      </c>
      <c r="AE38" s="22">
        <f>SUMIF(Emissions!$C$70:$C$85,'Emissions summary'!$C38,Emissions!AG$70:AG$85)</f>
        <v>7.8813449993659371E-2</v>
      </c>
      <c r="AF38" s="22">
        <f>SUMIF(Emissions!$C$70:$C$85,'Emissions summary'!$C38,Emissions!AH$70:AH$85)</f>
        <v>7.8813449993659371E-2</v>
      </c>
      <c r="AG38" s="22">
        <f>SUMIF(Emissions!$C$70:$C$85,'Emissions summary'!$C38,Emissions!AI$70:AI$85)</f>
        <v>7.8813449993659371E-2</v>
      </c>
      <c r="AH38" s="22">
        <f>SUMIF(Emissions!$C$70:$C$85,'Emissions summary'!$C38,Emissions!AJ$70:AJ$85)</f>
        <v>7.8813449993659371E-2</v>
      </c>
      <c r="AI38" s="22">
        <f>SUMIF(Emissions!$C$70:$C$85,'Emissions summary'!$C38,Emissions!AK$70:AK$85)</f>
        <v>7.8813449993659371E-2</v>
      </c>
      <c r="AJ38" s="22">
        <f>SUMIF(Emissions!$C$70:$C$85,'Emissions summary'!$C38,Emissions!AL$70:AL$85)</f>
        <v>7.8813449993659371E-2</v>
      </c>
      <c r="AK38" s="22">
        <f>SUMIF(Emissions!$C$70:$C$85,'Emissions summary'!$C38,Emissions!AM$70:AM$85)</f>
        <v>7.8813449993659371E-2</v>
      </c>
      <c r="AL38" s="22">
        <f>SUMIF(Emissions!$C$70:$C$85,'Emissions summary'!$C38,Emissions!AN$70:AN$85)</f>
        <v>7.8813449993659371E-2</v>
      </c>
      <c r="AM38" s="22">
        <f>SUMIF(Emissions!$C$70:$C$85,'Emissions summary'!$C38,Emissions!AO$70:AO$85)</f>
        <v>7.8813449993659371E-2</v>
      </c>
      <c r="AN38" s="22">
        <f>SUMIF(Emissions!$C$70:$C$85,'Emissions summary'!$C38,Emissions!AP$70:AP$85)</f>
        <v>7.8813449993659371E-2</v>
      </c>
      <c r="AO38" s="22">
        <f>SUMIF(Emissions!$C$70:$C$85,'Emissions summary'!$C38,Emissions!AQ$70:AQ$85)</f>
        <v>7.8813449993659371E-2</v>
      </c>
      <c r="AP38" s="22">
        <f>SUMIF(Emissions!$C$70:$C$85,'Emissions summary'!$C38,Emissions!AR$70:AR$85)</f>
        <v>7.8813449993659371E-2</v>
      </c>
      <c r="AQ38" s="22">
        <f>SUMIF(Emissions!$C$70:$C$85,'Emissions summary'!$C38,Emissions!AS$70:AS$85)</f>
        <v>7.8813449993659371E-2</v>
      </c>
      <c r="AR38" s="22">
        <f>SUMIF(Emissions!$C$70:$C$85,'Emissions summary'!$C38,Emissions!AT$70:AT$85)</f>
        <v>7.8813449993659371E-2</v>
      </c>
      <c r="AS38" s="22">
        <f>SUMIF(Emissions!$C$70:$C$85,'Emissions summary'!$C38,Emissions!AU$70:AU$85)</f>
        <v>7.8813449993659371E-2</v>
      </c>
      <c r="AT38" s="22">
        <f>SUMIF(Emissions!$C$70:$C$85,'Emissions summary'!$C38,Emissions!AV$70:AV$85)</f>
        <v>7.8813449993659371E-2</v>
      </c>
      <c r="AU38" s="22">
        <f>SUMIF(Emissions!$C$70:$C$85,'Emissions summary'!$C38,Emissions!AW$70:AW$85)</f>
        <v>7.8813449993659371E-2</v>
      </c>
      <c r="AV38" s="22">
        <f>SUMIF(Emissions!$C$70:$C$85,'Emissions summary'!$C38,Emissions!AX$70:AX$85)</f>
        <v>7.8813449993659371E-2</v>
      </c>
      <c r="AW38" s="22">
        <f>SUMIF(Emissions!$C$70:$C$85,'Emissions summary'!$C38,Emissions!AY$70:AY$85)</f>
        <v>7.8813449993659371E-2</v>
      </c>
      <c r="AX38" s="22">
        <f>SUMIF(Emissions!$C$70:$C$85,'Emissions summary'!$C38,Emissions!AZ$70:AZ$85)</f>
        <v>7.8813449993659371E-2</v>
      </c>
      <c r="AY38" s="22">
        <f>SUMIF(Emissions!$C$70:$C$85,'Emissions summary'!$C38,Emissions!BA$70:BA$85)</f>
        <v>7.8813449993659371E-2</v>
      </c>
      <c r="AZ38" s="22">
        <f>SUMIF(Emissions!$C$70:$C$85,'Emissions summary'!$C38,Emissions!BB$70:BB$85)</f>
        <v>7.8813449993659371E-2</v>
      </c>
      <c r="BA38" s="22">
        <f>SUMIF(Emissions!$C$70:$C$85,'Emissions summary'!$C38,Emissions!BC$70:BC$85)</f>
        <v>7.8813449993659371E-2</v>
      </c>
      <c r="BB38" s="22">
        <f>SUMIF(Emissions!$C$70:$C$85,'Emissions summary'!$C38,Emissions!BD$70:BD$85)</f>
        <v>7.8813449993659371E-2</v>
      </c>
      <c r="BC38" s="22">
        <f>SUMIF(Emissions!$C$70:$C$85,'Emissions summary'!$C38,Emissions!BE$70:BE$85)</f>
        <v>7.8813449993659371E-2</v>
      </c>
      <c r="BD38" s="22">
        <f>SUMIF(Emissions!$C$70:$C$85,'Emissions summary'!$C38,Emissions!BF$70:BF$85)</f>
        <v>7.8813449993659371E-2</v>
      </c>
      <c r="BE38" s="22">
        <f>SUMIF(Emissions!$C$70:$C$85,'Emissions summary'!$C38,Emissions!BG$70:BG$85)</f>
        <v>7.8813449993659371E-2</v>
      </c>
      <c r="BF38" s="22">
        <f>SUMIF(Emissions!$C$70:$C$85,'Emissions summary'!$C38,Emissions!BH$70:BH$85)</f>
        <v>7.8813449993659371E-2</v>
      </c>
      <c r="BG38" s="22">
        <f>SUMIF(Emissions!$C$70:$C$85,'Emissions summary'!$C38,Emissions!BI$70:BI$85)</f>
        <v>7.8813449993659371E-2</v>
      </c>
      <c r="BH38" s="22">
        <f>SUMIF(Emissions!$C$70:$C$85,'Emissions summary'!$C38,Emissions!BJ$70:BJ$85)</f>
        <v>7.8813449993659371E-2</v>
      </c>
      <c r="BI38" s="22">
        <f>SUMIF(Emissions!$C$70:$C$85,'Emissions summary'!$C38,Emissions!BK$70:BK$85)</f>
        <v>7.8813449993659371E-2</v>
      </c>
      <c r="BJ38" s="22">
        <f>SUMIF(Emissions!$C$70:$C$85,'Emissions summary'!$C38,Emissions!BL$70:BL$85)</f>
        <v>7.8813449993659371E-2</v>
      </c>
      <c r="BK38" s="22">
        <f>SUMIF(Emissions!$C$70:$C$85,'Emissions summary'!$C38,Emissions!BM$70:BM$85)</f>
        <v>7.8813449993659371E-2</v>
      </c>
      <c r="BL38" s="22">
        <f>SUMIF(Emissions!$C$70:$C$85,'Emissions summary'!$C38,Emissions!BN$70:BN$85)</f>
        <v>7.8813449993659371E-2</v>
      </c>
      <c r="BM38" s="22">
        <f>SUMIF(Emissions!$C$70:$C$85,'Emissions summary'!$C38,Emissions!BO$70:BO$85)</f>
        <v>7.8813449993659371E-2</v>
      </c>
      <c r="BN38" s="22">
        <f>SUMIF(Emissions!$C$70:$C$85,'Emissions summary'!$C38,Emissions!BP$70:BP$85)</f>
        <v>7.8813449993659371E-2</v>
      </c>
    </row>
    <row r="39" spans="1:66" x14ac:dyDescent="0.25">
      <c r="A39" t="str">
        <f t="shared" si="18"/>
        <v>3C Aggregated and non-CO2 emissions on land</v>
      </c>
      <c r="B39" t="str">
        <f t="shared" si="22"/>
        <v>3C1 Biomass burning (N2O)</v>
      </c>
      <c r="C39" t="str">
        <f>'IPCC Categories'!C69</f>
        <v>3C1e Biomass burning in Settlements</v>
      </c>
      <c r="D39" t="str">
        <f t="shared" si="23"/>
        <v>N2O</v>
      </c>
      <c r="E39" t="str">
        <f t="shared" si="23"/>
        <v>Gg N2O</v>
      </c>
      <c r="F39" s="22">
        <f>SUMIF(Emissions!$C$70:$C$85,'Emissions summary'!$C39,Emissions!H$70:H$85)</f>
        <v>4.462880557297625E-2</v>
      </c>
      <c r="G39" s="22">
        <f>SUMIF(Emissions!$C$70:$C$85,'Emissions summary'!$C39,Emissions!I$70:I$85)</f>
        <v>4.462880557297625E-2</v>
      </c>
      <c r="H39" s="22">
        <f>SUMIF(Emissions!$C$70:$C$85,'Emissions summary'!$C39,Emissions!J$70:J$85)</f>
        <v>4.462880557297625E-2</v>
      </c>
      <c r="I39" s="22">
        <f>SUMIF(Emissions!$C$70:$C$85,'Emissions summary'!$C39,Emissions!K$70:K$85)</f>
        <v>4.462880557297625E-2</v>
      </c>
      <c r="J39" s="22">
        <f>SUMIF(Emissions!$C$70:$C$85,'Emissions summary'!$C39,Emissions!L$70:L$85)</f>
        <v>4.462880557297625E-2</v>
      </c>
      <c r="K39" s="22">
        <f>SUMIF(Emissions!$C$70:$C$85,'Emissions summary'!$C39,Emissions!M$70:M$85)</f>
        <v>4.462880557297625E-2</v>
      </c>
      <c r="L39" s="22">
        <f>SUMIF(Emissions!$C$70:$C$85,'Emissions summary'!$C39,Emissions!N$70:N$85)</f>
        <v>4.462880557297625E-2</v>
      </c>
      <c r="M39" s="22">
        <f>SUMIF(Emissions!$C$70:$C$85,'Emissions summary'!$C39,Emissions!O$70:O$85)</f>
        <v>4.462880557297625E-2</v>
      </c>
      <c r="N39" s="22">
        <f>SUMIF(Emissions!$C$70:$C$85,'Emissions summary'!$C39,Emissions!P$70:P$85)</f>
        <v>4.462880557297625E-2</v>
      </c>
      <c r="O39" s="22">
        <f>SUMIF(Emissions!$C$70:$C$85,'Emissions summary'!$C39,Emissions!Q$70:Q$85)</f>
        <v>4.462880557297625E-2</v>
      </c>
      <c r="P39" s="22">
        <f>SUMIF(Emissions!$C$70:$C$85,'Emissions summary'!$C39,Emissions!R$70:R$85)</f>
        <v>4.8614087979466203E-2</v>
      </c>
      <c r="Q39" s="22">
        <f>SUMIF(Emissions!$C$70:$C$85,'Emissions summary'!$C39,Emissions!S$70:S$85)</f>
        <v>5.3839059429649942E-2</v>
      </c>
      <c r="R39" s="22">
        <f>SUMIF(Emissions!$C$70:$C$85,'Emissions summary'!$C39,Emissions!T$70:T$85)</f>
        <v>4.76008805879857E-2</v>
      </c>
      <c r="S39" s="22">
        <f>SUMIF(Emissions!$C$70:$C$85,'Emissions summary'!$C39,Emissions!U$70:U$85)</f>
        <v>4.1064699572356617E-2</v>
      </c>
      <c r="T39" s="22">
        <f>SUMIF(Emissions!$C$70:$C$85,'Emissions summary'!$C39,Emissions!V$70:V$85)</f>
        <v>3.2025300295422769E-2</v>
      </c>
      <c r="U39" s="22">
        <f>SUMIF(Emissions!$C$70:$C$85,'Emissions summary'!$C39,Emissions!W$70:W$85)</f>
        <v>7.2513862331447368E-2</v>
      </c>
      <c r="V39" s="22">
        <f>SUMIF(Emissions!$C$70:$C$85,'Emissions summary'!$C39,Emissions!X$70:X$85)</f>
        <v>6.3514196677708815E-2</v>
      </c>
      <c r="W39" s="22">
        <f>SUMIF(Emissions!$C$70:$C$85,'Emissions summary'!$C39,Emissions!Y$70:Y$85)</f>
        <v>7.0249045809314473E-2</v>
      </c>
      <c r="X39" s="22">
        <f>SUMIF(Emissions!$C$70:$C$85,'Emissions summary'!$C39,Emissions!Z$70:Z$85)</f>
        <v>4.3369249717684813E-2</v>
      </c>
      <c r="Y39" s="22">
        <f>SUMIF(Emissions!$C$70:$C$85,'Emissions summary'!$C39,Emissions!AA$70:AA$85)</f>
        <v>5.2190114067044435E-2</v>
      </c>
      <c r="Z39" s="22">
        <f>SUMIF(Emissions!$C$70:$C$85,'Emissions summary'!$C39,Emissions!AB$70:AB$85)</f>
        <v>3.9028768379999995E-2</v>
      </c>
      <c r="AA39" s="22">
        <f>SUMIF(Emissions!$C$70:$C$85,'Emissions summary'!$C39,Emissions!AC$70:AC$85)</f>
        <v>2.72036394E-2</v>
      </c>
      <c r="AB39" s="22">
        <f>SUMIF(Emissions!$C$70:$C$85,'Emissions summary'!$C39,Emissions!AD$70:AD$85)</f>
        <v>3.9235523819963862E-2</v>
      </c>
      <c r="AC39" s="22">
        <f>SUMIF(Emissions!$C$70:$C$85,'Emissions summary'!$C39,Emissions!AE$70:AE$85)</f>
        <v>3.9318445103539788E-2</v>
      </c>
      <c r="AD39" s="22">
        <f>SUMIF(Emissions!$C$70:$C$85,'Emissions summary'!$C39,Emissions!AF$70:AF$85)</f>
        <v>3.9401366387115715E-2</v>
      </c>
      <c r="AE39" s="22">
        <f>SUMIF(Emissions!$C$70:$C$85,'Emissions summary'!$C39,Emissions!AG$70:AG$85)</f>
        <v>3.9484287670691648E-2</v>
      </c>
      <c r="AF39" s="22">
        <f>SUMIF(Emissions!$C$70:$C$85,'Emissions summary'!$C39,Emissions!AH$70:AH$85)</f>
        <v>3.9567208954267574E-2</v>
      </c>
      <c r="AG39" s="22">
        <f>SUMIF(Emissions!$C$70:$C$85,'Emissions summary'!$C39,Emissions!AI$70:AI$85)</f>
        <v>3.9650130237843507E-2</v>
      </c>
      <c r="AH39" s="22">
        <f>SUMIF(Emissions!$C$70:$C$85,'Emissions summary'!$C39,Emissions!AJ$70:AJ$85)</f>
        <v>3.9733051521419427E-2</v>
      </c>
      <c r="AI39" s="22">
        <f>SUMIF(Emissions!$C$70:$C$85,'Emissions summary'!$C39,Emissions!AK$70:AK$85)</f>
        <v>3.981597280499536E-2</v>
      </c>
      <c r="AJ39" s="22">
        <f>SUMIF(Emissions!$C$70:$C$85,'Emissions summary'!$C39,Emissions!AL$70:AL$85)</f>
        <v>3.9898894088571286E-2</v>
      </c>
      <c r="AK39" s="22">
        <f>SUMIF(Emissions!$C$70:$C$85,'Emissions summary'!$C39,Emissions!AM$70:AM$85)</f>
        <v>3.9981815372147227E-2</v>
      </c>
      <c r="AL39" s="22">
        <f>SUMIF(Emissions!$C$70:$C$85,'Emissions summary'!$C39,Emissions!AN$70:AN$85)</f>
        <v>4.0064736655723153E-2</v>
      </c>
      <c r="AM39" s="22">
        <f>SUMIF(Emissions!$C$70:$C$85,'Emissions summary'!$C39,Emissions!AO$70:AO$85)</f>
        <v>4.0147657939299079E-2</v>
      </c>
      <c r="AN39" s="22">
        <f>SUMIF(Emissions!$C$70:$C$85,'Emissions summary'!$C39,Emissions!AP$70:AP$85)</f>
        <v>4.0230579222875013E-2</v>
      </c>
      <c r="AO39" s="22">
        <f>SUMIF(Emissions!$C$70:$C$85,'Emissions summary'!$C39,Emissions!AQ$70:AQ$85)</f>
        <v>4.0313500506450946E-2</v>
      </c>
      <c r="AP39" s="22">
        <f>SUMIF(Emissions!$C$70:$C$85,'Emissions summary'!$C39,Emissions!AR$70:AR$85)</f>
        <v>4.0396421790026865E-2</v>
      </c>
      <c r="AQ39" s="22">
        <f>SUMIF(Emissions!$C$70:$C$85,'Emissions summary'!$C39,Emissions!AS$70:AS$85)</f>
        <v>4.0479343073602798E-2</v>
      </c>
      <c r="AR39" s="22">
        <f>SUMIF(Emissions!$C$70:$C$85,'Emissions summary'!$C39,Emissions!AT$70:AT$85)</f>
        <v>4.0562264357178725E-2</v>
      </c>
      <c r="AS39" s="22">
        <f>SUMIF(Emissions!$C$70:$C$85,'Emissions summary'!$C39,Emissions!AU$70:AU$85)</f>
        <v>4.0645185640754658E-2</v>
      </c>
      <c r="AT39" s="22">
        <f>SUMIF(Emissions!$C$70:$C$85,'Emissions summary'!$C39,Emissions!AV$70:AV$85)</f>
        <v>4.0728106924330584E-2</v>
      </c>
      <c r="AU39" s="22">
        <f>SUMIF(Emissions!$C$70:$C$85,'Emissions summary'!$C39,Emissions!AW$70:AW$85)</f>
        <v>4.0811028207906511E-2</v>
      </c>
      <c r="AV39" s="22">
        <f>SUMIF(Emissions!$C$70:$C$85,'Emissions summary'!$C39,Emissions!AX$70:AX$85)</f>
        <v>4.0893949491482444E-2</v>
      </c>
      <c r="AW39" s="22">
        <f>SUMIF(Emissions!$C$70:$C$85,'Emissions summary'!$C39,Emissions!AY$70:AY$85)</f>
        <v>4.097687077505837E-2</v>
      </c>
      <c r="AX39" s="22">
        <f>SUMIF(Emissions!$C$70:$C$85,'Emissions summary'!$C39,Emissions!AZ$70:AZ$85)</f>
        <v>4.1059792058634303E-2</v>
      </c>
      <c r="AY39" s="22">
        <f>SUMIF(Emissions!$C$70:$C$85,'Emissions summary'!$C39,Emissions!BA$70:BA$85)</f>
        <v>4.114271334221023E-2</v>
      </c>
      <c r="AZ39" s="22">
        <f>SUMIF(Emissions!$C$70:$C$85,'Emissions summary'!$C39,Emissions!BB$70:BB$85)</f>
        <v>4.1225634625786156E-2</v>
      </c>
      <c r="BA39" s="22">
        <f>SUMIF(Emissions!$C$70:$C$85,'Emissions summary'!$C39,Emissions!BC$70:BC$85)</f>
        <v>4.1308555909362089E-2</v>
      </c>
      <c r="BB39" s="22">
        <f>SUMIF(Emissions!$C$70:$C$85,'Emissions summary'!$C39,Emissions!BD$70:BD$85)</f>
        <v>4.1391477192938023E-2</v>
      </c>
      <c r="BC39" s="22">
        <f>SUMIF(Emissions!$C$70:$C$85,'Emissions summary'!$C39,Emissions!BE$70:BE$85)</f>
        <v>4.1474398476513949E-2</v>
      </c>
      <c r="BD39" s="22">
        <f>SUMIF(Emissions!$C$70:$C$85,'Emissions summary'!$C39,Emissions!BF$70:BF$85)</f>
        <v>4.1557319760089875E-2</v>
      </c>
      <c r="BE39" s="22">
        <f>SUMIF(Emissions!$C$70:$C$85,'Emissions summary'!$C39,Emissions!BG$70:BG$85)</f>
        <v>4.1640241043665809E-2</v>
      </c>
      <c r="BF39" s="22">
        <f>SUMIF(Emissions!$C$70:$C$85,'Emissions summary'!$C39,Emissions!BH$70:BH$85)</f>
        <v>4.1723162327241742E-2</v>
      </c>
      <c r="BG39" s="22">
        <f>SUMIF(Emissions!$C$70:$C$85,'Emissions summary'!$C39,Emissions!BI$70:BI$85)</f>
        <v>4.1806083610817661E-2</v>
      </c>
      <c r="BH39" s="22">
        <f>SUMIF(Emissions!$C$70:$C$85,'Emissions summary'!$C39,Emissions!BJ$70:BJ$85)</f>
        <v>4.1889004894393594E-2</v>
      </c>
      <c r="BI39" s="22">
        <f>SUMIF(Emissions!$C$70:$C$85,'Emissions summary'!$C39,Emissions!BK$70:BK$85)</f>
        <v>4.1971926177969528E-2</v>
      </c>
      <c r="BJ39" s="22">
        <f>SUMIF(Emissions!$C$70:$C$85,'Emissions summary'!$C39,Emissions!BL$70:BL$85)</f>
        <v>4.2054847461545454E-2</v>
      </c>
      <c r="BK39" s="22">
        <f>SUMIF(Emissions!$C$70:$C$85,'Emissions summary'!$C39,Emissions!BM$70:BM$85)</f>
        <v>4.2137768745121387E-2</v>
      </c>
      <c r="BL39" s="22">
        <f>SUMIF(Emissions!$C$70:$C$85,'Emissions summary'!$C39,Emissions!BN$70:BN$85)</f>
        <v>4.2220690028697307E-2</v>
      </c>
      <c r="BM39" s="22">
        <f>SUMIF(Emissions!$C$70:$C$85,'Emissions summary'!$C39,Emissions!BO$70:BO$85)</f>
        <v>4.230361131227324E-2</v>
      </c>
      <c r="BN39" s="22">
        <f>SUMIF(Emissions!$C$70:$C$85,'Emissions summary'!$C39,Emissions!BP$70:BP$85)</f>
        <v>4.2386532595849173E-2</v>
      </c>
    </row>
    <row r="40" spans="1:66" x14ac:dyDescent="0.25">
      <c r="A40" t="str">
        <f t="shared" si="18"/>
        <v>3C Aggregated and non-CO2 emissions on land</v>
      </c>
      <c r="B40" t="str">
        <f t="shared" si="22"/>
        <v>3C1 Biomass burning (N2O)</v>
      </c>
      <c r="C40" t="str">
        <f>'IPCC Categories'!C70</f>
        <v>3C1f Biomass burning in Other lands</v>
      </c>
      <c r="D40" t="str">
        <f t="shared" si="23"/>
        <v>N2O</v>
      </c>
      <c r="E40" t="str">
        <f t="shared" si="23"/>
        <v>Gg N2O</v>
      </c>
      <c r="F40" s="22">
        <f>SUMIF(Emissions!$C$70:$C$85,'Emissions summary'!$C40,Emissions!H$70:H$85)</f>
        <v>0</v>
      </c>
      <c r="G40" s="22">
        <f>SUMIF(Emissions!$C$70:$C$85,'Emissions summary'!$C40,Emissions!I$70:I$85)</f>
        <v>0</v>
      </c>
      <c r="H40" s="22">
        <f>SUMIF(Emissions!$C$70:$C$85,'Emissions summary'!$C40,Emissions!J$70:J$85)</f>
        <v>0</v>
      </c>
      <c r="I40" s="22">
        <f>SUMIF(Emissions!$C$70:$C$85,'Emissions summary'!$C40,Emissions!K$70:K$85)</f>
        <v>0</v>
      </c>
      <c r="J40" s="22">
        <f>SUMIF(Emissions!$C$70:$C$85,'Emissions summary'!$C40,Emissions!L$70:L$85)</f>
        <v>0</v>
      </c>
      <c r="K40" s="22">
        <f>SUMIF(Emissions!$C$70:$C$85,'Emissions summary'!$C40,Emissions!M$70:M$85)</f>
        <v>0</v>
      </c>
      <c r="L40" s="22">
        <f>SUMIF(Emissions!$C$70:$C$85,'Emissions summary'!$C40,Emissions!N$70:N$85)</f>
        <v>0</v>
      </c>
      <c r="M40" s="22">
        <f>SUMIF(Emissions!$C$70:$C$85,'Emissions summary'!$C40,Emissions!O$70:O$85)</f>
        <v>0</v>
      </c>
      <c r="N40" s="22">
        <f>SUMIF(Emissions!$C$70:$C$85,'Emissions summary'!$C40,Emissions!P$70:P$85)</f>
        <v>0</v>
      </c>
      <c r="O40" s="22">
        <f>SUMIF(Emissions!$C$70:$C$85,'Emissions summary'!$C40,Emissions!Q$70:Q$85)</f>
        <v>0</v>
      </c>
      <c r="P40" s="22">
        <f>SUMIF(Emissions!$C$70:$C$85,'Emissions summary'!$C40,Emissions!R$70:R$85)</f>
        <v>0</v>
      </c>
      <c r="Q40" s="22">
        <f>SUMIF(Emissions!$C$70:$C$85,'Emissions summary'!$C40,Emissions!S$70:S$85)</f>
        <v>0</v>
      </c>
      <c r="R40" s="22">
        <f>SUMIF(Emissions!$C$70:$C$85,'Emissions summary'!$C40,Emissions!T$70:T$85)</f>
        <v>0</v>
      </c>
      <c r="S40" s="22">
        <f>SUMIF(Emissions!$C$70:$C$85,'Emissions summary'!$C40,Emissions!U$70:U$85)</f>
        <v>0</v>
      </c>
      <c r="T40" s="22">
        <f>SUMIF(Emissions!$C$70:$C$85,'Emissions summary'!$C40,Emissions!V$70:V$85)</f>
        <v>0</v>
      </c>
      <c r="U40" s="22">
        <f>SUMIF(Emissions!$C$70:$C$85,'Emissions summary'!$C40,Emissions!W$70:W$85)</f>
        <v>0</v>
      </c>
      <c r="V40" s="22">
        <f>SUMIF(Emissions!$C$70:$C$85,'Emissions summary'!$C40,Emissions!X$70:X$85)</f>
        <v>0</v>
      </c>
      <c r="W40" s="22">
        <f>SUMIF(Emissions!$C$70:$C$85,'Emissions summary'!$C40,Emissions!Y$70:Y$85)</f>
        <v>0</v>
      </c>
      <c r="X40" s="22">
        <f>SUMIF(Emissions!$C$70:$C$85,'Emissions summary'!$C40,Emissions!Z$70:Z$85)</f>
        <v>0</v>
      </c>
      <c r="Y40" s="22">
        <f>SUMIF(Emissions!$C$70:$C$85,'Emissions summary'!$C40,Emissions!AA$70:AA$85)</f>
        <v>0</v>
      </c>
      <c r="Z40" s="22">
        <f>SUMIF(Emissions!$C$70:$C$85,'Emissions summary'!$C40,Emissions!AB$70:AB$85)</f>
        <v>0</v>
      </c>
      <c r="AA40" s="22">
        <f>SUMIF(Emissions!$C$70:$C$85,'Emissions summary'!$C40,Emissions!AC$70:AC$85)</f>
        <v>0</v>
      </c>
      <c r="AB40" s="22">
        <f>SUMIF(Emissions!$C$70:$C$85,'Emissions summary'!$C40,Emissions!AD$70:AD$85)</f>
        <v>0</v>
      </c>
      <c r="AC40" s="22">
        <f>SUMIF(Emissions!$C$70:$C$85,'Emissions summary'!$C40,Emissions!AE$70:AE$85)</f>
        <v>0</v>
      </c>
      <c r="AD40" s="22">
        <f>SUMIF(Emissions!$C$70:$C$85,'Emissions summary'!$C40,Emissions!AF$70:AF$85)</f>
        <v>0</v>
      </c>
      <c r="AE40" s="22">
        <f>SUMIF(Emissions!$C$70:$C$85,'Emissions summary'!$C40,Emissions!AG$70:AG$85)</f>
        <v>0</v>
      </c>
      <c r="AF40" s="22">
        <f>SUMIF(Emissions!$C$70:$C$85,'Emissions summary'!$C40,Emissions!AH$70:AH$85)</f>
        <v>0</v>
      </c>
      <c r="AG40" s="22">
        <f>SUMIF(Emissions!$C$70:$C$85,'Emissions summary'!$C40,Emissions!AI$70:AI$85)</f>
        <v>0</v>
      </c>
      <c r="AH40" s="22">
        <f>SUMIF(Emissions!$C$70:$C$85,'Emissions summary'!$C40,Emissions!AJ$70:AJ$85)</f>
        <v>0</v>
      </c>
      <c r="AI40" s="22">
        <f>SUMIF(Emissions!$C$70:$C$85,'Emissions summary'!$C40,Emissions!AK$70:AK$85)</f>
        <v>0</v>
      </c>
      <c r="AJ40" s="22">
        <f>SUMIF(Emissions!$C$70:$C$85,'Emissions summary'!$C40,Emissions!AL$70:AL$85)</f>
        <v>0</v>
      </c>
      <c r="AK40" s="22">
        <f>SUMIF(Emissions!$C$70:$C$85,'Emissions summary'!$C40,Emissions!AM$70:AM$85)</f>
        <v>0</v>
      </c>
      <c r="AL40" s="22">
        <f>SUMIF(Emissions!$C$70:$C$85,'Emissions summary'!$C40,Emissions!AN$70:AN$85)</f>
        <v>0</v>
      </c>
      <c r="AM40" s="22">
        <f>SUMIF(Emissions!$C$70:$C$85,'Emissions summary'!$C40,Emissions!AO$70:AO$85)</f>
        <v>0</v>
      </c>
      <c r="AN40" s="22">
        <f>SUMIF(Emissions!$C$70:$C$85,'Emissions summary'!$C40,Emissions!AP$70:AP$85)</f>
        <v>0</v>
      </c>
      <c r="AO40" s="22">
        <f>SUMIF(Emissions!$C$70:$C$85,'Emissions summary'!$C40,Emissions!AQ$70:AQ$85)</f>
        <v>0</v>
      </c>
      <c r="AP40" s="22">
        <f>SUMIF(Emissions!$C$70:$C$85,'Emissions summary'!$C40,Emissions!AR$70:AR$85)</f>
        <v>0</v>
      </c>
      <c r="AQ40" s="22">
        <f>SUMIF(Emissions!$C$70:$C$85,'Emissions summary'!$C40,Emissions!AS$70:AS$85)</f>
        <v>0</v>
      </c>
      <c r="AR40" s="22">
        <f>SUMIF(Emissions!$C$70:$C$85,'Emissions summary'!$C40,Emissions!AT$70:AT$85)</f>
        <v>0</v>
      </c>
      <c r="AS40" s="22">
        <f>SUMIF(Emissions!$C$70:$C$85,'Emissions summary'!$C40,Emissions!AU$70:AU$85)</f>
        <v>0</v>
      </c>
      <c r="AT40" s="22">
        <f>SUMIF(Emissions!$C$70:$C$85,'Emissions summary'!$C40,Emissions!AV$70:AV$85)</f>
        <v>0</v>
      </c>
      <c r="AU40" s="22">
        <f>SUMIF(Emissions!$C$70:$C$85,'Emissions summary'!$C40,Emissions!AW$70:AW$85)</f>
        <v>0</v>
      </c>
      <c r="AV40" s="22">
        <f>SUMIF(Emissions!$C$70:$C$85,'Emissions summary'!$C40,Emissions!AX$70:AX$85)</f>
        <v>0</v>
      </c>
      <c r="AW40" s="22">
        <f>SUMIF(Emissions!$C$70:$C$85,'Emissions summary'!$C40,Emissions!AY$70:AY$85)</f>
        <v>0</v>
      </c>
      <c r="AX40" s="22">
        <f>SUMIF(Emissions!$C$70:$C$85,'Emissions summary'!$C40,Emissions!AZ$70:AZ$85)</f>
        <v>0</v>
      </c>
      <c r="AY40" s="22">
        <f>SUMIF(Emissions!$C$70:$C$85,'Emissions summary'!$C40,Emissions!BA$70:BA$85)</f>
        <v>0</v>
      </c>
      <c r="AZ40" s="22">
        <f>SUMIF(Emissions!$C$70:$C$85,'Emissions summary'!$C40,Emissions!BB$70:BB$85)</f>
        <v>0</v>
      </c>
      <c r="BA40" s="22">
        <f>SUMIF(Emissions!$C$70:$C$85,'Emissions summary'!$C40,Emissions!BC$70:BC$85)</f>
        <v>0</v>
      </c>
      <c r="BB40" s="22">
        <f>SUMIF(Emissions!$C$70:$C$85,'Emissions summary'!$C40,Emissions!BD$70:BD$85)</f>
        <v>0</v>
      </c>
      <c r="BC40" s="22">
        <f>SUMIF(Emissions!$C$70:$C$85,'Emissions summary'!$C40,Emissions!BE$70:BE$85)</f>
        <v>0</v>
      </c>
      <c r="BD40" s="22">
        <f>SUMIF(Emissions!$C$70:$C$85,'Emissions summary'!$C40,Emissions!BF$70:BF$85)</f>
        <v>0</v>
      </c>
      <c r="BE40" s="22">
        <f>SUMIF(Emissions!$C$70:$C$85,'Emissions summary'!$C40,Emissions!BG$70:BG$85)</f>
        <v>0</v>
      </c>
      <c r="BF40" s="22">
        <f>SUMIF(Emissions!$C$70:$C$85,'Emissions summary'!$C40,Emissions!BH$70:BH$85)</f>
        <v>0</v>
      </c>
      <c r="BG40" s="22">
        <f>SUMIF(Emissions!$C$70:$C$85,'Emissions summary'!$C40,Emissions!BI$70:BI$85)</f>
        <v>0</v>
      </c>
      <c r="BH40" s="22">
        <f>SUMIF(Emissions!$C$70:$C$85,'Emissions summary'!$C40,Emissions!BJ$70:BJ$85)</f>
        <v>0</v>
      </c>
      <c r="BI40" s="22">
        <f>SUMIF(Emissions!$C$70:$C$85,'Emissions summary'!$C40,Emissions!BK$70:BK$85)</f>
        <v>0</v>
      </c>
      <c r="BJ40" s="22">
        <f>SUMIF(Emissions!$C$70:$C$85,'Emissions summary'!$C40,Emissions!BL$70:BL$85)</f>
        <v>0</v>
      </c>
      <c r="BK40" s="22">
        <f>SUMIF(Emissions!$C$70:$C$85,'Emissions summary'!$C40,Emissions!BM$70:BM$85)</f>
        <v>0</v>
      </c>
      <c r="BL40" s="22">
        <f>SUMIF(Emissions!$C$70:$C$85,'Emissions summary'!$C40,Emissions!BN$70:BN$85)</f>
        <v>0</v>
      </c>
      <c r="BM40" s="22">
        <f>SUMIF(Emissions!$C$70:$C$85,'Emissions summary'!$C40,Emissions!BO$70:BO$85)</f>
        <v>0</v>
      </c>
      <c r="BN40" s="22">
        <f>SUMIF(Emissions!$C$70:$C$85,'Emissions summary'!$C40,Emissions!BP$70:BP$85)</f>
        <v>0</v>
      </c>
    </row>
    <row r="41" spans="1:66" s="19" customFormat="1" ht="15.75" x14ac:dyDescent="0.25">
      <c r="A41" s="19" t="str">
        <f t="shared" si="18"/>
        <v>3C Aggregated and non-CO2 emissions on land</v>
      </c>
      <c r="B41" s="19" t="str">
        <f>'IPCC Categories'!B71</f>
        <v>3C2 Liming (CO2)</v>
      </c>
      <c r="C41" s="19" t="s">
        <v>148</v>
      </c>
      <c r="D41" s="19" t="s">
        <v>380</v>
      </c>
      <c r="E41" s="19" t="s">
        <v>382</v>
      </c>
      <c r="F41" s="49">
        <f>Emissions!H86</f>
        <v>357.5</v>
      </c>
      <c r="G41" s="49">
        <f>Emissions!I86</f>
        <v>378.125</v>
      </c>
      <c r="H41" s="49">
        <f>Emissions!J86</f>
        <v>261.25</v>
      </c>
      <c r="I41" s="49">
        <f>Emissions!K86</f>
        <v>412.5</v>
      </c>
      <c r="J41" s="49">
        <f>Emissions!L86</f>
        <v>595.58170833333327</v>
      </c>
      <c r="K41" s="49">
        <f>Emissions!M86</f>
        <v>473.34145833333332</v>
      </c>
      <c r="L41" s="49">
        <f>Emissions!N86</f>
        <v>579.13625000000002</v>
      </c>
      <c r="M41" s="49">
        <f>Emissions!O86</f>
        <v>547.24312499999996</v>
      </c>
      <c r="N41" s="49">
        <f>Emissions!P86</f>
        <v>570.31379166666659</v>
      </c>
      <c r="O41" s="49">
        <f>Emissions!Q86</f>
        <v>567.03808333333325</v>
      </c>
      <c r="P41" s="49">
        <f>Emissions!R86</f>
        <v>378.2405</v>
      </c>
      <c r="Q41" s="49">
        <f>Emissions!S86</f>
        <v>489.66362500000002</v>
      </c>
      <c r="R41" s="49">
        <f>Emissions!T86</f>
        <v>672.79437500000006</v>
      </c>
      <c r="S41" s="49">
        <f>Emissions!U86</f>
        <v>580.13175000000001</v>
      </c>
      <c r="T41" s="49">
        <f>Emissions!V86</f>
        <v>579.7403333333333</v>
      </c>
      <c r="U41" s="49">
        <f>Emissions!W86</f>
        <v>266.03683333333333</v>
      </c>
      <c r="V41" s="49">
        <f>Emissions!X86</f>
        <v>441.42908333333332</v>
      </c>
      <c r="W41" s="49">
        <f>Emissions!Y86</f>
        <v>521.42108333333329</v>
      </c>
      <c r="X41" s="49">
        <f>Emissions!Z86</f>
        <v>655.32637499999998</v>
      </c>
      <c r="Y41" s="49">
        <f>Emissions!AA86</f>
        <v>695.56775237855516</v>
      </c>
      <c r="Z41" s="49">
        <f>Emissions!AB86</f>
        <v>653.23730656422072</v>
      </c>
      <c r="AA41" s="49">
        <f>Emissions!AC86</f>
        <v>722.61220387104663</v>
      </c>
      <c r="AB41" s="49">
        <f>Emissions!AD86</f>
        <v>886.46691832724639</v>
      </c>
      <c r="AC41" s="49">
        <f>Emissions!AE86</f>
        <v>888.13007321518489</v>
      </c>
      <c r="AD41" s="49">
        <f>Emissions!AF86</f>
        <v>891.76991638156767</v>
      </c>
      <c r="AE41" s="49">
        <f>Emissions!AG86</f>
        <v>894.55417134916399</v>
      </c>
      <c r="AF41" s="49">
        <f>Emissions!AH86</f>
        <v>896.69837553273305</v>
      </c>
      <c r="AG41" s="49">
        <f>Emissions!AI86</f>
        <v>898.17359300359647</v>
      </c>
      <c r="AH41" s="49">
        <f>Emissions!AJ86</f>
        <v>900.46989725432593</v>
      </c>
      <c r="AI41" s="49">
        <f>Emissions!AK86</f>
        <v>902.57316140231558</v>
      </c>
      <c r="AJ41" s="49">
        <f>Emissions!AL86</f>
        <v>904.59790205825095</v>
      </c>
      <c r="AK41" s="49">
        <f>Emissions!AM86</f>
        <v>893.14096588919665</v>
      </c>
      <c r="AL41" s="49">
        <f>Emissions!AN86</f>
        <v>896.98812675654415</v>
      </c>
      <c r="AM41" s="49">
        <f>Emissions!AO86</f>
        <v>900.61918314592731</v>
      </c>
      <c r="AN41" s="49">
        <f>Emissions!AP86</f>
        <v>904.27800387898264</v>
      </c>
      <c r="AO41" s="49">
        <f>Emissions!AQ86</f>
        <v>908.13278048853169</v>
      </c>
      <c r="AP41" s="49">
        <f>Emissions!AR86</f>
        <v>912.29434692859604</v>
      </c>
      <c r="AQ41" s="49">
        <f>Emissions!AS86</f>
        <v>916.52179055629131</v>
      </c>
      <c r="AR41" s="49">
        <f>Emissions!AT86</f>
        <v>920.92315021200898</v>
      </c>
      <c r="AS41" s="49">
        <f>Emissions!AU86</f>
        <v>925.51488926020909</v>
      </c>
      <c r="AT41" s="49">
        <f>Emissions!AV86</f>
        <v>930.52126939527659</v>
      </c>
      <c r="AU41" s="49">
        <f>Emissions!AW86</f>
        <v>935.40747983360666</v>
      </c>
      <c r="AV41" s="49">
        <f>Emissions!AX86</f>
        <v>940.90186450173564</v>
      </c>
      <c r="AW41" s="49">
        <f>Emissions!AY86</f>
        <v>946.45147388466739</v>
      </c>
      <c r="AX41" s="49">
        <f>Emissions!AZ86</f>
        <v>952.02869730436089</v>
      </c>
      <c r="AY41" s="49">
        <f>Emissions!BA86</f>
        <v>957.60677503932789</v>
      </c>
      <c r="AZ41" s="49">
        <f>Emissions!BB86</f>
        <v>962.71821835850994</v>
      </c>
      <c r="BA41" s="49">
        <f>Emissions!BC86</f>
        <v>967.91492690796179</v>
      </c>
      <c r="BB41" s="49">
        <f>Emissions!BD86</f>
        <v>973.32240759346337</v>
      </c>
      <c r="BC41" s="49">
        <f>Emissions!BE86</f>
        <v>978.83705834511602</v>
      </c>
      <c r="BD41" s="49">
        <f>Emissions!BF86</f>
        <v>984.13561529177809</v>
      </c>
      <c r="BE41" s="49">
        <f>Emissions!BG86</f>
        <v>989.39761451907123</v>
      </c>
      <c r="BF41" s="49">
        <f>Emissions!BH86</f>
        <v>994.71659544231227</v>
      </c>
      <c r="BG41" s="49">
        <f>Emissions!BI86</f>
        <v>1000.1498375580049</v>
      </c>
      <c r="BH41" s="49">
        <f>Emissions!BJ86</f>
        <v>1005.7401262744585</v>
      </c>
      <c r="BI41" s="49">
        <f>Emissions!BK86</f>
        <v>1011.4534796507485</v>
      </c>
      <c r="BJ41" s="49">
        <f>Emissions!BL86</f>
        <v>1017.3845414628061</v>
      </c>
      <c r="BK41" s="49">
        <f>Emissions!BM86</f>
        <v>1023.4513496721164</v>
      </c>
      <c r="BL41" s="49">
        <f>Emissions!BN86</f>
        <v>1029.6005884210319</v>
      </c>
      <c r="BM41" s="49">
        <f>Emissions!BO86</f>
        <v>1035.5741103324806</v>
      </c>
      <c r="BN41" s="49">
        <f>Emissions!BP86</f>
        <v>1041.6434767768121</v>
      </c>
    </row>
    <row r="42" spans="1:66" s="19" customFormat="1" ht="15.75" x14ac:dyDescent="0.25">
      <c r="A42" s="19" t="str">
        <f t="shared" si="18"/>
        <v>3C Aggregated and non-CO2 emissions on land</v>
      </c>
      <c r="B42" s="19" t="str">
        <f>'IPCC Categories'!B72</f>
        <v>3C3 Urea application (CO2)</v>
      </c>
      <c r="C42" s="19" t="s">
        <v>148</v>
      </c>
      <c r="D42" s="19" t="str">
        <f>D41</f>
        <v>CO2</v>
      </c>
      <c r="E42" s="19" t="str">
        <f>E41</f>
        <v>Gg CO2</v>
      </c>
      <c r="F42" s="49">
        <f>Emissions!H87</f>
        <v>90.994567483487728</v>
      </c>
      <c r="G42" s="49">
        <f>Emissions!I87</f>
        <v>111.62690198838213</v>
      </c>
      <c r="H42" s="49">
        <f>Emissions!J87</f>
        <v>132.25923649327655</v>
      </c>
      <c r="I42" s="49">
        <f>Emissions!K87</f>
        <v>152.89157099816552</v>
      </c>
      <c r="J42" s="49">
        <f>Emissions!L87</f>
        <v>173.52390550305992</v>
      </c>
      <c r="K42" s="49">
        <f>Emissions!M87</f>
        <v>194.15624000795432</v>
      </c>
      <c r="L42" s="49">
        <f>Emissions!N87</f>
        <v>214.78857451284878</v>
      </c>
      <c r="M42" s="49">
        <f>Emissions!O87</f>
        <v>235.42090901774316</v>
      </c>
      <c r="N42" s="49">
        <f>Emissions!P87</f>
        <v>256.05324352263762</v>
      </c>
      <c r="O42" s="49">
        <f>Emissions!Q87</f>
        <v>276.68557802753202</v>
      </c>
      <c r="P42" s="49">
        <f>Emissions!R87</f>
        <v>297.31791253242642</v>
      </c>
      <c r="Q42" s="49">
        <f>Emissions!S87</f>
        <v>317.95024703732088</v>
      </c>
      <c r="R42" s="49">
        <f>Emissions!T87</f>
        <v>338.58258154220977</v>
      </c>
      <c r="S42" s="49">
        <f>Emissions!U87</f>
        <v>359.21491604710423</v>
      </c>
      <c r="T42" s="49">
        <f>Emissions!V87</f>
        <v>435.89846666666671</v>
      </c>
      <c r="U42" s="49">
        <f>Emissions!W87</f>
        <v>355.08659999999998</v>
      </c>
      <c r="V42" s="49">
        <f>Emissions!X87</f>
        <v>393.08573333333334</v>
      </c>
      <c r="W42" s="49">
        <f>Emissions!Y87</f>
        <v>484.55366666666663</v>
      </c>
      <c r="X42" s="49">
        <f>Emissions!Z87</f>
        <v>480.19253333333336</v>
      </c>
      <c r="Y42" s="49">
        <f>Emissions!AA87</f>
        <v>380.54426666666666</v>
      </c>
      <c r="Z42" s="49">
        <f>Emissions!AB87</f>
        <v>501.48046666666664</v>
      </c>
      <c r="AA42" s="49">
        <f>Emissions!AC87</f>
        <v>571.19113333333337</v>
      </c>
      <c r="AB42" s="49">
        <f>Emissions!AD87</f>
        <v>470.0955092083982</v>
      </c>
      <c r="AC42" s="49">
        <f>Emissions!AE87</f>
        <v>470.05360463465496</v>
      </c>
      <c r="AD42" s="49">
        <f>Emissions!AF87</f>
        <v>469.96189575204556</v>
      </c>
      <c r="AE42" s="49">
        <f>Emissions!AG87</f>
        <v>469.89174412728971</v>
      </c>
      <c r="AF42" s="49">
        <f>Emissions!AH87</f>
        <v>469.83771911555891</v>
      </c>
      <c r="AG42" s="49">
        <f>Emissions!AI87</f>
        <v>469.8005497816963</v>
      </c>
      <c r="AH42" s="49">
        <f>Emissions!AJ87</f>
        <v>469.74269248198868</v>
      </c>
      <c r="AI42" s="49">
        <f>Emissions!AK87</f>
        <v>469.68969898858052</v>
      </c>
      <c r="AJ42" s="49">
        <f>Emissions!AL87</f>
        <v>469.63868396000873</v>
      </c>
      <c r="AK42" s="49">
        <f>Emissions!AM87</f>
        <v>469.92735101684696</v>
      </c>
      <c r="AL42" s="49">
        <f>Emissions!AN87</f>
        <v>469.83041859194958</v>
      </c>
      <c r="AM42" s="49">
        <f>Emissions!AO87</f>
        <v>469.73893109951086</v>
      </c>
      <c r="AN42" s="49">
        <f>Emissions!AP87</f>
        <v>469.64674406129018</v>
      </c>
      <c r="AO42" s="49">
        <f>Emissions!AQ87</f>
        <v>469.54961975141981</v>
      </c>
      <c r="AP42" s="49">
        <f>Emissions!AR87</f>
        <v>469.44476561604154</v>
      </c>
      <c r="AQ42" s="49">
        <f>Emissions!AS87</f>
        <v>469.33825165000826</v>
      </c>
      <c r="AR42" s="49">
        <f>Emissions!AT87</f>
        <v>469.22735572467934</v>
      </c>
      <c r="AS42" s="49">
        <f>Emissions!AU87</f>
        <v>469.11166303186383</v>
      </c>
      <c r="AT42" s="49">
        <f>Emissions!AV87</f>
        <v>468.98552311123592</v>
      </c>
      <c r="AU42" s="49">
        <f>Emissions!AW87</f>
        <v>468.86241096628623</v>
      </c>
      <c r="AV42" s="49">
        <f>Emissions!AX87</f>
        <v>468.72397536466616</v>
      </c>
      <c r="AW42" s="49">
        <f>Emissions!AY87</f>
        <v>468.58414833032333</v>
      </c>
      <c r="AX42" s="49">
        <f>Emissions!AZ87</f>
        <v>468.4436255373065</v>
      </c>
      <c r="AY42" s="49">
        <f>Emissions!BA87</f>
        <v>468.30308121910412</v>
      </c>
      <c r="AZ42" s="49">
        <f>Emissions!BB87</f>
        <v>468.17429414397589</v>
      </c>
      <c r="BA42" s="49">
        <f>Emissions!BC87</f>
        <v>468.04335874029715</v>
      </c>
      <c r="BB42" s="49">
        <f>Emissions!BD87</f>
        <v>467.90711275695918</v>
      </c>
      <c r="BC42" s="49">
        <f>Emissions!BE87</f>
        <v>467.76816653447167</v>
      </c>
      <c r="BD42" s="49">
        <f>Emissions!BF87</f>
        <v>467.63466497552838</v>
      </c>
      <c r="BE42" s="49">
        <f>Emissions!BG87</f>
        <v>467.50208451879763</v>
      </c>
      <c r="BF42" s="49">
        <f>Emissions!BH87</f>
        <v>467.36806836073987</v>
      </c>
      <c r="BG42" s="49">
        <f>Emissions!BI87</f>
        <v>467.23117329669452</v>
      </c>
      <c r="BH42" s="49">
        <f>Emissions!BJ87</f>
        <v>467.0903213126349</v>
      </c>
      <c r="BI42" s="49">
        <f>Emissions!BK87</f>
        <v>466.94636861188889</v>
      </c>
      <c r="BJ42" s="49">
        <f>Emissions!BL87</f>
        <v>466.79693056563036</v>
      </c>
      <c r="BK42" s="49">
        <f>Emissions!BM87</f>
        <v>466.64407227574009</v>
      </c>
      <c r="BL42" s="49">
        <f>Emissions!BN87</f>
        <v>466.48913707969359</v>
      </c>
      <c r="BM42" s="49">
        <f>Emissions!BO87</f>
        <v>466.3386292158379</v>
      </c>
      <c r="BN42" s="49">
        <f>Emissions!BP87</f>
        <v>466.18570646908381</v>
      </c>
    </row>
    <row r="43" spans="1:66" s="19" customFormat="1" ht="15.75" x14ac:dyDescent="0.25">
      <c r="A43" s="19" t="str">
        <f t="shared" si="18"/>
        <v>3C Aggregated and non-CO2 emissions on land</v>
      </c>
      <c r="B43" s="19" t="str">
        <f>'IPCC Categories'!B73</f>
        <v>3C4 Direct N2O from managed soils (N2O)</v>
      </c>
      <c r="C43" s="19" t="s">
        <v>148</v>
      </c>
      <c r="D43" s="19" t="s">
        <v>139</v>
      </c>
      <c r="E43" s="19" t="s">
        <v>287</v>
      </c>
      <c r="F43" s="49">
        <f>SUM(F44:F48)</f>
        <v>55.596597383734697</v>
      </c>
      <c r="G43" s="49">
        <f t="shared" ref="G43:BN43" si="24">SUM(G44:G48)</f>
        <v>55.28633998855625</v>
      </c>
      <c r="H43" s="49">
        <f t="shared" si="24"/>
        <v>54.71008958224381</v>
      </c>
      <c r="I43" s="49">
        <f t="shared" si="24"/>
        <v>54.205597256781054</v>
      </c>
      <c r="J43" s="49">
        <f t="shared" si="24"/>
        <v>52.900250302352887</v>
      </c>
      <c r="K43" s="49">
        <f t="shared" si="24"/>
        <v>51.915653074343908</v>
      </c>
      <c r="L43" s="49">
        <f t="shared" si="24"/>
        <v>54.152443602860892</v>
      </c>
      <c r="M43" s="49">
        <f t="shared" si="24"/>
        <v>55.0921271912325</v>
      </c>
      <c r="N43" s="49">
        <f t="shared" si="24"/>
        <v>55.452453962621647</v>
      </c>
      <c r="O43" s="49">
        <f t="shared" si="24"/>
        <v>55.340893527840024</v>
      </c>
      <c r="P43" s="49">
        <f t="shared" si="24"/>
        <v>54.909001676139468</v>
      </c>
      <c r="Q43" s="49">
        <f t="shared" si="24"/>
        <v>53.415685968258067</v>
      </c>
      <c r="R43" s="49">
        <f t="shared" si="24"/>
        <v>54.703059588171548</v>
      </c>
      <c r="S43" s="49">
        <f t="shared" si="24"/>
        <v>54.096474666145404</v>
      </c>
      <c r="T43" s="49">
        <f t="shared" si="24"/>
        <v>53.498896979933384</v>
      </c>
      <c r="U43" s="49">
        <f t="shared" si="24"/>
        <v>52.263187711915691</v>
      </c>
      <c r="V43" s="49">
        <f t="shared" si="24"/>
        <v>52.35335955308765</v>
      </c>
      <c r="W43" s="49">
        <f t="shared" si="24"/>
        <v>54.345597859655129</v>
      </c>
      <c r="X43" s="49">
        <f t="shared" si="24"/>
        <v>54.4968684161461</v>
      </c>
      <c r="Y43" s="49">
        <f t="shared" si="24"/>
        <v>54.126626370799677</v>
      </c>
      <c r="Z43" s="49">
        <f t="shared" si="24"/>
        <v>53.115630834632697</v>
      </c>
      <c r="AA43" s="49">
        <f t="shared" si="24"/>
        <v>53.123674822972326</v>
      </c>
      <c r="AB43" s="49">
        <f t="shared" si="24"/>
        <v>55.33261880050982</v>
      </c>
      <c r="AC43" s="49">
        <f t="shared" si="24"/>
        <v>55.31010616539433</v>
      </c>
      <c r="AD43" s="49">
        <f t="shared" si="24"/>
        <v>55.076674078435644</v>
      </c>
      <c r="AE43" s="49">
        <f t="shared" si="24"/>
        <v>54.690216665737154</v>
      </c>
      <c r="AF43" s="49">
        <f t="shared" si="24"/>
        <v>54.151187738269826</v>
      </c>
      <c r="AG43" s="49">
        <f t="shared" si="24"/>
        <v>53.840243275879487</v>
      </c>
      <c r="AH43" s="49">
        <f t="shared" si="24"/>
        <v>53.495781281469725</v>
      </c>
      <c r="AI43" s="49">
        <f t="shared" si="24"/>
        <v>53.143886288699136</v>
      </c>
      <c r="AJ43" s="49">
        <f t="shared" si="24"/>
        <v>49.728575487170986</v>
      </c>
      <c r="AK43" s="49">
        <f t="shared" si="24"/>
        <v>50.051927970896642</v>
      </c>
      <c r="AL43" s="49">
        <f t="shared" si="24"/>
        <v>50.371853359024968</v>
      </c>
      <c r="AM43" s="49">
        <f t="shared" si="24"/>
        <v>50.70181091640081</v>
      </c>
      <c r="AN43" s="49">
        <f t="shared" si="24"/>
        <v>51.079078726991909</v>
      </c>
      <c r="AO43" s="49">
        <f t="shared" si="24"/>
        <v>51.528418070673233</v>
      </c>
      <c r="AP43" s="49">
        <f t="shared" si="24"/>
        <v>51.987376640218329</v>
      </c>
      <c r="AQ43" s="49">
        <f t="shared" si="24"/>
        <v>52.488852934675677</v>
      </c>
      <c r="AR43" s="49">
        <f t="shared" si="24"/>
        <v>53.037208922018031</v>
      </c>
      <c r="AS43" s="49">
        <f t="shared" si="24"/>
        <v>53.683804541359329</v>
      </c>
      <c r="AT43" s="49">
        <f t="shared" si="24"/>
        <v>54.309457958602557</v>
      </c>
      <c r="AU43" s="49">
        <f t="shared" si="24"/>
        <v>54.852253492297486</v>
      </c>
      <c r="AV43" s="49">
        <f t="shared" si="24"/>
        <v>55.402975718224738</v>
      </c>
      <c r="AW43" s="49">
        <f t="shared" si="24"/>
        <v>55.953639701882814</v>
      </c>
      <c r="AX43" s="49">
        <f t="shared" si="24"/>
        <v>56.497690592466228</v>
      </c>
      <c r="AY43" s="49">
        <f t="shared" si="24"/>
        <v>56.926127405039438</v>
      </c>
      <c r="AZ43" s="49">
        <f t="shared" si="24"/>
        <v>57.357353535744544</v>
      </c>
      <c r="BA43" s="49">
        <f t="shared" si="24"/>
        <v>57.829202748418027</v>
      </c>
      <c r="BB43" s="49">
        <f t="shared" si="24"/>
        <v>58.317780191487692</v>
      </c>
      <c r="BC43" s="49">
        <f t="shared" si="24"/>
        <v>58.746775611159173</v>
      </c>
      <c r="BD43" s="49">
        <f t="shared" si="24"/>
        <v>59.156722407746727</v>
      </c>
      <c r="BE43" s="49">
        <f t="shared" si="24"/>
        <v>59.708910268801766</v>
      </c>
      <c r="BF43" s="49">
        <f t="shared" si="24"/>
        <v>60.285599103462346</v>
      </c>
      <c r="BG43" s="49">
        <f t="shared" si="24"/>
        <v>60.897513384311779</v>
      </c>
      <c r="BH43" s="49">
        <f t="shared" si="24"/>
        <v>61.537146101775733</v>
      </c>
      <c r="BI43" s="49">
        <f t="shared" si="24"/>
        <v>62.22798806876208</v>
      </c>
      <c r="BJ43" s="49">
        <f t="shared" si="24"/>
        <v>62.943987599579707</v>
      </c>
      <c r="BK43" s="49">
        <f t="shared" si="24"/>
        <v>63.679555322251431</v>
      </c>
      <c r="BL43" s="49">
        <f t="shared" si="24"/>
        <v>64.369851826563732</v>
      </c>
      <c r="BM43" s="49">
        <f t="shared" si="24"/>
        <v>65.081604068546255</v>
      </c>
      <c r="BN43" s="49">
        <f t="shared" si="24"/>
        <v>65.828074838352833</v>
      </c>
    </row>
    <row r="44" spans="1:66" x14ac:dyDescent="0.25">
      <c r="A44" t="str">
        <f>A42</f>
        <v>3C Aggregated and non-CO2 emissions on land</v>
      </c>
      <c r="B44" t="str">
        <f>'IPCC Categories'!B73</f>
        <v>3C4 Direct N2O from managed soils (N2O)</v>
      </c>
      <c r="C44" t="str">
        <f>'IPCC Categories'!C73</f>
        <v>Inorganic inputs</v>
      </c>
      <c r="D44" t="s">
        <v>139</v>
      </c>
      <c r="E44" t="s">
        <v>287</v>
      </c>
      <c r="F44" s="22">
        <f>Emissions!H88</f>
        <v>5.4008271428571426</v>
      </c>
      <c r="G44" s="22">
        <f>Emissions!I88</f>
        <v>5.7362642857142854</v>
      </c>
      <c r="H44" s="22">
        <f>Emissions!J88</f>
        <v>5.4611071428571423</v>
      </c>
      <c r="I44" s="22">
        <f>Emissions!K88</f>
        <v>6.4186414285714282</v>
      </c>
      <c r="J44" s="22">
        <f>Emissions!L88</f>
        <v>5.8938942857142855</v>
      </c>
      <c r="K44" s="22">
        <f>Emissions!M88</f>
        <v>5.8377157142857143</v>
      </c>
      <c r="L44" s="22">
        <f>Emissions!N88</f>
        <v>6.5227485714285702</v>
      </c>
      <c r="M44" s="22">
        <f>Emissions!O88</f>
        <v>6.3943628571428572</v>
      </c>
      <c r="N44" s="22">
        <f>Emissions!P88</f>
        <v>6.5296157142857139</v>
      </c>
      <c r="O44" s="22">
        <f>Emissions!Q88</f>
        <v>6.4907071428571426</v>
      </c>
      <c r="P44" s="22">
        <f>Emissions!R88</f>
        <v>6.5360899999999997</v>
      </c>
      <c r="Q44" s="22">
        <f>Emissions!S88</f>
        <v>6.219918571428571</v>
      </c>
      <c r="R44" s="22">
        <f>Emissions!T88</f>
        <v>7.4968457142857146</v>
      </c>
      <c r="S44" s="22">
        <f>Emissions!U88</f>
        <v>6.6129957142857139</v>
      </c>
      <c r="T44" s="22">
        <f>Emissions!V88</f>
        <v>6.7189728571428571</v>
      </c>
      <c r="U44" s="22">
        <f>Emissions!W88</f>
        <v>5.4569428571428569</v>
      </c>
      <c r="V44" s="22">
        <f>Emissions!X88</f>
        <v>6.7370128571428571</v>
      </c>
      <c r="W44" s="22">
        <f>Emissions!Y88</f>
        <v>6.9061142857142848</v>
      </c>
      <c r="X44" s="22">
        <f>Emissions!Z88</f>
        <v>6.66479</v>
      </c>
      <c r="Y44" s="22">
        <f>Emissions!AA88</f>
        <v>7.1307814285714279</v>
      </c>
      <c r="Z44" s="22">
        <f>Emissions!AB88</f>
        <v>6.2071428571428573</v>
      </c>
      <c r="AA44" s="22">
        <f>Emissions!AC88</f>
        <v>6.5842857142857145</v>
      </c>
      <c r="AB44" s="22">
        <f>Emissions!AD88</f>
        <v>6.6064812063358538</v>
      </c>
      <c r="AC44" s="22">
        <f>Emissions!AE88</f>
        <v>6.6058207390899382</v>
      </c>
      <c r="AD44" s="22">
        <f>Emissions!AF88</f>
        <v>6.6043752951273245</v>
      </c>
      <c r="AE44" s="22">
        <f>Emissions!AG88</f>
        <v>6.6032696198689882</v>
      </c>
      <c r="AF44" s="22">
        <f>Emissions!AH88</f>
        <v>6.6024181197218441</v>
      </c>
      <c r="AG44" s="22">
        <f>Emissions!AI88</f>
        <v>6.6018322856379754</v>
      </c>
      <c r="AH44" s="22">
        <f>Emissions!AJ88</f>
        <v>6.6009203839532553</v>
      </c>
      <c r="AI44" s="22">
        <f>Emissions!AK88</f>
        <v>6.600085141794314</v>
      </c>
      <c r="AJ44" s="22">
        <f>Emissions!AL88</f>
        <v>6.5992810826568169</v>
      </c>
      <c r="AK44" s="22">
        <f>Emissions!AM88</f>
        <v>6.6038308279229243</v>
      </c>
      <c r="AL44" s="22">
        <f>Emissions!AN88</f>
        <v>6.6023030545561276</v>
      </c>
      <c r="AM44" s="22">
        <f>Emissions!AO88</f>
        <v>6.6008610999729127</v>
      </c>
      <c r="AN44" s="22">
        <f>Emissions!AP88</f>
        <v>6.5994081196940577</v>
      </c>
      <c r="AO44" s="22">
        <f>Emissions!AQ88</f>
        <v>6.597877321985802</v>
      </c>
      <c r="AP44" s="22">
        <f>Emissions!AR88</f>
        <v>6.5962246927897521</v>
      </c>
      <c r="AQ44" s="22">
        <f>Emissions!AS88</f>
        <v>6.5945459026359927</v>
      </c>
      <c r="AR44" s="22">
        <f>Emissions!AT88</f>
        <v>6.592798047453547</v>
      </c>
      <c r="AS44" s="22">
        <f>Emissions!AU88</f>
        <v>6.5909745893588623</v>
      </c>
      <c r="AT44" s="22">
        <f>Emissions!AV88</f>
        <v>6.5889864701982281</v>
      </c>
      <c r="AU44" s="22">
        <f>Emissions!AW88</f>
        <v>6.587046072479068</v>
      </c>
      <c r="AV44" s="22">
        <f>Emissions!AX88</f>
        <v>6.5848641583734873</v>
      </c>
      <c r="AW44" s="22">
        <f>Emissions!AY88</f>
        <v>6.5826603135893169</v>
      </c>
      <c r="AX44" s="22">
        <f>Emissions!AZ88</f>
        <v>6.5804455027989484</v>
      </c>
      <c r="AY44" s="22">
        <f>Emissions!BA88</f>
        <v>6.5782303527453765</v>
      </c>
      <c r="AZ44" s="22">
        <f>Emissions!BB88</f>
        <v>6.5762005111977526</v>
      </c>
      <c r="BA44" s="22">
        <f>Emissions!BC88</f>
        <v>6.5741368093691541</v>
      </c>
      <c r="BB44" s="22">
        <f>Emissions!BD88</f>
        <v>6.5719894063211308</v>
      </c>
      <c r="BC44" s="22">
        <f>Emissions!BE88</f>
        <v>6.5697994442072352</v>
      </c>
      <c r="BD44" s="22">
        <f>Emissions!BF88</f>
        <v>6.5676952966384965</v>
      </c>
      <c r="BE44" s="22">
        <f>Emissions!BG88</f>
        <v>6.5656056667652596</v>
      </c>
      <c r="BF44" s="22">
        <f>Emissions!BH88</f>
        <v>6.563493408486174</v>
      </c>
      <c r="BG44" s="22">
        <f>Emissions!BI88</f>
        <v>6.5613357751337027</v>
      </c>
      <c r="BH44" s="22">
        <f>Emissions!BJ88</f>
        <v>6.5591157758905743</v>
      </c>
      <c r="BI44" s="22">
        <f>Emissions!BK88</f>
        <v>6.5568469055666228</v>
      </c>
      <c r="BJ44" s="22">
        <f>Emissions!BL88</f>
        <v>6.5544915795000183</v>
      </c>
      <c r="BK44" s="22">
        <f>Emissions!BM88</f>
        <v>6.5520823462178042</v>
      </c>
      <c r="BL44" s="22">
        <f>Emissions!BN88</f>
        <v>6.5496403783587525</v>
      </c>
      <c r="BM44" s="22">
        <f>Emissions!BO88</f>
        <v>6.5472681906606116</v>
      </c>
      <c r="BN44" s="22">
        <f>Emissions!BP88</f>
        <v>6.544857941459524</v>
      </c>
    </row>
    <row r="45" spans="1:66" x14ac:dyDescent="0.25">
      <c r="A45" t="str">
        <f t="shared" si="18"/>
        <v>3C Aggregated and non-CO2 emissions on land</v>
      </c>
      <c r="B45" t="str">
        <f>B44</f>
        <v>3C4 Direct N2O from managed soils (N2O)</v>
      </c>
      <c r="C45" t="str">
        <f>'IPCC Categories'!C74</f>
        <v>Organic inputs</v>
      </c>
      <c r="D45" t="str">
        <f>D44</f>
        <v>N2O</v>
      </c>
      <c r="E45" t="str">
        <f>E44</f>
        <v>Gg N2O</v>
      </c>
      <c r="F45" s="22">
        <f>Emissions!H89+SUM(Emissions!H91:H106)</f>
        <v>5.013223224744225</v>
      </c>
      <c r="G45" s="22">
        <f>Emissions!I89+SUM(Emissions!I91:I106)</f>
        <v>5.2664911527114882</v>
      </c>
      <c r="H45" s="22">
        <f>Emissions!J89+SUM(Emissions!J91:J106)</f>
        <v>5.1762858222826607</v>
      </c>
      <c r="I45" s="22">
        <f>Emissions!K89+SUM(Emissions!K91:K106)</f>
        <v>5.2086111862956743</v>
      </c>
      <c r="J45" s="22">
        <f>Emissions!L89+SUM(Emissions!L91:L106)</f>
        <v>4.8007290385965042</v>
      </c>
      <c r="K45" s="22">
        <f>Emissions!M89+SUM(Emissions!M91:M106)</f>
        <v>4.8651386255813591</v>
      </c>
      <c r="L45" s="22">
        <f>Emissions!N89+SUM(Emissions!N91:N106)</f>
        <v>5.0338302809481963</v>
      </c>
      <c r="M45" s="22">
        <f>Emissions!O89+SUM(Emissions!O91:O106)</f>
        <v>5.1142932794644391</v>
      </c>
      <c r="N45" s="22">
        <f>Emissions!P89+SUM(Emissions!P91:P106)</f>
        <v>5.3033045117136446</v>
      </c>
      <c r="O45" s="22">
        <f>Emissions!Q89+SUM(Emissions!Q91:Q106)</f>
        <v>5.4092266243626721</v>
      </c>
      <c r="P45" s="22">
        <f>Emissions!R89+SUM(Emissions!R91:R106)</f>
        <v>5.6403135553523542</v>
      </c>
      <c r="Q45" s="22">
        <f>Emissions!S89+SUM(Emissions!S91:S106)</f>
        <v>5.5621015030972583</v>
      </c>
      <c r="R45" s="22">
        <f>Emissions!T89+SUM(Emissions!T91:T106)</f>
        <v>5.7412119564886979</v>
      </c>
      <c r="S45" s="22">
        <f>Emissions!U89+SUM(Emissions!U91:U106)</f>
        <v>5.6607422735121498</v>
      </c>
      <c r="T45" s="22">
        <f>Emissions!V89+SUM(Emissions!V91:V106)</f>
        <v>5.5972438596319325</v>
      </c>
      <c r="U45" s="22">
        <f>Emissions!W89+SUM(Emissions!W91:W106)</f>
        <v>5.6518594537321407</v>
      </c>
      <c r="V45" s="22">
        <f>Emissions!X89+SUM(Emissions!X91:X106)</f>
        <v>5.7679219843073382</v>
      </c>
      <c r="W45" s="22">
        <f>Emissions!Y89+SUM(Emissions!Y91:Y106)</f>
        <v>5.930952774865669</v>
      </c>
      <c r="X45" s="22">
        <f>Emissions!Z89+SUM(Emissions!Z91:Z106)</f>
        <v>6.1389173405766284</v>
      </c>
      <c r="Y45" s="22">
        <f>Emissions!AA89+SUM(Emissions!AA91:AA106)</f>
        <v>6.0934183775123598</v>
      </c>
      <c r="Z45" s="22">
        <f>Emissions!AB89+SUM(Emissions!AB91:AB106)</f>
        <v>6.0637701628895098</v>
      </c>
      <c r="AA45" s="22">
        <f>Emissions!AC89+SUM(Emissions!AC91:AC106)</f>
        <v>6.1036946299350001</v>
      </c>
      <c r="AB45" s="22">
        <f>Emissions!AD89+SUM(Emissions!AD91:AD106)</f>
        <v>6.0488930417817066</v>
      </c>
      <c r="AC45" s="22">
        <f>Emissions!AE89+SUM(Emissions!AE91:AE106)</f>
        <v>6.0821436745050699</v>
      </c>
      <c r="AD45" s="22">
        <f>Emissions!AF89+SUM(Emissions!AF91:AF106)</f>
        <v>6.0784189930447212</v>
      </c>
      <c r="AE45" s="22">
        <f>Emissions!AG89+SUM(Emissions!AG91:AG106)</f>
        <v>6.0481375120861216</v>
      </c>
      <c r="AF45" s="22">
        <f>Emissions!AH89+SUM(Emissions!AH91:AH106)</f>
        <v>5.990666980207461</v>
      </c>
      <c r="AG45" s="22">
        <f>Emissions!AI89+SUM(Emissions!AI91:AI106)</f>
        <v>5.9722465321921199</v>
      </c>
      <c r="AH45" s="22">
        <f>Emissions!AJ89+SUM(Emissions!AJ91:AJ106)</f>
        <v>5.9473179756775254</v>
      </c>
      <c r="AI45" s="22">
        <f>Emissions!AK89+SUM(Emissions!AK91:AK106)</f>
        <v>5.920833095782581</v>
      </c>
      <c r="AJ45" s="22">
        <f>Emissions!AL89+SUM(Emissions!AL91:AL106)</f>
        <v>5.3410334501858321</v>
      </c>
      <c r="AK45" s="22">
        <f>Emissions!AM89+SUM(Emissions!AM91:AM106)</f>
        <v>5.4231331970096681</v>
      </c>
      <c r="AL45" s="22">
        <f>Emissions!AN89+SUM(Emissions!AN91:AN106)</f>
        <v>5.4978767929234635</v>
      </c>
      <c r="AM45" s="22">
        <f>Emissions!AO89+SUM(Emissions!AO91:AO106)</f>
        <v>5.5749815987044258</v>
      </c>
      <c r="AN45" s="22">
        <f>Emissions!AP89+SUM(Emissions!AP91:AP106)</f>
        <v>5.6612551503229485</v>
      </c>
      <c r="AO45" s="22">
        <f>Emissions!AQ89+SUM(Emissions!AQ91:AQ106)</f>
        <v>5.761358890471997</v>
      </c>
      <c r="AP45" s="22">
        <f>Emissions!AR89+SUM(Emissions!AR91:AR106)</f>
        <v>5.8658797619084195</v>
      </c>
      <c r="AQ45" s="22">
        <f>Emissions!AS89+SUM(Emissions!AS91:AS106)</f>
        <v>5.9791437893054882</v>
      </c>
      <c r="AR45" s="22">
        <f>Emissions!AT89+SUM(Emissions!AT91:AT106)</f>
        <v>6.1020693245013229</v>
      </c>
      <c r="AS45" s="22">
        <f>Emissions!AU89+SUM(Emissions!AU91:AU106)</f>
        <v>6.2445128048698848</v>
      </c>
      <c r="AT45" s="22">
        <f>Emissions!AV89+SUM(Emissions!AV91:AV106)</f>
        <v>6.3840574534824173</v>
      </c>
      <c r="AU45" s="22">
        <f>Emissions!AW89+SUM(Emissions!AW91:AW106)</f>
        <v>6.5300656166237099</v>
      </c>
      <c r="AV45" s="22">
        <f>Emissions!AX89+SUM(Emissions!AX91:AX106)</f>
        <v>6.6801676025283356</v>
      </c>
      <c r="AW45" s="22">
        <f>Emissions!AY89+SUM(Emissions!AY91:AY106)</f>
        <v>6.8332546954752003</v>
      </c>
      <c r="AX45" s="22">
        <f>Emissions!AZ89+SUM(Emissions!AZ91:AZ106)</f>
        <v>6.9881957388326956</v>
      </c>
      <c r="AY45" s="22">
        <f>Emissions!BA89+SUM(Emissions!BA91:BA106)</f>
        <v>7.1234927338317799</v>
      </c>
      <c r="AZ45" s="22">
        <f>Emissions!BB89+SUM(Emissions!BB91:BB106)</f>
        <v>7.2642459978978735</v>
      </c>
      <c r="BA45" s="22">
        <f>Emissions!BC89+SUM(Emissions!BC91:BC106)</f>
        <v>7.4163973752900834</v>
      </c>
      <c r="BB45" s="22">
        <f>Emissions!BD89+SUM(Emissions!BD91:BD106)</f>
        <v>7.5754034966629185</v>
      </c>
      <c r="BC45" s="22">
        <f>Emissions!BE89+SUM(Emissions!BE91:BE106)</f>
        <v>7.7258583113461379</v>
      </c>
      <c r="BD45" s="22">
        <f>Emissions!BF89+SUM(Emissions!BF91:BF106)</f>
        <v>7.8761939709038327</v>
      </c>
      <c r="BE45" s="22">
        <f>Emissions!BG89+SUM(Emissions!BG91:BG106)</f>
        <v>8.0460834996542694</v>
      </c>
      <c r="BF45" s="22">
        <f>Emissions!BH89+SUM(Emissions!BH91:BH106)</f>
        <v>8.2242876647329766</v>
      </c>
      <c r="BG45" s="22">
        <f>Emissions!BI89+SUM(Emissions!BI91:BI106)</f>
        <v>8.4133231542962559</v>
      </c>
      <c r="BH45" s="22">
        <f>Emissions!BJ89+SUM(Emissions!BJ91:BJ106)</f>
        <v>8.6118763543802892</v>
      </c>
      <c r="BI45" s="22">
        <f>Emissions!BK89+SUM(Emissions!BK91:BK106)</f>
        <v>8.8253744401553664</v>
      </c>
      <c r="BJ45" s="22">
        <f>Emissions!BL89+SUM(Emissions!BL91:BL106)</f>
        <v>9.0501622516142408</v>
      </c>
      <c r="BK45" s="22">
        <f>Emissions!BM89+SUM(Emissions!BM91:BM106)</f>
        <v>9.2837427035117805</v>
      </c>
      <c r="BL45" s="22">
        <f>Emissions!BN89+SUM(Emissions!BN91:BN106)</f>
        <v>9.5119651065192823</v>
      </c>
      <c r="BM45" s="22">
        <f>Emissions!BO89+SUM(Emissions!BO91:BO106)</f>
        <v>9.7499393741927598</v>
      </c>
      <c r="BN45" s="22">
        <f>Emissions!BP89+SUM(Emissions!BP91:BP106)</f>
        <v>10.00086979490688</v>
      </c>
    </row>
    <row r="46" spans="1:66" x14ac:dyDescent="0.25">
      <c r="A46" t="str">
        <f t="shared" si="18"/>
        <v>3C Aggregated and non-CO2 emissions on land</v>
      </c>
      <c r="B46" t="str">
        <f t="shared" si="18"/>
        <v>3C4 Direct N2O from managed soils (N2O)</v>
      </c>
      <c r="C46" t="str">
        <f>'IPCC Categories'!C75</f>
        <v>Crop residues</v>
      </c>
      <c r="D46" t="str">
        <f t="shared" ref="D46" si="25">D45</f>
        <v>N2O</v>
      </c>
      <c r="E46" t="str">
        <f t="shared" ref="E46" si="26">E45</f>
        <v>Gg N2O</v>
      </c>
      <c r="F46" s="22">
        <f>Emissions!H90</f>
        <v>4.7572664246993837</v>
      </c>
      <c r="G46" s="22">
        <f>Emissions!I90</f>
        <v>4.2403582737669279</v>
      </c>
      <c r="H46" s="22">
        <f>Emissions!J90</f>
        <v>4.4153625132445411</v>
      </c>
      <c r="I46" s="22">
        <f>Emissions!K90</f>
        <v>4.7418888374800598</v>
      </c>
      <c r="J46" s="22">
        <f>Emissions!L90</f>
        <v>5.0009128268356475</v>
      </c>
      <c r="K46" s="22">
        <f>Emissions!M90</f>
        <v>3.8892379277011866</v>
      </c>
      <c r="L46" s="22">
        <f>Emissions!N90</f>
        <v>4.2839264832658595</v>
      </c>
      <c r="M46" s="22">
        <f>Emissions!O90</f>
        <v>4.5049773321420563</v>
      </c>
      <c r="N46" s="22">
        <f>Emissions!P90</f>
        <v>3.9255738498283432</v>
      </c>
      <c r="O46" s="22">
        <f>Emissions!Q90</f>
        <v>3.8953932469931241</v>
      </c>
      <c r="P46" s="22">
        <f>Emissions!R90</f>
        <v>4.4710787977237265</v>
      </c>
      <c r="Q46" s="22">
        <f>Emissions!S90</f>
        <v>3.6519029734228816</v>
      </c>
      <c r="R46" s="22">
        <f>Emissions!T90</f>
        <v>3.982993252892217</v>
      </c>
      <c r="S46" s="22">
        <f>Emissions!U90</f>
        <v>3.9301610630705248</v>
      </c>
      <c r="T46" s="22">
        <f>Emissions!V90</f>
        <v>3.5144884547415667</v>
      </c>
      <c r="U46" s="22">
        <f>Emissions!W90</f>
        <v>3.5698504074879742</v>
      </c>
      <c r="V46" s="22">
        <f>Emissions!X90</f>
        <v>2.4003352875845994</v>
      </c>
      <c r="W46" s="22">
        <f>Emissions!Y90</f>
        <v>3.2539877539471691</v>
      </c>
      <c r="X46" s="22">
        <f>Emissions!Z90</f>
        <v>3.7163492663367288</v>
      </c>
      <c r="Y46" s="22">
        <f>Emissions!AA90</f>
        <v>3.3020035495326421</v>
      </c>
      <c r="Z46" s="22">
        <f>Emissions!AB90</f>
        <v>3.605306989206821</v>
      </c>
      <c r="AA46" s="22">
        <f>Emissions!AC90</f>
        <v>3.3383236984964055</v>
      </c>
      <c r="AB46" s="22">
        <f>Emissions!AD90</f>
        <v>2.94930909510781</v>
      </c>
      <c r="AC46" s="22">
        <f>Emissions!AE90</f>
        <v>2.9542398709530726</v>
      </c>
      <c r="AD46" s="22">
        <f>Emissions!AF90</f>
        <v>2.965030958960269</v>
      </c>
      <c r="AE46" s="22">
        <f>Emissions!AG90</f>
        <v>2.9732854740633656</v>
      </c>
      <c r="AF46" s="22">
        <f>Emissions!AH90</f>
        <v>2.9796424226989546</v>
      </c>
      <c r="AG46" s="22">
        <f>Emissions!AI90</f>
        <v>2.9840160181617672</v>
      </c>
      <c r="AH46" s="22">
        <f>Emissions!AJ90</f>
        <v>2.9908238997457284</v>
      </c>
      <c r="AI46" s="22">
        <f>Emissions!AK90</f>
        <v>2.9970594729520035</v>
      </c>
      <c r="AJ46" s="22">
        <f>Emissions!AL90</f>
        <v>3.0030622465911945</v>
      </c>
      <c r="AK46" s="22">
        <f>Emissions!AM90</f>
        <v>2.9690957263754418</v>
      </c>
      <c r="AL46" s="22">
        <f>Emissions!AN90</f>
        <v>2.9805014517321879</v>
      </c>
      <c r="AM46" s="22">
        <f>Emissions!AO90</f>
        <v>2.9912664894730492</v>
      </c>
      <c r="AN46" s="22">
        <f>Emissions!AP90</f>
        <v>3.0021138405066377</v>
      </c>
      <c r="AO46" s="22">
        <f>Emissions!AQ90</f>
        <v>3.013542144348385</v>
      </c>
      <c r="AP46" s="22">
        <f>Emissions!AR90</f>
        <v>3.0258799917911814</v>
      </c>
      <c r="AQ46" s="22">
        <f>Emissions!AS90</f>
        <v>3.0384131461460875</v>
      </c>
      <c r="AR46" s="22">
        <f>Emissions!AT90</f>
        <v>3.051461911498079</v>
      </c>
      <c r="AS46" s="22">
        <f>Emissions!AU90</f>
        <v>3.0650750969871821</v>
      </c>
      <c r="AT46" s="22">
        <f>Emissions!AV90</f>
        <v>3.0799175740295892</v>
      </c>
      <c r="AU46" s="22">
        <f>Emissions!AW90</f>
        <v>3.0944037824873303</v>
      </c>
      <c r="AV46" s="22">
        <f>Emissions!AX90</f>
        <v>3.1106930525984096</v>
      </c>
      <c r="AW46" s="22">
        <f>Emissions!AY90</f>
        <v>3.12714604810379</v>
      </c>
      <c r="AX46" s="22">
        <f>Emissions!AZ90</f>
        <v>3.1436809112851423</v>
      </c>
      <c r="AY46" s="22">
        <f>Emissions!BA90</f>
        <v>3.1602183072655401</v>
      </c>
      <c r="AZ46" s="22">
        <f>Emissions!BB90</f>
        <v>3.175372266427992</v>
      </c>
      <c r="BA46" s="22">
        <f>Emissions!BC90</f>
        <v>3.1907790124721145</v>
      </c>
      <c r="BB46" s="22">
        <f>Emissions!BD90</f>
        <v>3.2068106372721621</v>
      </c>
      <c r="BC46" s="22">
        <f>Emissions!BE90</f>
        <v>3.2231599904914594</v>
      </c>
      <c r="BD46" s="22">
        <f>Emissions!BF90</f>
        <v>3.2388686877371713</v>
      </c>
      <c r="BE46" s="22">
        <f>Emissions!BG90</f>
        <v>3.2544690018605826</v>
      </c>
      <c r="BF46" s="22">
        <f>Emissions!BH90</f>
        <v>3.2702382503220044</v>
      </c>
      <c r="BG46" s="22">
        <f>Emissions!BI90</f>
        <v>3.2863462503524339</v>
      </c>
      <c r="BH46" s="22">
        <f>Emissions!BJ90</f>
        <v>3.3029198483805184</v>
      </c>
      <c r="BI46" s="22">
        <f>Emissions!BK90</f>
        <v>3.3198582977261348</v>
      </c>
      <c r="BJ46" s="22">
        <f>Emissions!BL90</f>
        <v>3.3374421899611515</v>
      </c>
      <c r="BK46" s="22">
        <f>Emissions!BM90</f>
        <v>3.3554285312173113</v>
      </c>
      <c r="BL46" s="22">
        <f>Emissions!BN90</f>
        <v>3.3736592553127007</v>
      </c>
      <c r="BM46" s="22">
        <f>Emissions!BO90</f>
        <v>3.3913690295289958</v>
      </c>
      <c r="BN46" s="22">
        <f>Emissions!BP90</f>
        <v>3.4093629552161286</v>
      </c>
    </row>
    <row r="47" spans="1:66" x14ac:dyDescent="0.25">
      <c r="A47" t="str">
        <f t="shared" ref="A47:B47" si="27">A46</f>
        <v>3C Aggregated and non-CO2 emissions on land</v>
      </c>
      <c r="B47" t="str">
        <f t="shared" si="27"/>
        <v>3C4 Direct N2O from managed soils (N2O)</v>
      </c>
      <c r="C47" t="str">
        <f>'IPCC Categories'!C76</f>
        <v>Urine and dung</v>
      </c>
      <c r="D47" t="str">
        <f t="shared" ref="D47:D54" si="28">D46</f>
        <v>N2O</v>
      </c>
      <c r="E47" t="str">
        <f t="shared" ref="E47:E54" si="29">E46</f>
        <v>Gg N2O</v>
      </c>
      <c r="F47" s="22">
        <f>SUM(Emissions!H107:H122)</f>
        <v>40.425280591433946</v>
      </c>
      <c r="G47" s="22">
        <f>SUM(Emissions!I107:I122)</f>
        <v>39.655855375514953</v>
      </c>
      <c r="H47" s="22">
        <f>SUM(Emissions!J107:J122)</f>
        <v>39.269963203010875</v>
      </c>
      <c r="I47" s="22">
        <f>SUM(Emissions!K107:K122)</f>
        <v>37.449084903585295</v>
      </c>
      <c r="J47" s="22">
        <f>SUM(Emissions!L107:L122)</f>
        <v>36.817343250357858</v>
      </c>
      <c r="K47" s="22">
        <f>SUM(Emissions!M107:M122)</f>
        <v>36.936189905927051</v>
      </c>
      <c r="L47" s="22">
        <f>SUM(Emissions!N107:N122)</f>
        <v>37.924567366369672</v>
      </c>
      <c r="M47" s="22">
        <f>SUM(Emissions!O107:O122)</f>
        <v>38.691122821634551</v>
      </c>
      <c r="N47" s="22">
        <f>SUM(Emissions!P107:P122)</f>
        <v>39.306588985945346</v>
      </c>
      <c r="O47" s="22">
        <f>SUM(Emissions!Q107:Q122)</f>
        <v>39.158195612778492</v>
      </c>
      <c r="P47" s="22">
        <f>SUM(Emissions!R107:R122)</f>
        <v>37.874148422214795</v>
      </c>
      <c r="Q47" s="22">
        <f>SUM(Emissions!S107:S122)</f>
        <v>37.594392019460763</v>
      </c>
      <c r="R47" s="22">
        <f>SUM(Emissions!T107:T122)</f>
        <v>37.094637763656323</v>
      </c>
      <c r="S47" s="22">
        <f>SUM(Emissions!U107:U122)</f>
        <v>37.505204714428423</v>
      </c>
      <c r="T47" s="22">
        <f>SUM(Emissions!V107:V122)</f>
        <v>37.280820907568433</v>
      </c>
      <c r="U47" s="22">
        <f>SUM(Emissions!W107:W122)</f>
        <v>37.197164092704128</v>
      </c>
      <c r="V47" s="22">
        <f>SUM(Emissions!X107:X122)</f>
        <v>37.060718523204258</v>
      </c>
      <c r="W47" s="22">
        <f>SUM(Emissions!Y107:Y122)</f>
        <v>37.867172144279415</v>
      </c>
      <c r="X47" s="22">
        <f>SUM(Emissions!Z107:Z122)</f>
        <v>37.589440908384148</v>
      </c>
      <c r="Y47" s="22">
        <f>SUM(Emissions!AA107:AA122)</f>
        <v>37.213052114334651</v>
      </c>
      <c r="Z47" s="22">
        <f>SUM(Emissions!AB107:AB122)</f>
        <v>36.852039924544918</v>
      </c>
      <c r="AA47" s="22">
        <f>SUM(Emissions!AC107:AC122)</f>
        <v>36.70999987940661</v>
      </c>
      <c r="AB47" s="22">
        <f>SUM(Emissions!AD107:AD122)</f>
        <v>35.400977420652382</v>
      </c>
      <c r="AC47" s="22">
        <f>SUM(Emissions!AE107:AE122)</f>
        <v>35.339811988505446</v>
      </c>
      <c r="AD47" s="22">
        <f>SUM(Emissions!AF107:AF122)</f>
        <v>35.099627083253779</v>
      </c>
      <c r="AE47" s="22">
        <f>SUM(Emissions!AG107:AG122)</f>
        <v>34.735170455960386</v>
      </c>
      <c r="AF47" s="22">
        <f>SUM(Emissions!AH107:AH122)</f>
        <v>34.246974756174531</v>
      </c>
      <c r="AG47" s="22">
        <f>SUM(Emissions!AI107:AI122)</f>
        <v>33.949531124711854</v>
      </c>
      <c r="AH47" s="22">
        <f>SUM(Emissions!AJ107:AJ122)</f>
        <v>33.622969851208708</v>
      </c>
      <c r="AI47" s="22">
        <f>SUM(Emissions!AK107:AK122)</f>
        <v>33.291027551576988</v>
      </c>
      <c r="AJ47" s="22">
        <f>SUM(Emissions!AL107:AL122)</f>
        <v>30.449185825435148</v>
      </c>
      <c r="AK47" s="22">
        <f>SUM(Emissions!AM107:AM122)</f>
        <v>30.718723481577872</v>
      </c>
      <c r="AL47" s="22">
        <f>SUM(Emissions!AN107:AN122)</f>
        <v>30.952895466093718</v>
      </c>
      <c r="AM47" s="22">
        <f>SUM(Emissions!AO107:AO122)</f>
        <v>31.195293278822209</v>
      </c>
      <c r="AN47" s="22">
        <f>SUM(Emissions!AP107:AP122)</f>
        <v>31.475761311331315</v>
      </c>
      <c r="AO47" s="22">
        <f>SUM(Emissions!AQ107:AQ122)</f>
        <v>31.813967553021353</v>
      </c>
      <c r="AP47" s="22">
        <f>SUM(Emissions!AR107:AR122)</f>
        <v>32.156588177174541</v>
      </c>
      <c r="AQ47" s="22">
        <f>SUM(Emissions!AS107:AS122)</f>
        <v>32.53281422432493</v>
      </c>
      <c r="AR47" s="22">
        <f>SUM(Emissions!AT107:AT122)</f>
        <v>32.945811910593164</v>
      </c>
      <c r="AS47" s="22">
        <f>SUM(Emissions!AU107:AU122)</f>
        <v>33.437042466462742</v>
      </c>
      <c r="AT47" s="22">
        <f>SUM(Emissions!AV107:AV122)</f>
        <v>33.909165021502922</v>
      </c>
      <c r="AU47" s="22">
        <f>SUM(Emissions!AW107:AW122)</f>
        <v>34.292274725609239</v>
      </c>
      <c r="AV47" s="22">
        <f>SUM(Emissions!AX107:AX122)</f>
        <v>34.677655753917627</v>
      </c>
      <c r="AW47" s="22">
        <f>SUM(Emissions!AY107:AY122)</f>
        <v>35.059851638198886</v>
      </c>
      <c r="AX47" s="22">
        <f>SUM(Emissions!AZ107:AZ122)</f>
        <v>35.433509577325083</v>
      </c>
      <c r="AY47" s="22">
        <f>SUM(Emissions!BA107:BA122)</f>
        <v>35.711195293263636</v>
      </c>
      <c r="AZ47" s="22">
        <f>SUM(Emissions!BB107:BB122)</f>
        <v>35.987412186579085</v>
      </c>
      <c r="BA47" s="22">
        <f>SUM(Emissions!BC107:BC122)</f>
        <v>36.292635121936094</v>
      </c>
      <c r="BB47" s="22">
        <f>SUM(Emissions!BD107:BD122)</f>
        <v>36.607190366172162</v>
      </c>
      <c r="BC47" s="22">
        <f>SUM(Emissions!BE107:BE122)</f>
        <v>36.870439724346276</v>
      </c>
      <c r="BD47" s="22">
        <f>SUM(Emissions!BF107:BF122)</f>
        <v>37.115314455990429</v>
      </c>
      <c r="BE47" s="22">
        <f>SUM(Emissions!BG107:BG122)</f>
        <v>37.482970248336109</v>
      </c>
      <c r="BF47" s="22">
        <f>SUM(Emissions!BH107:BH122)</f>
        <v>37.866666072026909</v>
      </c>
      <c r="BG47" s="22">
        <f>SUM(Emissions!BI107:BI122)</f>
        <v>38.274462640926359</v>
      </c>
      <c r="BH47" s="22">
        <f>SUM(Emissions!BJ107:BJ122)</f>
        <v>38.700056703812585</v>
      </c>
      <c r="BI47" s="22">
        <f>SUM(Emissions!BK107:BK122)</f>
        <v>39.161599150293455</v>
      </c>
      <c r="BJ47" s="22">
        <f>SUM(Emissions!BL107:BL122)</f>
        <v>39.636450447775047</v>
      </c>
      <c r="BK47" s="22">
        <f>SUM(Emissions!BM107:BM122)</f>
        <v>40.121728754866552</v>
      </c>
      <c r="BL47" s="22">
        <f>SUM(Emissions!BN107:BN122)</f>
        <v>40.566882244226264</v>
      </c>
      <c r="BM47" s="22">
        <f>SUM(Emissions!BO107:BO122)</f>
        <v>41.024190776308416</v>
      </c>
      <c r="BN47" s="22">
        <f>SUM(Emissions!BP107:BP122)</f>
        <v>41.503015593206094</v>
      </c>
    </row>
    <row r="48" spans="1:66" x14ac:dyDescent="0.25">
      <c r="A48" t="str">
        <f t="shared" ref="A48:B49" si="30">A47</f>
        <v>3C Aggregated and non-CO2 emissions on land</v>
      </c>
      <c r="B48" t="str">
        <f t="shared" si="30"/>
        <v>3C4 Direct N2O from managed soils (N2O)</v>
      </c>
      <c r="C48" t="str">
        <f>'IPCC Categories'!C77</f>
        <v>FSOM</v>
      </c>
      <c r="D48" t="str">
        <f t="shared" si="28"/>
        <v>N2O</v>
      </c>
      <c r="E48" t="str">
        <f t="shared" si="29"/>
        <v>Gg N2O</v>
      </c>
      <c r="F48" s="22">
        <f>SUM(Emissions!H123:H134)</f>
        <v>0</v>
      </c>
      <c r="G48" s="22">
        <f>SUM(Emissions!I123:I134)</f>
        <v>0.38737090084859693</v>
      </c>
      <c r="H48" s="22">
        <f>SUM(Emissions!J123:J134)</f>
        <v>0.38737090084859693</v>
      </c>
      <c r="I48" s="22">
        <f>SUM(Emissions!K123:K134)</f>
        <v>0.38737090084859693</v>
      </c>
      <c r="J48" s="22">
        <f>SUM(Emissions!L123:L134)</f>
        <v>0.38737090084859693</v>
      </c>
      <c r="K48" s="22">
        <f>SUM(Emissions!M123:M134)</f>
        <v>0.38737090084859693</v>
      </c>
      <c r="L48" s="22">
        <f>SUM(Emissions!N123:N134)</f>
        <v>0.38737090084859693</v>
      </c>
      <c r="M48" s="22">
        <f>SUM(Emissions!O123:O134)</f>
        <v>0.38737090084859693</v>
      </c>
      <c r="N48" s="22">
        <f>SUM(Emissions!P123:P134)</f>
        <v>0.38737090084859693</v>
      </c>
      <c r="O48" s="22">
        <f>SUM(Emissions!Q123:Q134)</f>
        <v>0.38737090084859693</v>
      </c>
      <c r="P48" s="22">
        <f>SUM(Emissions!R123:R134)</f>
        <v>0.38737090084859693</v>
      </c>
      <c r="Q48" s="22">
        <f>SUM(Emissions!S123:S134)</f>
        <v>0.38737090084859693</v>
      </c>
      <c r="R48" s="22">
        <f>SUM(Emissions!T123:T134)</f>
        <v>0.38737090084859693</v>
      </c>
      <c r="S48" s="22">
        <f>SUM(Emissions!U123:U134)</f>
        <v>0.38737090084859693</v>
      </c>
      <c r="T48" s="22">
        <f>SUM(Emissions!V123:V134)</f>
        <v>0.38737090084859693</v>
      </c>
      <c r="U48" s="22">
        <f>SUM(Emissions!W123:W134)</f>
        <v>0.38737090084859693</v>
      </c>
      <c r="V48" s="22">
        <f>SUM(Emissions!X123:X134)</f>
        <v>0.38737090084859693</v>
      </c>
      <c r="W48" s="22">
        <f>SUM(Emissions!Y123:Y134)</f>
        <v>0.38737090084859693</v>
      </c>
      <c r="X48" s="22">
        <f>SUM(Emissions!Z123:Z134)</f>
        <v>0.38737090084859693</v>
      </c>
      <c r="Y48" s="22">
        <f>SUM(Emissions!AA123:AA134)</f>
        <v>0.38737090084859693</v>
      </c>
      <c r="Z48" s="22">
        <f>SUM(Emissions!AB123:AB134)</f>
        <v>0.38737090084859693</v>
      </c>
      <c r="AA48" s="22">
        <f>SUM(Emissions!AC123:AC134)</f>
        <v>0.38737090084859693</v>
      </c>
      <c r="AB48" s="22">
        <f>SUM(Emissions!AD123:AD134)</f>
        <v>4.3269580366320675</v>
      </c>
      <c r="AC48" s="22">
        <f>SUM(Emissions!AE123:AE134)</f>
        <v>4.3280898923408078</v>
      </c>
      <c r="AD48" s="22">
        <f>SUM(Emissions!AF123:AF134)</f>
        <v>4.329221748049549</v>
      </c>
      <c r="AE48" s="22">
        <f>SUM(Emissions!AG123:AG134)</f>
        <v>4.3303536037582893</v>
      </c>
      <c r="AF48" s="22">
        <f>SUM(Emissions!AH123:AH134)</f>
        <v>4.3314854594670296</v>
      </c>
      <c r="AG48" s="22">
        <f>SUM(Emissions!AI123:AI134)</f>
        <v>4.3326173151757708</v>
      </c>
      <c r="AH48" s="22">
        <f>SUM(Emissions!AJ123:AJ134)</f>
        <v>4.3337491708845111</v>
      </c>
      <c r="AI48" s="22">
        <f>SUM(Emissions!AK123:AK134)</f>
        <v>4.3348810265932514</v>
      </c>
      <c r="AJ48" s="22">
        <f>SUM(Emissions!AL123:AL134)</f>
        <v>4.3360128823019917</v>
      </c>
      <c r="AK48" s="22">
        <f>SUM(Emissions!AM123:AM134)</f>
        <v>4.337144738010732</v>
      </c>
      <c r="AL48" s="22">
        <f>SUM(Emissions!AN123:AN134)</f>
        <v>4.3382765937194723</v>
      </c>
      <c r="AM48" s="22">
        <f>SUM(Emissions!AO123:AO134)</f>
        <v>4.3394084494282135</v>
      </c>
      <c r="AN48" s="22">
        <f>SUM(Emissions!AP123:AP134)</f>
        <v>4.3405403051369538</v>
      </c>
      <c r="AO48" s="22">
        <f>SUM(Emissions!AQ123:AQ134)</f>
        <v>4.341672160845695</v>
      </c>
      <c r="AP48" s="22">
        <f>SUM(Emissions!AR123:AR134)</f>
        <v>4.3428040165544353</v>
      </c>
      <c r="AQ48" s="22">
        <f>SUM(Emissions!AS123:AS134)</f>
        <v>4.3439358722631756</v>
      </c>
      <c r="AR48" s="22">
        <f>SUM(Emissions!AT123:AT134)</f>
        <v>4.3450677279719159</v>
      </c>
      <c r="AS48" s="22">
        <f>SUM(Emissions!AU123:AU134)</f>
        <v>4.3461995836806562</v>
      </c>
      <c r="AT48" s="22">
        <f>SUM(Emissions!AV123:AV134)</f>
        <v>4.3473314393893974</v>
      </c>
      <c r="AU48" s="22">
        <f>SUM(Emissions!AW123:AW134)</f>
        <v>4.3484632950981377</v>
      </c>
      <c r="AV48" s="22">
        <f>SUM(Emissions!AX123:AX134)</f>
        <v>4.349595150806878</v>
      </c>
      <c r="AW48" s="22">
        <f>SUM(Emissions!AY123:AY134)</f>
        <v>4.3507270065156192</v>
      </c>
      <c r="AX48" s="22">
        <f>SUM(Emissions!AZ123:AZ134)</f>
        <v>4.3518588622243595</v>
      </c>
      <c r="AY48" s="22">
        <f>SUM(Emissions!BA123:BA134)</f>
        <v>4.3529907179330998</v>
      </c>
      <c r="AZ48" s="22">
        <f>SUM(Emissions!BB123:BB134)</f>
        <v>4.3541225736418401</v>
      </c>
      <c r="BA48" s="22">
        <f>SUM(Emissions!BC123:BC134)</f>
        <v>4.3552544293505804</v>
      </c>
      <c r="BB48" s="22">
        <f>SUM(Emissions!BD123:BD134)</f>
        <v>4.3563862850593216</v>
      </c>
      <c r="BC48" s="22">
        <f>SUM(Emissions!BE123:BE134)</f>
        <v>4.3575181407680619</v>
      </c>
      <c r="BD48" s="22">
        <f>SUM(Emissions!BF123:BF134)</f>
        <v>4.3586499964768022</v>
      </c>
      <c r="BE48" s="22">
        <f>SUM(Emissions!BG123:BG134)</f>
        <v>4.3597818521855434</v>
      </c>
      <c r="BF48" s="22">
        <f>SUM(Emissions!BH123:BH134)</f>
        <v>4.3609137078942837</v>
      </c>
      <c r="BG48" s="22">
        <f>SUM(Emissions!BI123:BI134)</f>
        <v>4.362045563603024</v>
      </c>
      <c r="BH48" s="22">
        <f>SUM(Emissions!BJ123:BJ134)</f>
        <v>4.3631774193117643</v>
      </c>
      <c r="BI48" s="22">
        <f>SUM(Emissions!BK123:BK134)</f>
        <v>4.3643092750205046</v>
      </c>
      <c r="BJ48" s="22">
        <f>SUM(Emissions!BL123:BL134)</f>
        <v>4.3654411307292458</v>
      </c>
      <c r="BK48" s="22">
        <f>SUM(Emissions!BM123:BM134)</f>
        <v>4.3665729864379861</v>
      </c>
      <c r="BL48" s="22">
        <f>SUM(Emissions!BN123:BN134)</f>
        <v>4.3677048421467273</v>
      </c>
      <c r="BM48" s="22">
        <f>SUM(Emissions!BO123:BO134)</f>
        <v>4.3688366978554676</v>
      </c>
      <c r="BN48" s="22">
        <f>SUM(Emissions!BP123:BP134)</f>
        <v>4.3699685535642079</v>
      </c>
    </row>
    <row r="49" spans="1:72" s="19" customFormat="1" ht="15.75" x14ac:dyDescent="0.25">
      <c r="A49" s="19" t="str">
        <f t="shared" si="30"/>
        <v>3C Aggregated and non-CO2 emissions on land</v>
      </c>
      <c r="B49" s="19" t="str">
        <f>'IPCC Categories'!B78</f>
        <v>3C5 Indirect N2O from managed soils (N2O)</v>
      </c>
      <c r="C49" s="19" t="s">
        <v>148</v>
      </c>
      <c r="D49" s="19" t="str">
        <f t="shared" ref="D49" si="31">D48</f>
        <v>N2O</v>
      </c>
      <c r="E49" s="19" t="str">
        <f t="shared" ref="E49" si="32">E48</f>
        <v>Gg N2O</v>
      </c>
      <c r="F49" s="49">
        <f>SUM(F50:F51)</f>
        <v>7.2080814517834266</v>
      </c>
      <c r="G49" s="49">
        <f t="shared" ref="G49:BN49" si="33">SUM(G50:G51)</f>
        <v>7.1345099865500927</v>
      </c>
      <c r="H49" s="49">
        <f t="shared" si="33"/>
        <v>6.99786412512554</v>
      </c>
      <c r="I49" s="49">
        <f t="shared" si="33"/>
        <v>6.8588909130254319</v>
      </c>
      <c r="J49" s="49">
        <f t="shared" si="33"/>
        <v>6.679602845791754</v>
      </c>
      <c r="K49" s="49">
        <f t="shared" si="33"/>
        <v>6.6534582978194159</v>
      </c>
      <c r="L49" s="49">
        <f t="shared" si="33"/>
        <v>6.8804585865565491</v>
      </c>
      <c r="M49" s="49">
        <f t="shared" si="33"/>
        <v>6.951262387234447</v>
      </c>
      <c r="N49" s="49">
        <f t="shared" si="33"/>
        <v>7.0501121079701523</v>
      </c>
      <c r="O49" s="49">
        <f t="shared" si="33"/>
        <v>7.0310583897046115</v>
      </c>
      <c r="P49" s="49">
        <f t="shared" si="33"/>
        <v>6.9539885376975494</v>
      </c>
      <c r="Q49" s="49">
        <f t="shared" si="33"/>
        <v>6.8347507783671411</v>
      </c>
      <c r="R49" s="49">
        <f t="shared" si="33"/>
        <v>6.9330762409780968</v>
      </c>
      <c r="S49" s="49">
        <f t="shared" si="33"/>
        <v>6.8626749309901376</v>
      </c>
      <c r="T49" s="49">
        <f t="shared" si="33"/>
        <v>6.8083480354019672</v>
      </c>
      <c r="U49" s="49">
        <f t="shared" si="33"/>
        <v>6.684349427481286</v>
      </c>
      <c r="V49" s="49">
        <f t="shared" si="33"/>
        <v>6.7803417478590298</v>
      </c>
      <c r="W49" s="49">
        <f t="shared" si="33"/>
        <v>6.9394221477721096</v>
      </c>
      <c r="X49" s="49">
        <f t="shared" si="33"/>
        <v>6.954986168244754</v>
      </c>
      <c r="Y49" s="49">
        <f t="shared" si="33"/>
        <v>6.9329479113600767</v>
      </c>
      <c r="Z49" s="49">
        <f t="shared" si="33"/>
        <v>6.7915965417835125</v>
      </c>
      <c r="AA49" s="49">
        <f t="shared" si="33"/>
        <v>6.808083773512462</v>
      </c>
      <c r="AB49" s="49">
        <f t="shared" si="33"/>
        <v>6.6163479607567739</v>
      </c>
      <c r="AC49" s="49">
        <f t="shared" si="33"/>
        <v>6.6191641778060708</v>
      </c>
      <c r="AD49" s="49">
        <f t="shared" si="33"/>
        <v>6.596064172940955</v>
      </c>
      <c r="AE49" s="49">
        <f t="shared" si="33"/>
        <v>6.5547770297384256</v>
      </c>
      <c r="AF49" s="49">
        <f t="shared" si="33"/>
        <v>6.4951887570513769</v>
      </c>
      <c r="AG49" s="49">
        <f t="shared" si="33"/>
        <v>6.4644395575589648</v>
      </c>
      <c r="AH49" s="49">
        <f t="shared" si="33"/>
        <v>6.4295809731317659</v>
      </c>
      <c r="AI49" s="49">
        <f t="shared" si="33"/>
        <v>6.3941046205767726</v>
      </c>
      <c r="AJ49" s="49">
        <f t="shared" si="33"/>
        <v>5.976594451952602</v>
      </c>
      <c r="AK49" s="49">
        <f t="shared" si="33"/>
        <v>6.0238069893776522</v>
      </c>
      <c r="AL49" s="49">
        <f t="shared" si="33"/>
        <v>6.0669148885879611</v>
      </c>
      <c r="AM49" s="49">
        <f t="shared" si="33"/>
        <v>6.1115979238158378</v>
      </c>
      <c r="AN49" s="49">
        <f t="shared" si="33"/>
        <v>6.1624601565861923</v>
      </c>
      <c r="AO49" s="49">
        <f t="shared" si="33"/>
        <v>6.2225754338561146</v>
      </c>
      <c r="AP49" s="49">
        <f t="shared" si="33"/>
        <v>6.2833293268311268</v>
      </c>
      <c r="AQ49" s="49">
        <f t="shared" si="33"/>
        <v>6.3496808394493254</v>
      </c>
      <c r="AR49" s="49">
        <f t="shared" si="33"/>
        <v>6.4221638137842136</v>
      </c>
      <c r="AS49" s="49">
        <f t="shared" si="33"/>
        <v>6.5072589702224288</v>
      </c>
      <c r="AT49" s="49">
        <f t="shared" si="33"/>
        <v>6.5899175368440561</v>
      </c>
      <c r="AU49" s="49">
        <f t="shared" si="33"/>
        <v>6.664561140950922</v>
      </c>
      <c r="AV49" s="49">
        <f t="shared" si="33"/>
        <v>6.7405664608544313</v>
      </c>
      <c r="AW49" s="49">
        <f t="shared" si="33"/>
        <v>6.817085115446516</v>
      </c>
      <c r="AX49" s="49">
        <f t="shared" si="33"/>
        <v>6.8933070149127245</v>
      </c>
      <c r="AY49" s="49">
        <f t="shared" si="33"/>
        <v>6.9553755590915936</v>
      </c>
      <c r="AZ49" s="49">
        <f t="shared" si="33"/>
        <v>7.0178830431634118</v>
      </c>
      <c r="BA49" s="49">
        <f t="shared" si="33"/>
        <v>7.0861034214256193</v>
      </c>
      <c r="BB49" s="49">
        <f t="shared" si="33"/>
        <v>7.1569948906297967</v>
      </c>
      <c r="BC49" s="49">
        <f t="shared" si="33"/>
        <v>7.2208227297832881</v>
      </c>
      <c r="BD49" s="49">
        <f t="shared" si="33"/>
        <v>7.2828606265627363</v>
      </c>
      <c r="BE49" s="49">
        <f t="shared" si="33"/>
        <v>7.3611323516317455</v>
      </c>
      <c r="BF49" s="49">
        <f t="shared" si="33"/>
        <v>7.4430675200745284</v>
      </c>
      <c r="BG49" s="49">
        <f t="shared" si="33"/>
        <v>7.5300722120050878</v>
      </c>
      <c r="BH49" s="49">
        <f t="shared" si="33"/>
        <v>7.6212047460600338</v>
      </c>
      <c r="BI49" s="49">
        <f t="shared" si="33"/>
        <v>7.7195672135259743</v>
      </c>
      <c r="BJ49" s="49">
        <f t="shared" si="33"/>
        <v>7.8212999876535356</v>
      </c>
      <c r="BK49" s="49">
        <f t="shared" si="33"/>
        <v>7.9262444363535884</v>
      </c>
      <c r="BL49" s="49">
        <f t="shared" si="33"/>
        <v>8.0259743041019131</v>
      </c>
      <c r="BM49" s="49">
        <f t="shared" si="33"/>
        <v>8.1292941973555948</v>
      </c>
      <c r="BN49" s="49">
        <f t="shared" si="33"/>
        <v>8.2379187288997766</v>
      </c>
    </row>
    <row r="50" spans="1:72" x14ac:dyDescent="0.25">
      <c r="A50" t="str">
        <f t="shared" ref="A50" si="34">A48</f>
        <v>3C Aggregated and non-CO2 emissions on land</v>
      </c>
      <c r="B50" t="str">
        <f>'IPCC Categories'!B78</f>
        <v>3C5 Indirect N2O from managed soils (N2O)</v>
      </c>
      <c r="C50" t="str">
        <f>'IPCC Categories'!C78</f>
        <v>Volatilisation</v>
      </c>
      <c r="D50" t="str">
        <f>D48</f>
        <v>N2O</v>
      </c>
      <c r="E50" t="str">
        <f>E48</f>
        <v>Gg N2O</v>
      </c>
      <c r="F50" s="22">
        <f>SUM(Emissions!H135:H138)</f>
        <v>6.8720417689132818</v>
      </c>
      <c r="G50" s="22">
        <f>SUM(Emissions!I135:I138)</f>
        <v>6.8040222344896497</v>
      </c>
      <c r="H50" s="22">
        <f>SUM(Emissions!J135:J138)</f>
        <v>6.6643977129961947</v>
      </c>
      <c r="I50" s="22">
        <f>SUM(Emissions!K135:K138)</f>
        <v>6.5132288952449562</v>
      </c>
      <c r="J50" s="22">
        <f>SUM(Emissions!L135:L138)</f>
        <v>6.3389751728110557</v>
      </c>
      <c r="K50" s="22">
        <f>SUM(Emissions!M135:M138)</f>
        <v>6.3489504371997398</v>
      </c>
      <c r="L50" s="22">
        <f>SUM(Emissions!N135:N138)</f>
        <v>6.5566463010257543</v>
      </c>
      <c r="M50" s="22">
        <f>SUM(Emissions!O135:O138)</f>
        <v>6.61702309908204</v>
      </c>
      <c r="N50" s="22">
        <f>SUM(Emissions!P135:P138)</f>
        <v>6.7293674524998952</v>
      </c>
      <c r="O50" s="22">
        <f>SUM(Emissions!Q135:Q138)</f>
        <v>6.7076931438692604</v>
      </c>
      <c r="P50" s="22">
        <f>SUM(Emissions!R135:R138)</f>
        <v>6.6027983988771712</v>
      </c>
      <c r="Q50" s="22">
        <f>SUM(Emissions!S135:S138)</f>
        <v>6.5144595089601776</v>
      </c>
      <c r="R50" s="22">
        <f>SUM(Emissions!T135:T138)</f>
        <v>6.5954294578551265</v>
      </c>
      <c r="S50" s="22">
        <f>SUM(Emissions!U135:U138)</f>
        <v>6.5294565039113515</v>
      </c>
      <c r="T50" s="22">
        <f>SUM(Emissions!V135:V138)</f>
        <v>6.4916814592424021</v>
      </c>
      <c r="U50" s="22">
        <f>SUM(Emissions!W135:W138)</f>
        <v>6.363645089123743</v>
      </c>
      <c r="V50" s="22">
        <f>SUM(Emissions!X135:X138)</f>
        <v>6.4962285418853707</v>
      </c>
      <c r="W50" s="22">
        <f>SUM(Emissions!Y135:Y138)</f>
        <v>6.620266001326284</v>
      </c>
      <c r="X50" s="22">
        <f>SUM(Emissions!Z135:Z138)</f>
        <v>6.6126572032019997</v>
      </c>
      <c r="Y50" s="22">
        <f>SUM(Emissions!AA135:AA138)</f>
        <v>6.6065735112105326</v>
      </c>
      <c r="Z50" s="22">
        <f>SUM(Emissions!AB135:AB138)</f>
        <v>6.4556027997102001</v>
      </c>
      <c r="AA50" s="22">
        <f>SUM(Emissions!AC135:AC138)</f>
        <v>6.4799963389801611</v>
      </c>
      <c r="AB50" s="22">
        <f>SUM(Emissions!AD135:AD138)</f>
        <v>6.2681727270353269</v>
      </c>
      <c r="AC50" s="22">
        <f>SUM(Emissions!AE135:AE138)</f>
        <v>6.269632509015171</v>
      </c>
      <c r="AD50" s="22">
        <f>SUM(Emissions!AF135:AF138)</f>
        <v>6.2462493851715912</v>
      </c>
      <c r="AE50" s="22">
        <f>SUM(Emissions!AG135:AG138)</f>
        <v>6.2056829099044277</v>
      </c>
      <c r="AF50" s="22">
        <f>SUM(Emissions!AH135:AH138)</f>
        <v>6.1478188425013709</v>
      </c>
      <c r="AG50" s="22">
        <f>SUM(Emissions!AI135:AI138)</f>
        <v>6.117515097350319</v>
      </c>
      <c r="AH50" s="22">
        <f>SUM(Emissions!AJ135:AJ138)</f>
        <v>6.0832424512145105</v>
      </c>
      <c r="AI50" s="22">
        <f>SUM(Emissions!AK135:AK138)</f>
        <v>6.0484254895397243</v>
      </c>
      <c r="AJ50" s="22">
        <f>SUM(Emissions!AL135:AL138)</f>
        <v>5.6506721088149963</v>
      </c>
      <c r="AK50" s="22">
        <f>SUM(Emissions!AM135:AM138)</f>
        <v>5.6961858788749247</v>
      </c>
      <c r="AL50" s="22">
        <f>SUM(Emissions!AN135:AN138)</f>
        <v>5.7362822826615076</v>
      </c>
      <c r="AM50" s="22">
        <f>SUM(Emissions!AO135:AO138)</f>
        <v>5.7778944810086381</v>
      </c>
      <c r="AN50" s="22">
        <f>SUM(Emissions!AP135:AP138)</f>
        <v>5.8253667132305962</v>
      </c>
      <c r="AO50" s="22">
        <f>SUM(Emissions!AQ135:AQ138)</f>
        <v>5.8815947905593307</v>
      </c>
      <c r="AP50" s="22">
        <f>SUM(Emissions!AR135:AR138)</f>
        <v>5.938277689799401</v>
      </c>
      <c r="AQ50" s="22">
        <f>SUM(Emissions!AS135:AS138)</f>
        <v>6.0002498266652076</v>
      </c>
      <c r="AR50" s="22">
        <f>SUM(Emissions!AT135:AT138)</f>
        <v>6.0680023013216093</v>
      </c>
      <c r="AS50" s="22">
        <f>SUM(Emissions!AU135:AU138)</f>
        <v>6.1476741018888816</v>
      </c>
      <c r="AT50" s="22">
        <f>SUM(Emissions!AV135:AV138)</f>
        <v>6.224966880001535</v>
      </c>
      <c r="AU50" s="22">
        <f>SUM(Emissions!AW135:AW138)</f>
        <v>6.2940340048232715</v>
      </c>
      <c r="AV50" s="22">
        <f>SUM(Emissions!AX135:AX138)</f>
        <v>6.3642593563233039</v>
      </c>
      <c r="AW50" s="22">
        <f>SUM(Emissions!AY135:AY138)</f>
        <v>6.4348894035608382</v>
      </c>
      <c r="AX50" s="22">
        <f>SUM(Emissions!AZ135:AZ138)</f>
        <v>6.5051559078323722</v>
      </c>
      <c r="AY50" s="22">
        <f>SUM(Emissions!BA135:BA138)</f>
        <v>6.5619466890378968</v>
      </c>
      <c r="AZ50" s="22">
        <f>SUM(Emissions!BB135:BB138)</f>
        <v>6.6190359331831869</v>
      </c>
      <c r="BA50" s="22">
        <f>SUM(Emissions!BC135:BC138)</f>
        <v>6.6814361089276009</v>
      </c>
      <c r="BB50" s="22">
        <f>SUM(Emissions!BD135:BD138)</f>
        <v>6.7462493124775573</v>
      </c>
      <c r="BC50" s="22">
        <f>SUM(Emissions!BE135:BE138)</f>
        <v>6.8042829362144337</v>
      </c>
      <c r="BD50" s="22">
        <f>SUM(Emissions!BF135:BF138)</f>
        <v>6.860552847620017</v>
      </c>
      <c r="BE50" s="22">
        <f>SUM(Emissions!BG135:BG138)</f>
        <v>6.932385720847245</v>
      </c>
      <c r="BF50" s="22">
        <f>SUM(Emissions!BH135:BH138)</f>
        <v>7.0075893498936033</v>
      </c>
      <c r="BG50" s="22">
        <f>SUM(Emissions!BI135:BI138)</f>
        <v>7.0874771260477569</v>
      </c>
      <c r="BH50" s="22">
        <f>SUM(Emissions!BJ135:BJ138)</f>
        <v>7.171148308147524</v>
      </c>
      <c r="BI50" s="22">
        <f>SUM(Emissions!BK135:BK138)</f>
        <v>7.2615212283007242</v>
      </c>
      <c r="BJ50" s="22">
        <f>SUM(Emissions!BL135:BL138)</f>
        <v>7.3548526751162067</v>
      </c>
      <c r="BK50" s="22">
        <f>SUM(Emissions!BM135:BM138)</f>
        <v>7.4510785555152168</v>
      </c>
      <c r="BL50" s="22">
        <f>SUM(Emissions!BN135:BN138)</f>
        <v>7.5422662701243866</v>
      </c>
      <c r="BM50" s="22">
        <f>SUM(Emissions!BO135:BO138)</f>
        <v>7.6367255571444028</v>
      </c>
      <c r="BN50" s="22">
        <f>SUM(Emissions!BP135:BP138)</f>
        <v>7.7360326846044591</v>
      </c>
    </row>
    <row r="51" spans="1:72" x14ac:dyDescent="0.25">
      <c r="A51" t="str">
        <f t="shared" ref="A51:A52" si="35">A50</f>
        <v>3C Aggregated and non-CO2 emissions on land</v>
      </c>
      <c r="B51" t="str">
        <f>B50</f>
        <v>3C5 Indirect N2O from managed soils (N2O)</v>
      </c>
      <c r="C51" t="str">
        <f>'IPCC Categories'!C79</f>
        <v>Leaching/runoff</v>
      </c>
      <c r="D51" t="str">
        <f t="shared" si="28"/>
        <v>N2O</v>
      </c>
      <c r="E51" t="str">
        <f t="shared" si="29"/>
        <v>Gg N2O</v>
      </c>
      <c r="F51" s="22">
        <f>SUM(Emissions!H139:H154)</f>
        <v>0.33603968287014491</v>
      </c>
      <c r="G51" s="22">
        <f>SUM(Emissions!I139:I154)</f>
        <v>0.33048775206044329</v>
      </c>
      <c r="H51" s="22">
        <f>SUM(Emissions!J139:J154)</f>
        <v>0.33346641212934491</v>
      </c>
      <c r="I51" s="22">
        <f>SUM(Emissions!K139:K154)</f>
        <v>0.34566201778047606</v>
      </c>
      <c r="J51" s="22">
        <f>SUM(Emissions!L139:L154)</f>
        <v>0.34062767298069813</v>
      </c>
      <c r="K51" s="22">
        <f>SUM(Emissions!M139:M154)</f>
        <v>0.30450786061967605</v>
      </c>
      <c r="L51" s="22">
        <f>SUM(Emissions!N139:N154)</f>
        <v>0.32381228553079472</v>
      </c>
      <c r="M51" s="22">
        <f>SUM(Emissions!O139:O154)</f>
        <v>0.33423928815240667</v>
      </c>
      <c r="N51" s="22">
        <f>SUM(Emissions!P139:P154)</f>
        <v>0.32074465547025682</v>
      </c>
      <c r="O51" s="22">
        <f>SUM(Emissions!Q139:Q154)</f>
        <v>0.32336524583535148</v>
      </c>
      <c r="P51" s="22">
        <f>SUM(Emissions!R139:R154)</f>
        <v>0.35119013882037781</v>
      </c>
      <c r="Q51" s="22">
        <f>SUM(Emissions!S139:S154)</f>
        <v>0.32029126940696356</v>
      </c>
      <c r="R51" s="22">
        <f>SUM(Emissions!T139:T154)</f>
        <v>0.33764678312297075</v>
      </c>
      <c r="S51" s="22">
        <f>SUM(Emissions!U139:U154)</f>
        <v>0.33321842707878641</v>
      </c>
      <c r="T51" s="22">
        <f>SUM(Emissions!V139:V154)</f>
        <v>0.31666657615956528</v>
      </c>
      <c r="U51" s="22">
        <f>SUM(Emissions!W139:W154)</f>
        <v>0.32070433835754264</v>
      </c>
      <c r="V51" s="22">
        <f>SUM(Emissions!X139:X154)</f>
        <v>0.28411320597365947</v>
      </c>
      <c r="W51" s="22">
        <f>SUM(Emissions!Y139:Y154)</f>
        <v>0.31915614644582579</v>
      </c>
      <c r="X51" s="22">
        <f>SUM(Emissions!Z139:Z154)</f>
        <v>0.34232896504275395</v>
      </c>
      <c r="Y51" s="22">
        <f>SUM(Emissions!AA139:AA154)</f>
        <v>0.32637440014954389</v>
      </c>
      <c r="Z51" s="22">
        <f>SUM(Emissions!AB139:AB154)</f>
        <v>0.33599374207331195</v>
      </c>
      <c r="AA51" s="22">
        <f>SUM(Emissions!AC139:AC154)</f>
        <v>0.32808743453230077</v>
      </c>
      <c r="AB51" s="22">
        <f>SUM(Emissions!AD139:AD154)</f>
        <v>0.34817523372144732</v>
      </c>
      <c r="AC51" s="22">
        <f>SUM(Emissions!AE139:AE154)</f>
        <v>0.34953166879089997</v>
      </c>
      <c r="AD51" s="22">
        <f>SUM(Emissions!AF139:AF154)</f>
        <v>0.34981478776936376</v>
      </c>
      <c r="AE51" s="22">
        <f>SUM(Emissions!AG139:AG154)</f>
        <v>0.34909411983399807</v>
      </c>
      <c r="AF51" s="22">
        <f>SUM(Emissions!AH139:AH154)</f>
        <v>0.34736991455000554</v>
      </c>
      <c r="AG51" s="22">
        <f>SUM(Emissions!AI139:AI154)</f>
        <v>0.34692446020864548</v>
      </c>
      <c r="AH51" s="22">
        <f>SUM(Emissions!AJ139:AJ154)</f>
        <v>0.34633852191725562</v>
      </c>
      <c r="AI51" s="22">
        <f>SUM(Emissions!AK139:AK154)</f>
        <v>0.34567913103704861</v>
      </c>
      <c r="AJ51" s="22">
        <f>SUM(Emissions!AL139:AL154)</f>
        <v>0.32592234313760537</v>
      </c>
      <c r="AK51" s="22">
        <f>SUM(Emissions!AM139:AM154)</f>
        <v>0.32762111050272746</v>
      </c>
      <c r="AL51" s="22">
        <f>SUM(Emissions!AN139:AN154)</f>
        <v>0.3306326059264531</v>
      </c>
      <c r="AM51" s="22">
        <f>SUM(Emissions!AO139:AO154)</f>
        <v>0.33370344280720005</v>
      </c>
      <c r="AN51" s="22">
        <f>SUM(Emissions!AP139:AP154)</f>
        <v>0.33709344335559571</v>
      </c>
      <c r="AO51" s="22">
        <f>SUM(Emissions!AQ139:AQ154)</f>
        <v>0.34098064329678418</v>
      </c>
      <c r="AP51" s="22">
        <f>SUM(Emissions!AR139:AR154)</f>
        <v>0.34505163703172587</v>
      </c>
      <c r="AQ51" s="22">
        <f>SUM(Emissions!AS139:AS154)</f>
        <v>0.34943101278411776</v>
      </c>
      <c r="AR51" s="22">
        <f>SUM(Emissions!AT139:AT154)</f>
        <v>0.35416151246260391</v>
      </c>
      <c r="AS51" s="22">
        <f>SUM(Emissions!AU139:AU154)</f>
        <v>0.35958486833354741</v>
      </c>
      <c r="AT51" s="22">
        <f>SUM(Emissions!AV139:AV154)</f>
        <v>0.36495065684252154</v>
      </c>
      <c r="AU51" s="22">
        <f>SUM(Emissions!AW139:AW154)</f>
        <v>0.37052713612765048</v>
      </c>
      <c r="AV51" s="22">
        <f>SUM(Emissions!AX139:AX154)</f>
        <v>0.3763071045311272</v>
      </c>
      <c r="AW51" s="22">
        <f>SUM(Emissions!AY139:AY154)</f>
        <v>0.38219571188567808</v>
      </c>
      <c r="AX51" s="22">
        <f>SUM(Emissions!AZ139:AZ154)</f>
        <v>0.38815110708035216</v>
      </c>
      <c r="AY51" s="22">
        <f>SUM(Emissions!BA139:BA154)</f>
        <v>0.39342887005369659</v>
      </c>
      <c r="AZ51" s="22">
        <f>SUM(Emissions!BB139:BB154)</f>
        <v>0.39884710998022493</v>
      </c>
      <c r="BA51" s="22">
        <f>SUM(Emissions!BC139:BC154)</f>
        <v>0.40466731249801818</v>
      </c>
      <c r="BB51" s="22">
        <f>SUM(Emissions!BD139:BD154)</f>
        <v>0.4107455781522395</v>
      </c>
      <c r="BC51" s="22">
        <f>SUM(Emissions!BE139:BE154)</f>
        <v>0.41653979356885401</v>
      </c>
      <c r="BD51" s="22">
        <f>SUM(Emissions!BF139:BF154)</f>
        <v>0.42230777894271898</v>
      </c>
      <c r="BE51" s="22">
        <f>SUM(Emissions!BG139:BG154)</f>
        <v>0.42874663078450093</v>
      </c>
      <c r="BF51" s="22">
        <f>SUM(Emissions!BH139:BH154)</f>
        <v>0.43547817018092522</v>
      </c>
      <c r="BG51" s="22">
        <f>SUM(Emissions!BI139:BI154)</f>
        <v>0.44259508595733044</v>
      </c>
      <c r="BH51" s="22">
        <f>SUM(Emissions!BJ139:BJ154)</f>
        <v>0.45005643791250988</v>
      </c>
      <c r="BI51" s="22">
        <f>SUM(Emissions!BK139:BK154)</f>
        <v>0.45804598522525031</v>
      </c>
      <c r="BJ51" s="22">
        <f>SUM(Emissions!BL139:BL154)</f>
        <v>0.46644731253732935</v>
      </c>
      <c r="BK51" s="22">
        <f>SUM(Emissions!BM139:BM154)</f>
        <v>0.47516588083837119</v>
      </c>
      <c r="BL51" s="22">
        <f>SUM(Emissions!BN139:BN154)</f>
        <v>0.48370803397752682</v>
      </c>
      <c r="BM51" s="22">
        <f>SUM(Emissions!BO139:BO154)</f>
        <v>0.49256864021119162</v>
      </c>
      <c r="BN51" s="22">
        <f>SUM(Emissions!BP139:BP154)</f>
        <v>0.50188604429531825</v>
      </c>
    </row>
    <row r="52" spans="1:72" s="19" customFormat="1" ht="15.75" x14ac:dyDescent="0.25">
      <c r="A52" s="19" t="str">
        <f t="shared" si="35"/>
        <v>3C Aggregated and non-CO2 emissions on land</v>
      </c>
      <c r="B52" s="19" t="str">
        <f>'IPCC Categories'!B80</f>
        <v>3C6 Indirect N2O from manure management (N2O)</v>
      </c>
      <c r="C52" s="19" t="s">
        <v>148</v>
      </c>
      <c r="D52" s="19" t="str">
        <f t="shared" ref="D52" si="36">D51</f>
        <v>N2O</v>
      </c>
      <c r="E52" s="19" t="str">
        <f t="shared" ref="E52" si="37">E51</f>
        <v>Gg N2O</v>
      </c>
      <c r="F52" s="49">
        <f>SUM(F53:F54)</f>
        <v>1.0950538253856468</v>
      </c>
      <c r="G52" s="49">
        <f t="shared" ref="G52:BN52" si="38">SUM(G53:G54)</f>
        <v>1.1658727848185233</v>
      </c>
      <c r="H52" s="49">
        <f t="shared" si="38"/>
        <v>1.0848631974974343</v>
      </c>
      <c r="I52" s="49">
        <f t="shared" si="38"/>
        <v>1.1252390431692683</v>
      </c>
      <c r="J52" s="49">
        <f t="shared" si="38"/>
        <v>1.0734739532249553</v>
      </c>
      <c r="K52" s="49">
        <f t="shared" si="38"/>
        <v>1.132808817863219</v>
      </c>
      <c r="L52" s="49">
        <f t="shared" si="38"/>
        <v>1.1837401232176359</v>
      </c>
      <c r="M52" s="49">
        <f t="shared" si="38"/>
        <v>1.1732129506374127</v>
      </c>
      <c r="N52" s="49">
        <f t="shared" si="38"/>
        <v>1.2025072193927659</v>
      </c>
      <c r="O52" s="49">
        <f t="shared" si="38"/>
        <v>1.2151362947473952</v>
      </c>
      <c r="P52" s="49">
        <f t="shared" si="38"/>
        <v>1.3425597798100053</v>
      </c>
      <c r="Q52" s="49">
        <f t="shared" si="38"/>
        <v>1.3350835411028359</v>
      </c>
      <c r="R52" s="49">
        <f t="shared" si="38"/>
        <v>1.2971770946245216</v>
      </c>
      <c r="S52" s="49">
        <f t="shared" si="38"/>
        <v>1.2325302326597585</v>
      </c>
      <c r="T52" s="49">
        <f t="shared" si="38"/>
        <v>1.2249617526122387</v>
      </c>
      <c r="U52" s="49">
        <f t="shared" si="38"/>
        <v>1.2870593712731417</v>
      </c>
      <c r="V52" s="49">
        <f t="shared" si="38"/>
        <v>1.3036096413946223</v>
      </c>
      <c r="W52" s="49">
        <f t="shared" si="38"/>
        <v>1.3296829545150457</v>
      </c>
      <c r="X52" s="49">
        <f t="shared" si="38"/>
        <v>1.4390001307004523</v>
      </c>
      <c r="Y52" s="49">
        <f t="shared" si="38"/>
        <v>1.4305572536330728</v>
      </c>
      <c r="Z52" s="49">
        <f t="shared" si="38"/>
        <v>1.4388556601471445</v>
      </c>
      <c r="AA52" s="49">
        <f t="shared" si="38"/>
        <v>1.4563575155753867</v>
      </c>
      <c r="AB52" s="49">
        <f t="shared" si="38"/>
        <v>1.4968810975923335</v>
      </c>
      <c r="AC52" s="49">
        <f t="shared" si="38"/>
        <v>1.5185384606322818</v>
      </c>
      <c r="AD52" s="49">
        <f t="shared" si="38"/>
        <v>1.5314550688514021</v>
      </c>
      <c r="AE52" s="49">
        <f t="shared" si="38"/>
        <v>1.5379073458956289</v>
      </c>
      <c r="AF52" s="49">
        <f t="shared" si="38"/>
        <v>1.5375084019571548</v>
      </c>
      <c r="AG52" s="49">
        <f t="shared" si="38"/>
        <v>1.5468834369489883</v>
      </c>
      <c r="AH52" s="49">
        <f t="shared" si="38"/>
        <v>1.5546884781449704</v>
      </c>
      <c r="AI52" s="49">
        <f t="shared" si="38"/>
        <v>1.5621531674923679</v>
      </c>
      <c r="AJ52" s="49">
        <f t="shared" si="38"/>
        <v>1.4237446234957936</v>
      </c>
      <c r="AK52" s="49">
        <f t="shared" si="38"/>
        <v>1.4517515423075626</v>
      </c>
      <c r="AL52" s="49">
        <f t="shared" si="38"/>
        <v>1.4780638677648841</v>
      </c>
      <c r="AM52" s="49">
        <f t="shared" si="38"/>
        <v>1.5052462061770737</v>
      </c>
      <c r="AN52" s="49">
        <f t="shared" si="38"/>
        <v>1.5351485750267795</v>
      </c>
      <c r="AO52" s="49">
        <f t="shared" si="38"/>
        <v>1.5690803100945758</v>
      </c>
      <c r="AP52" s="49">
        <f t="shared" si="38"/>
        <v>1.6047042630250243</v>
      </c>
      <c r="AQ52" s="49">
        <f t="shared" si="38"/>
        <v>1.6430621882544307</v>
      </c>
      <c r="AR52" s="49">
        <f t="shared" si="38"/>
        <v>1.6844499670042219</v>
      </c>
      <c r="AS52" s="49">
        <f t="shared" si="38"/>
        <v>1.7316505818461798</v>
      </c>
      <c r="AT52" s="49">
        <f t="shared" si="38"/>
        <v>1.7784987442682727</v>
      </c>
      <c r="AU52" s="49">
        <f t="shared" si="38"/>
        <v>1.8342495602070199</v>
      </c>
      <c r="AV52" s="49">
        <f t="shared" si="38"/>
        <v>1.8921251755277666</v>
      </c>
      <c r="AW52" s="49">
        <f t="shared" si="38"/>
        <v>1.9518567940050378</v>
      </c>
      <c r="AX52" s="49">
        <f t="shared" si="38"/>
        <v>2.0131583421393504</v>
      </c>
      <c r="AY52" s="49">
        <f t="shared" si="38"/>
        <v>2.0697668802148161</v>
      </c>
      <c r="AZ52" s="49">
        <f t="shared" si="38"/>
        <v>2.1290764722381894</v>
      </c>
      <c r="BA52" s="49">
        <f t="shared" si="38"/>
        <v>2.1928055426102029</v>
      </c>
      <c r="BB52" s="49">
        <f t="shared" si="38"/>
        <v>2.2597017836406463</v>
      </c>
      <c r="BC52" s="49">
        <f t="shared" si="38"/>
        <v>2.3251551396624928</v>
      </c>
      <c r="BD52" s="49">
        <f t="shared" si="38"/>
        <v>2.3917020649694525</v>
      </c>
      <c r="BE52" s="49">
        <f t="shared" si="38"/>
        <v>2.4607576262621591</v>
      </c>
      <c r="BF52" s="49">
        <f t="shared" si="38"/>
        <v>2.5333363405569536</v>
      </c>
      <c r="BG52" s="49">
        <f t="shared" si="38"/>
        <v>2.6103002952588104</v>
      </c>
      <c r="BH52" s="49">
        <f t="shared" si="38"/>
        <v>2.6913230457270054</v>
      </c>
      <c r="BI52" s="49">
        <f t="shared" si="38"/>
        <v>2.7782190846981902</v>
      </c>
      <c r="BJ52" s="49">
        <f t="shared" si="38"/>
        <v>2.870045162338517</v>
      </c>
      <c r="BK52" s="49">
        <f t="shared" si="38"/>
        <v>2.9659793490229047</v>
      </c>
      <c r="BL52" s="49">
        <f t="shared" si="38"/>
        <v>3.0614799467632388</v>
      </c>
      <c r="BM52" s="49">
        <f t="shared" si="38"/>
        <v>3.1614962953846386</v>
      </c>
      <c r="BN52" s="49">
        <f t="shared" si="38"/>
        <v>3.2671810633613454</v>
      </c>
    </row>
    <row r="53" spans="1:72" x14ac:dyDescent="0.25">
      <c r="A53" t="str">
        <f t="shared" ref="A53" si="39">A51</f>
        <v>3C Aggregated and non-CO2 emissions on land</v>
      </c>
      <c r="B53" t="str">
        <f>'IPCC Categories'!B80</f>
        <v>3C6 Indirect N2O from manure management (N2O)</v>
      </c>
      <c r="C53" t="str">
        <f>'IPCC Categories'!C80</f>
        <v>Volatilisation</v>
      </c>
      <c r="D53" t="str">
        <f>D51</f>
        <v>N2O</v>
      </c>
      <c r="E53" t="str">
        <f>E51</f>
        <v>Gg N2O</v>
      </c>
      <c r="F53" s="22">
        <f>SUM(Emissions!H156:H171)</f>
        <v>0.80161921525345481</v>
      </c>
      <c r="G53" s="22">
        <f>SUM(Emissions!I156:I171)</f>
        <v>0.85849615635183785</v>
      </c>
      <c r="H53" s="22">
        <f>SUM(Emissions!J156:J171)</f>
        <v>0.79435444319952053</v>
      </c>
      <c r="I53" s="22">
        <f>SUM(Emissions!K156:K171)</f>
        <v>0.829147805848644</v>
      </c>
      <c r="J53" s="22">
        <f>SUM(Emissions!L156:L171)</f>
        <v>0.79042443952630315</v>
      </c>
      <c r="K53" s="22">
        <f>SUM(Emissions!M156:M171)</f>
        <v>0.8376969438335109</v>
      </c>
      <c r="L53" s="22">
        <f>SUM(Emissions!N156:N171)</f>
        <v>0.87683765723343599</v>
      </c>
      <c r="M53" s="22">
        <f>SUM(Emissions!O156:O171)</f>
        <v>0.86676785102585141</v>
      </c>
      <c r="N53" s="22">
        <f>SUM(Emissions!P156:P171)</f>
        <v>0.88867615567493341</v>
      </c>
      <c r="O53" s="22">
        <f>SUM(Emissions!Q156:Q171)</f>
        <v>0.89855891694378176</v>
      </c>
      <c r="P53" s="22">
        <f>SUM(Emissions!R156:R171)</f>
        <v>1.0009422058189665</v>
      </c>
      <c r="Q53" s="22">
        <f>SUM(Emissions!S156:S171)</f>
        <v>0.99558785675794326</v>
      </c>
      <c r="R53" s="22">
        <f>SUM(Emissions!T156:T171)</f>
        <v>0.96534354462768934</v>
      </c>
      <c r="S53" s="22">
        <f>SUM(Emissions!U156:U171)</f>
        <v>0.91309585992575648</v>
      </c>
      <c r="T53" s="22">
        <f>SUM(Emissions!V156:V171)</f>
        <v>0.90768844469024579</v>
      </c>
      <c r="U53" s="22">
        <f>SUM(Emissions!W156:W171)</f>
        <v>0.95758004378601003</v>
      </c>
      <c r="V53" s="22">
        <f>SUM(Emissions!X156:X171)</f>
        <v>0.97046445508369161</v>
      </c>
      <c r="W53" s="22">
        <f>SUM(Emissions!Y156:Y171)</f>
        <v>0.98964220935969038</v>
      </c>
      <c r="X53" s="22">
        <f>SUM(Emissions!Z156:Z171)</f>
        <v>1.0767445498553814</v>
      </c>
      <c r="Y53" s="22">
        <f>SUM(Emissions!AA156:AA171)</f>
        <v>1.0706000439339658</v>
      </c>
      <c r="Z53" s="22">
        <f>SUM(Emissions!AB156:AB171)</f>
        <v>1.0778952760899894</v>
      </c>
      <c r="AA53" s="22">
        <f>SUM(Emissions!AC156:AC171)</f>
        <v>1.091951943859661</v>
      </c>
      <c r="AB53" s="22">
        <f>SUM(Emissions!AD156:AD171)</f>
        <v>1.1262244383399336</v>
      </c>
      <c r="AC53" s="22">
        <f>SUM(Emissions!AE156:AE171)</f>
        <v>1.143560806980839</v>
      </c>
      <c r="AD53" s="22">
        <f>SUM(Emissions!AF156:AF171)</f>
        <v>1.1542793879807809</v>
      </c>
      <c r="AE53" s="22">
        <f>SUM(Emissions!AG156:AG171)</f>
        <v>1.1600885532927006</v>
      </c>
      <c r="AF53" s="22">
        <f>SUM(Emissions!AH156:AH171)</f>
        <v>1.1606789604243233</v>
      </c>
      <c r="AG53" s="22">
        <f>SUM(Emissions!AI156:AI171)</f>
        <v>1.1686911260541253</v>
      </c>
      <c r="AH53" s="22">
        <f>SUM(Emissions!AJ156:AJ171)</f>
        <v>1.1755102977772589</v>
      </c>
      <c r="AI53" s="22">
        <f>SUM(Emissions!AK156:AK171)</f>
        <v>1.1820702852769029</v>
      </c>
      <c r="AJ53" s="22">
        <f>SUM(Emissions!AL156:AL171)</f>
        <v>1.0772425999455622</v>
      </c>
      <c r="AK53" s="22">
        <f>SUM(Emissions!AM156:AM171)</f>
        <v>1.0989876464655639</v>
      </c>
      <c r="AL53" s="22">
        <f>SUM(Emissions!AN156:AN171)</f>
        <v>1.1194505858139754</v>
      </c>
      <c r="AM53" s="22">
        <f>SUM(Emissions!AO156:AO171)</f>
        <v>1.14059067391887</v>
      </c>
      <c r="AN53" s="22">
        <f>SUM(Emissions!AP156:AP171)</f>
        <v>1.16382409300351</v>
      </c>
      <c r="AO53" s="22">
        <f>SUM(Emissions!AQ156:AQ171)</f>
        <v>1.1901557243948038</v>
      </c>
      <c r="AP53" s="22">
        <f>SUM(Emissions!AR156:AR171)</f>
        <v>1.2178282309502642</v>
      </c>
      <c r="AQ53" s="22">
        <f>SUM(Emissions!AS156:AS171)</f>
        <v>1.2476130216163768</v>
      </c>
      <c r="AR53" s="22">
        <f>SUM(Emissions!AT156:AT171)</f>
        <v>1.2797394615710185</v>
      </c>
      <c r="AS53" s="22">
        <f>SUM(Emissions!AU156:AU171)</f>
        <v>1.3163441012101333</v>
      </c>
      <c r="AT53" s="22">
        <f>SUM(Emissions!AV156:AV171)</f>
        <v>1.3527035351235048</v>
      </c>
      <c r="AU53" s="22">
        <f>SUM(Emissions!AW156:AW171)</f>
        <v>1.3963520610148792</v>
      </c>
      <c r="AV53" s="22">
        <f>SUM(Emissions!AX156:AX171)</f>
        <v>1.4416883869600479</v>
      </c>
      <c r="AW53" s="22">
        <f>SUM(Emissions!AY156:AY171)</f>
        <v>1.4885088935709607</v>
      </c>
      <c r="AX53" s="22">
        <f>SUM(Emissions!AZ156:AZ171)</f>
        <v>1.5365960097038633</v>
      </c>
      <c r="AY53" s="22">
        <f>SUM(Emissions!BA156:BA171)</f>
        <v>1.5811300646309625</v>
      </c>
      <c r="AZ53" s="22">
        <f>SUM(Emissions!BB156:BB171)</f>
        <v>1.6278193695341545</v>
      </c>
      <c r="BA53" s="22">
        <f>SUM(Emissions!BC156:BC171)</f>
        <v>1.6779723745492292</v>
      </c>
      <c r="BB53" s="22">
        <f>SUM(Emissions!BD156:BD171)</f>
        <v>1.7306295279896535</v>
      </c>
      <c r="BC53" s="22">
        <f>SUM(Emissions!BE156:BE171)</f>
        <v>1.7822360467382876</v>
      </c>
      <c r="BD53" s="22">
        <f>SUM(Emissions!BF156:BF171)</f>
        <v>1.8347485768205716</v>
      </c>
      <c r="BE53" s="22">
        <f>SUM(Emissions!BG156:BG171)</f>
        <v>1.8890058164788655</v>
      </c>
      <c r="BF53" s="22">
        <f>SUM(Emissions!BH156:BH171)</f>
        <v>1.9460366941037717</v>
      </c>
      <c r="BG53" s="22">
        <f>SUM(Emissions!BI156:BI171)</f>
        <v>2.0065121000255353</v>
      </c>
      <c r="BH53" s="22">
        <f>SUM(Emissions!BJ156:BJ171)</f>
        <v>2.0701840513747181</v>
      </c>
      <c r="BI53" s="22">
        <f>SUM(Emissions!BK156:BK171)</f>
        <v>2.1384624120185194</v>
      </c>
      <c r="BJ53" s="22">
        <f>SUM(Emissions!BL156:BL171)</f>
        <v>2.2106406661969866</v>
      </c>
      <c r="BK53" s="22">
        <f>SUM(Emissions!BM156:BM171)</f>
        <v>2.2860684473409578</v>
      </c>
      <c r="BL53" s="22">
        <f>SUM(Emissions!BN156:BN171)</f>
        <v>2.3612263819217865</v>
      </c>
      <c r="BM53" s="22">
        <f>SUM(Emissions!BO156:BO171)</f>
        <v>2.4399549563792542</v>
      </c>
      <c r="BN53" s="22">
        <f>SUM(Emissions!BP156:BP171)</f>
        <v>2.5231538473082504</v>
      </c>
    </row>
    <row r="54" spans="1:72" x14ac:dyDescent="0.25">
      <c r="A54" t="str">
        <f t="shared" ref="A54" si="40">A53</f>
        <v>3C Aggregated and non-CO2 emissions on land</v>
      </c>
      <c r="B54" t="str">
        <f>B53</f>
        <v>3C6 Indirect N2O from manure management (N2O)</v>
      </c>
      <c r="C54" t="str">
        <f>'IPCC Categories'!C81</f>
        <v>Leaching/runoff</v>
      </c>
      <c r="D54" t="str">
        <f t="shared" si="28"/>
        <v>N2O</v>
      </c>
      <c r="E54" t="str">
        <f t="shared" si="29"/>
        <v>Gg N2O</v>
      </c>
      <c r="F54" s="22">
        <f>SUM(Emissions!H172:H187)</f>
        <v>0.29343461013219191</v>
      </c>
      <c r="G54" s="22">
        <f>SUM(Emissions!I172:I187)</f>
        <v>0.3073766284666854</v>
      </c>
      <c r="H54" s="22">
        <f>SUM(Emissions!J172:J187)</f>
        <v>0.29050875429791384</v>
      </c>
      <c r="I54" s="22">
        <f>SUM(Emissions!K172:K187)</f>
        <v>0.29609123732062431</v>
      </c>
      <c r="J54" s="22">
        <f>SUM(Emissions!L172:L187)</f>
        <v>0.28304951369865206</v>
      </c>
      <c r="K54" s="22">
        <f>SUM(Emissions!M172:M187)</f>
        <v>0.29511187402970801</v>
      </c>
      <c r="L54" s="22">
        <f>SUM(Emissions!N172:N187)</f>
        <v>0.30690246598419996</v>
      </c>
      <c r="M54" s="22">
        <f>SUM(Emissions!O172:O187)</f>
        <v>0.30644509961156119</v>
      </c>
      <c r="N54" s="22">
        <f>SUM(Emissions!P172:P187)</f>
        <v>0.31383106371783259</v>
      </c>
      <c r="O54" s="22">
        <f>SUM(Emissions!Q172:Q187)</f>
        <v>0.31657737780361339</v>
      </c>
      <c r="P54" s="22">
        <f>SUM(Emissions!R172:R187)</f>
        <v>0.3416175739910387</v>
      </c>
      <c r="Q54" s="22">
        <f>SUM(Emissions!S172:S187)</f>
        <v>0.33949568434489258</v>
      </c>
      <c r="R54" s="22">
        <f>SUM(Emissions!T172:T187)</f>
        <v>0.33183354999683212</v>
      </c>
      <c r="S54" s="22">
        <f>SUM(Emissions!U172:U187)</f>
        <v>0.31943437273400205</v>
      </c>
      <c r="T54" s="22">
        <f>SUM(Emissions!V172:V187)</f>
        <v>0.31727330792199299</v>
      </c>
      <c r="U54" s="22">
        <f>SUM(Emissions!W172:W187)</f>
        <v>0.3294793274871316</v>
      </c>
      <c r="V54" s="22">
        <f>SUM(Emissions!X172:X187)</f>
        <v>0.33314518631093065</v>
      </c>
      <c r="W54" s="22">
        <f>SUM(Emissions!Y172:Y187)</f>
        <v>0.34004074515535521</v>
      </c>
      <c r="X54" s="22">
        <f>SUM(Emissions!Z172:Z187)</f>
        <v>0.36225558084507087</v>
      </c>
      <c r="Y54" s="22">
        <f>SUM(Emissions!AA172:AA187)</f>
        <v>0.35995720969910711</v>
      </c>
      <c r="Z54" s="22">
        <f>SUM(Emissions!AB172:AB187)</f>
        <v>0.36096038405715508</v>
      </c>
      <c r="AA54" s="22">
        <f>SUM(Emissions!AC172:AC187)</f>
        <v>0.3644055717157258</v>
      </c>
      <c r="AB54" s="22">
        <f>SUM(Emissions!AD172:AD187)</f>
        <v>0.37065665925239988</v>
      </c>
      <c r="AC54" s="22">
        <f>SUM(Emissions!AE172:AE187)</f>
        <v>0.37497765365144287</v>
      </c>
      <c r="AD54" s="22">
        <f>SUM(Emissions!AF172:AF187)</f>
        <v>0.3771756808706212</v>
      </c>
      <c r="AE54" s="22">
        <f>SUM(Emissions!AG172:AG187)</f>
        <v>0.37781879260292839</v>
      </c>
      <c r="AF54" s="22">
        <f>SUM(Emissions!AH172:AH187)</f>
        <v>0.37682944153283143</v>
      </c>
      <c r="AG54" s="22">
        <f>SUM(Emissions!AI172:AI187)</f>
        <v>0.37819231089486299</v>
      </c>
      <c r="AH54" s="22">
        <f>SUM(Emissions!AJ172:AJ187)</f>
        <v>0.3791781803677115</v>
      </c>
      <c r="AI54" s="22">
        <f>SUM(Emissions!AK172:AK187)</f>
        <v>0.38008288221546493</v>
      </c>
      <c r="AJ54" s="22">
        <f>SUM(Emissions!AL172:AL187)</f>
        <v>0.34650202355023141</v>
      </c>
      <c r="AK54" s="22">
        <f>SUM(Emissions!AM172:AM187)</f>
        <v>0.3527638958419988</v>
      </c>
      <c r="AL54" s="22">
        <f>SUM(Emissions!AN172:AN187)</f>
        <v>0.35861328195090875</v>
      </c>
      <c r="AM54" s="22">
        <f>SUM(Emissions!AO172:AO187)</f>
        <v>0.36465553225820357</v>
      </c>
      <c r="AN54" s="22">
        <f>SUM(Emissions!AP172:AP187)</f>
        <v>0.37132448202326951</v>
      </c>
      <c r="AO54" s="22">
        <f>SUM(Emissions!AQ172:AQ187)</f>
        <v>0.37892458569977217</v>
      </c>
      <c r="AP54" s="22">
        <f>SUM(Emissions!AR172:AR187)</f>
        <v>0.38687603207476029</v>
      </c>
      <c r="AQ54" s="22">
        <f>SUM(Emissions!AS172:AS187)</f>
        <v>0.39544916663805407</v>
      </c>
      <c r="AR54" s="22">
        <f>SUM(Emissions!AT172:AT187)</f>
        <v>0.40471050543320336</v>
      </c>
      <c r="AS54" s="22">
        <f>SUM(Emissions!AU172:AU187)</f>
        <v>0.41530648063604658</v>
      </c>
      <c r="AT54" s="22">
        <f>SUM(Emissions!AV172:AV187)</f>
        <v>0.42579520914476782</v>
      </c>
      <c r="AU54" s="22">
        <f>SUM(Emissions!AW172:AW187)</f>
        <v>0.43789749919214066</v>
      </c>
      <c r="AV54" s="22">
        <f>SUM(Emissions!AX172:AX187)</f>
        <v>0.45043678856771885</v>
      </c>
      <c r="AW54" s="22">
        <f>SUM(Emissions!AY172:AY187)</f>
        <v>0.46334790043407703</v>
      </c>
      <c r="AX54" s="22">
        <f>SUM(Emissions!AZ172:AZ187)</f>
        <v>0.47656233243548707</v>
      </c>
      <c r="AY54" s="22">
        <f>SUM(Emissions!BA172:BA187)</f>
        <v>0.48863681558385386</v>
      </c>
      <c r="AZ54" s="22">
        <f>SUM(Emissions!BB172:BB187)</f>
        <v>0.50125710270403512</v>
      </c>
      <c r="BA54" s="22">
        <f>SUM(Emissions!BC172:BC187)</f>
        <v>0.51483316806097368</v>
      </c>
      <c r="BB54" s="22">
        <f>SUM(Emissions!BD172:BD187)</f>
        <v>0.52907225565099292</v>
      </c>
      <c r="BC54" s="22">
        <f>SUM(Emissions!BE172:BE187)</f>
        <v>0.54291909292420504</v>
      </c>
      <c r="BD54" s="22">
        <f>SUM(Emissions!BF172:BF187)</f>
        <v>0.5569534881488809</v>
      </c>
      <c r="BE54" s="22">
        <f>SUM(Emissions!BG172:BG187)</f>
        <v>0.57175180978329376</v>
      </c>
      <c r="BF54" s="22">
        <f>SUM(Emissions!BH172:BH187)</f>
        <v>0.58729964645318189</v>
      </c>
      <c r="BG54" s="22">
        <f>SUM(Emissions!BI172:BI187)</f>
        <v>0.6037881952332752</v>
      </c>
      <c r="BH54" s="22">
        <f>SUM(Emissions!BJ172:BJ187)</f>
        <v>0.62113899435228737</v>
      </c>
      <c r="BI54" s="22">
        <f>SUM(Emissions!BK172:BK187)</f>
        <v>0.63975667267967073</v>
      </c>
      <c r="BJ54" s="22">
        <f>SUM(Emissions!BL172:BL187)</f>
        <v>0.65940449614153041</v>
      </c>
      <c r="BK54" s="22">
        <f>SUM(Emissions!BM172:BM187)</f>
        <v>0.67991090168194701</v>
      </c>
      <c r="BL54" s="22">
        <f>SUM(Emissions!BN172:BN187)</f>
        <v>0.7002535648414524</v>
      </c>
      <c r="BM54" s="22">
        <f>SUM(Emissions!BO172:BO187)</f>
        <v>0.72154133900538442</v>
      </c>
      <c r="BN54" s="22">
        <f>SUM(Emissions!BP172:BP187)</f>
        <v>0.74402721605309485</v>
      </c>
    </row>
    <row r="57" spans="1:72" s="19" customFormat="1" ht="15.75" x14ac:dyDescent="0.25">
      <c r="A57" s="17" t="s">
        <v>4</v>
      </c>
      <c r="B57" s="17" t="s">
        <v>313</v>
      </c>
      <c r="C57" s="17"/>
      <c r="D57" s="17"/>
      <c r="E57" s="17"/>
      <c r="F57" s="17">
        <v>1990</v>
      </c>
      <c r="G57" s="17">
        <v>1991</v>
      </c>
      <c r="H57" s="17">
        <v>1992</v>
      </c>
      <c r="I57" s="17">
        <v>1993</v>
      </c>
      <c r="J57" s="17">
        <v>1994</v>
      </c>
      <c r="K57" s="17">
        <v>1995</v>
      </c>
      <c r="L57" s="17">
        <v>1996</v>
      </c>
      <c r="M57" s="17">
        <v>1997</v>
      </c>
      <c r="N57" s="17">
        <v>1998</v>
      </c>
      <c r="O57" s="17">
        <v>1999</v>
      </c>
      <c r="P57" s="17">
        <v>2000</v>
      </c>
      <c r="Q57" s="17">
        <v>2001</v>
      </c>
      <c r="R57" s="17">
        <v>2002</v>
      </c>
      <c r="S57" s="17">
        <v>2003</v>
      </c>
      <c r="T57" s="17">
        <v>2004</v>
      </c>
      <c r="U57" s="17">
        <v>2005</v>
      </c>
      <c r="V57" s="17">
        <v>2006</v>
      </c>
      <c r="W57" s="17">
        <v>2007</v>
      </c>
      <c r="X57" s="17">
        <v>2008</v>
      </c>
      <c r="Y57" s="17">
        <v>2009</v>
      </c>
      <c r="Z57" s="17">
        <v>2010</v>
      </c>
      <c r="AA57" s="17">
        <v>2011</v>
      </c>
      <c r="AB57" s="17">
        <v>2012</v>
      </c>
      <c r="AC57" s="17">
        <v>2013</v>
      </c>
      <c r="AD57" s="17">
        <v>2014</v>
      </c>
      <c r="AE57" s="17">
        <v>2015</v>
      </c>
      <c r="AF57" s="17">
        <v>2016</v>
      </c>
      <c r="AG57" s="17">
        <v>2017</v>
      </c>
      <c r="AH57" s="17">
        <v>2018</v>
      </c>
      <c r="AI57" s="17">
        <v>2019</v>
      </c>
      <c r="AJ57" s="17">
        <v>2020</v>
      </c>
      <c r="AK57" s="17">
        <v>2021</v>
      </c>
      <c r="AL57" s="17">
        <v>2022</v>
      </c>
      <c r="AM57" s="17">
        <v>2023</v>
      </c>
      <c r="AN57" s="17">
        <v>2024</v>
      </c>
      <c r="AO57" s="17">
        <v>2025</v>
      </c>
      <c r="AP57" s="17">
        <v>2026</v>
      </c>
      <c r="AQ57" s="17">
        <v>2027</v>
      </c>
      <c r="AR57" s="17">
        <v>2028</v>
      </c>
      <c r="AS57" s="17">
        <v>2029</v>
      </c>
      <c r="AT57" s="17">
        <v>2030</v>
      </c>
      <c r="AU57" s="17">
        <v>2031</v>
      </c>
      <c r="AV57" s="17">
        <v>2032</v>
      </c>
      <c r="AW57" s="17">
        <v>2033</v>
      </c>
      <c r="AX57" s="17">
        <v>2034</v>
      </c>
      <c r="AY57" s="17">
        <v>2035</v>
      </c>
      <c r="AZ57" s="17">
        <v>2036</v>
      </c>
      <c r="BA57" s="17">
        <v>2037</v>
      </c>
      <c r="BB57" s="17">
        <v>2038</v>
      </c>
      <c r="BC57" s="17">
        <v>2039</v>
      </c>
      <c r="BD57" s="17">
        <v>2040</v>
      </c>
      <c r="BE57" s="17">
        <v>2041</v>
      </c>
      <c r="BF57" s="17">
        <v>2042</v>
      </c>
      <c r="BG57" s="17">
        <v>2043</v>
      </c>
      <c r="BH57" s="17">
        <v>2044</v>
      </c>
      <c r="BI57" s="17">
        <v>2045</v>
      </c>
      <c r="BJ57" s="17">
        <v>2046</v>
      </c>
      <c r="BK57" s="17">
        <v>2047</v>
      </c>
      <c r="BL57" s="17">
        <v>2048</v>
      </c>
      <c r="BM57" s="17">
        <v>2049</v>
      </c>
      <c r="BN57" s="17">
        <v>2050</v>
      </c>
      <c r="BO57" s="17"/>
      <c r="BP57" s="17"/>
      <c r="BQ57" s="17"/>
      <c r="BR57" s="17"/>
      <c r="BS57" s="17"/>
      <c r="BT57" s="17"/>
    </row>
    <row r="58" spans="1:72" x14ac:dyDescent="0.25">
      <c r="A58" t="str">
        <f>A4</f>
        <v>3A Livestock</v>
      </c>
      <c r="B58" t="str">
        <f t="shared" ref="B58:D58" si="41">B4</f>
        <v>3A1 Enteric fermentation (CH4)</v>
      </c>
      <c r="C58" t="s">
        <v>631</v>
      </c>
      <c r="D58" t="str">
        <f t="shared" si="41"/>
        <v>CH4</v>
      </c>
      <c r="E58" t="s">
        <v>630</v>
      </c>
      <c r="F58" s="22">
        <f t="shared" ref="F58:AK58" si="42">F4*CH4GWP</f>
        <v>26460.925072337381</v>
      </c>
      <c r="G58" s="22">
        <f t="shared" si="42"/>
        <v>26418.475312229119</v>
      </c>
      <c r="H58" s="22">
        <f t="shared" si="42"/>
        <v>26027.263437986745</v>
      </c>
      <c r="I58" s="22">
        <f t="shared" si="42"/>
        <v>25089.273612986341</v>
      </c>
      <c r="J58" s="22">
        <f t="shared" si="42"/>
        <v>24412.498016417903</v>
      </c>
      <c r="K58" s="22">
        <f t="shared" si="42"/>
        <v>24601.863709321911</v>
      </c>
      <c r="L58" s="22">
        <f t="shared" si="42"/>
        <v>25244.020710274675</v>
      </c>
      <c r="M58" s="22">
        <f t="shared" si="42"/>
        <v>25722.067671704968</v>
      </c>
      <c r="N58" s="22">
        <f t="shared" si="42"/>
        <v>26130.788516688182</v>
      </c>
      <c r="O58" s="22">
        <f t="shared" si="42"/>
        <v>26079.086242660247</v>
      </c>
      <c r="P58" s="22">
        <f t="shared" si="42"/>
        <v>25777.048269375533</v>
      </c>
      <c r="Q58" s="22">
        <f t="shared" si="42"/>
        <v>25591.757983541553</v>
      </c>
      <c r="R58" s="22">
        <f t="shared" si="42"/>
        <v>25147.122199522513</v>
      </c>
      <c r="S58" s="22">
        <f t="shared" si="42"/>
        <v>25249.466602835961</v>
      </c>
      <c r="T58" s="22">
        <f t="shared" si="42"/>
        <v>25051.703011381145</v>
      </c>
      <c r="U58" s="22">
        <f t="shared" si="42"/>
        <v>25106.486522987332</v>
      </c>
      <c r="V58" s="22">
        <f t="shared" si="42"/>
        <v>25009.71607093593</v>
      </c>
      <c r="W58" s="22">
        <f t="shared" si="42"/>
        <v>25554.935614001963</v>
      </c>
      <c r="X58" s="22">
        <f t="shared" si="42"/>
        <v>25721.077232963253</v>
      </c>
      <c r="Y58" s="22">
        <f t="shared" si="42"/>
        <v>25553.033374236744</v>
      </c>
      <c r="Z58" s="22">
        <f t="shared" si="42"/>
        <v>25338.814721466922</v>
      </c>
      <c r="AA58" s="22">
        <f t="shared" si="42"/>
        <v>25260.558978491663</v>
      </c>
      <c r="AB58" s="22">
        <f t="shared" si="42"/>
        <v>24599.289440567427</v>
      </c>
      <c r="AC58" s="22">
        <f t="shared" si="42"/>
        <v>24598.313615813877</v>
      </c>
      <c r="AD58" s="22">
        <f t="shared" si="42"/>
        <v>24468.689274409106</v>
      </c>
      <c r="AE58" s="22">
        <f t="shared" si="42"/>
        <v>24249.019036246784</v>
      </c>
      <c r="AF58" s="22">
        <f t="shared" si="42"/>
        <v>23939.031297480375</v>
      </c>
      <c r="AG58" s="22">
        <f t="shared" si="42"/>
        <v>23766.181355791086</v>
      </c>
      <c r="AH58" s="22">
        <f t="shared" si="42"/>
        <v>23571.995004679993</v>
      </c>
      <c r="AI58" s="22">
        <f t="shared" si="42"/>
        <v>23373.612289776876</v>
      </c>
      <c r="AJ58" s="22">
        <f t="shared" si="42"/>
        <v>21338.184168669955</v>
      </c>
      <c r="AK58" s="22">
        <f t="shared" si="42"/>
        <v>21559.783973458696</v>
      </c>
      <c r="AL58" s="22">
        <f t="shared" ref="AL58:BN58" si="43">AL4*CH4GWP</f>
        <v>21756.034384438135</v>
      </c>
      <c r="AM58" s="22">
        <f t="shared" si="43"/>
        <v>21958.90461147164</v>
      </c>
      <c r="AN58" s="22">
        <f t="shared" si="43"/>
        <v>22190.460266521983</v>
      </c>
      <c r="AO58" s="22">
        <f t="shared" si="43"/>
        <v>22465.413240807669</v>
      </c>
      <c r="AP58" s="22">
        <f t="shared" si="43"/>
        <v>22746.223327712982</v>
      </c>
      <c r="AQ58" s="22">
        <f t="shared" si="43"/>
        <v>23052.986839703783</v>
      </c>
      <c r="AR58" s="22">
        <f t="shared" si="43"/>
        <v>23388.234417856129</v>
      </c>
      <c r="AS58" s="22">
        <f t="shared" si="43"/>
        <v>23783.010783673784</v>
      </c>
      <c r="AT58" s="22">
        <f t="shared" si="43"/>
        <v>24165.130993905077</v>
      </c>
      <c r="AU58" s="22">
        <f t="shared" si="43"/>
        <v>24503.17673725681</v>
      </c>
      <c r="AV58" s="22">
        <f t="shared" si="43"/>
        <v>24846.225228228242</v>
      </c>
      <c r="AW58" s="22">
        <f t="shared" si="43"/>
        <v>25190.364741786521</v>
      </c>
      <c r="AX58" s="22">
        <f t="shared" si="43"/>
        <v>25531.719849528461</v>
      </c>
      <c r="AY58" s="22">
        <f t="shared" si="43"/>
        <v>25804.191081967136</v>
      </c>
      <c r="AZ58" s="22">
        <f t="shared" si="43"/>
        <v>26080.467739446201</v>
      </c>
      <c r="BA58" s="22">
        <f t="shared" si="43"/>
        <v>26382.639742708918</v>
      </c>
      <c r="BB58" s="22">
        <f t="shared" si="43"/>
        <v>26696.10580012999</v>
      </c>
      <c r="BC58" s="22">
        <f t="shared" si="43"/>
        <v>26974.571667957945</v>
      </c>
      <c r="BD58" s="22">
        <f t="shared" si="43"/>
        <v>27243.243579974773</v>
      </c>
      <c r="BE58" s="22">
        <f t="shared" si="43"/>
        <v>27596.141306970516</v>
      </c>
      <c r="BF58" s="22">
        <f t="shared" si="43"/>
        <v>27965.311298506913</v>
      </c>
      <c r="BG58" s="22">
        <f t="shared" si="43"/>
        <v>28357.348409319588</v>
      </c>
      <c r="BH58" s="22">
        <f t="shared" si="43"/>
        <v>28767.714280817308</v>
      </c>
      <c r="BI58" s="22">
        <f t="shared" si="43"/>
        <v>29211.031525233302</v>
      </c>
      <c r="BJ58" s="22">
        <f t="shared" si="43"/>
        <v>29671.52471252497</v>
      </c>
      <c r="BK58" s="22">
        <f t="shared" si="43"/>
        <v>30145.810111347251</v>
      </c>
      <c r="BL58" s="22">
        <f t="shared" si="43"/>
        <v>30594.079984115844</v>
      </c>
      <c r="BM58" s="22">
        <f t="shared" si="43"/>
        <v>31057.95757641449</v>
      </c>
      <c r="BN58" s="22">
        <f t="shared" si="43"/>
        <v>31545.369468291457</v>
      </c>
    </row>
    <row r="59" spans="1:72" x14ac:dyDescent="0.25">
      <c r="A59" t="str">
        <f>A11</f>
        <v>3A Livestock</v>
      </c>
      <c r="B59" t="str">
        <f t="shared" ref="B59:D59" si="44">B11</f>
        <v>3A2 Manure management (CH4)</v>
      </c>
      <c r="C59" t="s">
        <v>632</v>
      </c>
      <c r="D59" t="str">
        <f t="shared" si="44"/>
        <v>CH4</v>
      </c>
      <c r="E59" t="s">
        <v>630</v>
      </c>
      <c r="F59" s="22">
        <f t="shared" ref="F59:AK59" si="45">F11*CH4GWP</f>
        <v>665.7572008832442</v>
      </c>
      <c r="G59" s="22">
        <f t="shared" si="45"/>
        <v>731.77517896865697</v>
      </c>
      <c r="H59" s="22">
        <f t="shared" si="45"/>
        <v>700.26473285821476</v>
      </c>
      <c r="I59" s="22">
        <f t="shared" si="45"/>
        <v>712.13818460917685</v>
      </c>
      <c r="J59" s="22">
        <f t="shared" si="45"/>
        <v>673.549198853235</v>
      </c>
      <c r="K59" s="22">
        <f t="shared" si="45"/>
        <v>693.43832527791926</v>
      </c>
      <c r="L59" s="22">
        <f t="shared" si="45"/>
        <v>734.73733503998528</v>
      </c>
      <c r="M59" s="22">
        <f t="shared" si="45"/>
        <v>726.5082160772597</v>
      </c>
      <c r="N59" s="22">
        <f t="shared" si="45"/>
        <v>738.7543700862376</v>
      </c>
      <c r="O59" s="22">
        <f t="shared" si="45"/>
        <v>751.24351393633765</v>
      </c>
      <c r="P59" s="22">
        <f t="shared" si="45"/>
        <v>762.23830549258651</v>
      </c>
      <c r="Q59" s="22">
        <f t="shared" si="45"/>
        <v>769.66043942752947</v>
      </c>
      <c r="R59" s="22">
        <f t="shared" si="45"/>
        <v>755.24670561009475</v>
      </c>
      <c r="S59" s="22">
        <f t="shared" si="45"/>
        <v>721.45490015224073</v>
      </c>
      <c r="T59" s="22">
        <f t="shared" si="45"/>
        <v>716.39216959899204</v>
      </c>
      <c r="U59" s="22">
        <f t="shared" si="45"/>
        <v>729.01852866445677</v>
      </c>
      <c r="V59" s="22">
        <f t="shared" si="45"/>
        <v>720.39066924724523</v>
      </c>
      <c r="W59" s="22">
        <f t="shared" si="45"/>
        <v>731.06474952281167</v>
      </c>
      <c r="X59" s="22">
        <f t="shared" si="45"/>
        <v>761.20306942751586</v>
      </c>
      <c r="Y59" s="22">
        <f t="shared" si="45"/>
        <v>763.02344219117026</v>
      </c>
      <c r="Z59" s="22">
        <f t="shared" si="45"/>
        <v>758.88138838781094</v>
      </c>
      <c r="AA59" s="22">
        <f t="shared" si="45"/>
        <v>751.05641756570367</v>
      </c>
      <c r="AB59" s="22">
        <f t="shared" si="45"/>
        <v>773.79124598892474</v>
      </c>
      <c r="AC59" s="22">
        <f t="shared" si="45"/>
        <v>776.96238278948465</v>
      </c>
      <c r="AD59" s="22">
        <f t="shared" si="45"/>
        <v>775.73506637710193</v>
      </c>
      <c r="AE59" s="22">
        <f t="shared" si="45"/>
        <v>771.38127397172786</v>
      </c>
      <c r="AF59" s="22">
        <f t="shared" si="45"/>
        <v>763.79650640050841</v>
      </c>
      <c r="AG59" s="22">
        <f t="shared" si="45"/>
        <v>761.23282634439693</v>
      </c>
      <c r="AH59" s="22">
        <f t="shared" si="45"/>
        <v>758.01442212486722</v>
      </c>
      <c r="AI59" s="22">
        <f t="shared" si="45"/>
        <v>754.74387610643169</v>
      </c>
      <c r="AJ59" s="22">
        <f t="shared" si="45"/>
        <v>682.13543217636538</v>
      </c>
      <c r="AK59" s="22">
        <f t="shared" si="45"/>
        <v>689.4808911680974</v>
      </c>
      <c r="AL59" s="22">
        <f t="shared" ref="AL59:BN59" si="46">AL11*CH4GWP</f>
        <v>695.9227365564509</v>
      </c>
      <c r="AM59" s="22">
        <f t="shared" si="46"/>
        <v>702.66861888003075</v>
      </c>
      <c r="AN59" s="22">
        <f t="shared" si="46"/>
        <v>710.55308703233288</v>
      </c>
      <c r="AO59" s="22">
        <f t="shared" si="46"/>
        <v>720.13421773481775</v>
      </c>
      <c r="AP59" s="22">
        <f t="shared" si="46"/>
        <v>730.31436146105329</v>
      </c>
      <c r="AQ59" s="22">
        <f t="shared" si="46"/>
        <v>741.53268283913269</v>
      </c>
      <c r="AR59" s="22">
        <f t="shared" si="46"/>
        <v>753.88794665013927</v>
      </c>
      <c r="AS59" s="22">
        <f t="shared" si="46"/>
        <v>768.56216498062258</v>
      </c>
      <c r="AT59" s="22">
        <f t="shared" si="46"/>
        <v>782.81937670772231</v>
      </c>
      <c r="AU59" s="22">
        <f t="shared" si="46"/>
        <v>800.58383135986765</v>
      </c>
      <c r="AV59" s="22">
        <f t="shared" si="46"/>
        <v>818.91907827943737</v>
      </c>
      <c r="AW59" s="22">
        <f t="shared" si="46"/>
        <v>837.69226654992542</v>
      </c>
      <c r="AX59" s="22">
        <f t="shared" si="46"/>
        <v>856.76780379193451</v>
      </c>
      <c r="AY59" s="22">
        <f t="shared" si="46"/>
        <v>873.54023765964678</v>
      </c>
      <c r="AZ59" s="22">
        <f t="shared" si="46"/>
        <v>891.0960686725748</v>
      </c>
      <c r="BA59" s="22">
        <f t="shared" si="46"/>
        <v>910.11164817419774</v>
      </c>
      <c r="BB59" s="22">
        <f t="shared" si="46"/>
        <v>930.03893307163082</v>
      </c>
      <c r="BC59" s="22">
        <f t="shared" si="46"/>
        <v>949.00671063466416</v>
      </c>
      <c r="BD59" s="22">
        <f t="shared" si="46"/>
        <v>968.0396325138953</v>
      </c>
      <c r="BE59" s="22">
        <f t="shared" si="46"/>
        <v>987.73250560720521</v>
      </c>
      <c r="BF59" s="22">
        <f t="shared" si="46"/>
        <v>1008.4173770451076</v>
      </c>
      <c r="BG59" s="22">
        <f t="shared" si="46"/>
        <v>1030.3960044782559</v>
      </c>
      <c r="BH59" s="22">
        <f t="shared" si="46"/>
        <v>1053.5045128230779</v>
      </c>
      <c r="BI59" s="22">
        <f t="shared" si="46"/>
        <v>1078.3961418823992</v>
      </c>
      <c r="BJ59" s="22">
        <f t="shared" si="46"/>
        <v>1104.6542056974608</v>
      </c>
      <c r="BK59" s="22">
        <f t="shared" si="46"/>
        <v>1131.938716360743</v>
      </c>
      <c r="BL59" s="22">
        <f t="shared" si="46"/>
        <v>1158.5373178848338</v>
      </c>
      <c r="BM59" s="22">
        <f t="shared" si="46"/>
        <v>1186.2739715179196</v>
      </c>
      <c r="BN59" s="22">
        <f t="shared" si="46"/>
        <v>1215.5307703356702</v>
      </c>
    </row>
    <row r="60" spans="1:72" x14ac:dyDescent="0.25">
      <c r="A60" t="str">
        <f>A19</f>
        <v>3A Livestock</v>
      </c>
      <c r="B60" t="str">
        <f t="shared" ref="B60:D60" si="47">B19</f>
        <v>3A2 Manure management (N2O)</v>
      </c>
      <c r="C60" t="s">
        <v>633</v>
      </c>
      <c r="D60" t="str">
        <f t="shared" si="47"/>
        <v>N2O</v>
      </c>
      <c r="E60" t="s">
        <v>630</v>
      </c>
      <c r="F60" s="22">
        <f t="shared" ref="F60:AK60" si="48">F19*N2OGWP</f>
        <v>1203.2136219693348</v>
      </c>
      <c r="G60" s="22">
        <f t="shared" si="48"/>
        <v>1198.5061063384233</v>
      </c>
      <c r="H60" s="22">
        <f t="shared" si="48"/>
        <v>1173.7369968071926</v>
      </c>
      <c r="I60" s="22">
        <f t="shared" si="48"/>
        <v>1182.0093804828057</v>
      </c>
      <c r="J60" s="22">
        <f t="shared" si="48"/>
        <v>1146.8886267544892</v>
      </c>
      <c r="K60" s="22">
        <f t="shared" si="48"/>
        <v>1188.3958696738064</v>
      </c>
      <c r="L60" s="22">
        <f t="shared" si="48"/>
        <v>1252.6970048832511</v>
      </c>
      <c r="M60" s="22">
        <f t="shared" si="48"/>
        <v>1269.6218122686487</v>
      </c>
      <c r="N60" s="22">
        <f t="shared" si="48"/>
        <v>1322.3148658073626</v>
      </c>
      <c r="O60" s="22">
        <f t="shared" si="48"/>
        <v>1346.6035779723059</v>
      </c>
      <c r="P60" s="22">
        <f t="shared" si="48"/>
        <v>1372.4487383044614</v>
      </c>
      <c r="Q60" s="22">
        <f t="shared" si="48"/>
        <v>1356.5221314435626</v>
      </c>
      <c r="R60" s="22">
        <f t="shared" si="48"/>
        <v>1396.8463052232266</v>
      </c>
      <c r="S60" s="22">
        <f t="shared" si="48"/>
        <v>1373.0665004626433</v>
      </c>
      <c r="T60" s="22">
        <f t="shared" si="48"/>
        <v>1378.5802594390798</v>
      </c>
      <c r="U60" s="22">
        <f t="shared" si="48"/>
        <v>1425.1971500061302</v>
      </c>
      <c r="V60" s="22">
        <f t="shared" si="48"/>
        <v>1466.623959325211</v>
      </c>
      <c r="W60" s="22">
        <f t="shared" si="48"/>
        <v>1512.7966811111032</v>
      </c>
      <c r="X60" s="22">
        <f t="shared" si="48"/>
        <v>1539.5804780764847</v>
      </c>
      <c r="Y60" s="22">
        <f t="shared" si="48"/>
        <v>1507.0434874225361</v>
      </c>
      <c r="Z60" s="22">
        <f t="shared" si="48"/>
        <v>1516.5605848321243</v>
      </c>
      <c r="AA60" s="22">
        <f t="shared" si="48"/>
        <v>1570.0225026545761</v>
      </c>
      <c r="AB60" s="22">
        <f t="shared" si="48"/>
        <v>1612.1664621993448</v>
      </c>
      <c r="AC60" s="22">
        <f t="shared" si="48"/>
        <v>1637.638561233151</v>
      </c>
      <c r="AD60" s="22">
        <f t="shared" si="48"/>
        <v>1651.2535712791498</v>
      </c>
      <c r="AE60" s="22">
        <f t="shared" si="48"/>
        <v>1656.0895223911207</v>
      </c>
      <c r="AF60" s="22">
        <f t="shared" si="48"/>
        <v>1651.7097045684916</v>
      </c>
      <c r="AG60" s="22">
        <f t="shared" si="48"/>
        <v>1659.891189589501</v>
      </c>
      <c r="AH60" s="22">
        <f t="shared" si="48"/>
        <v>1665.8518341339941</v>
      </c>
      <c r="AI60" s="22">
        <f t="shared" si="48"/>
        <v>1671.206580090161</v>
      </c>
      <c r="AJ60" s="22">
        <f t="shared" si="48"/>
        <v>1487.1292748606763</v>
      </c>
      <c r="AK60" s="22">
        <f t="shared" si="48"/>
        <v>1522.6184777841961</v>
      </c>
      <c r="AL60" s="22">
        <f t="shared" ref="AL60:BN60" si="49">AL19*N2OGWP</f>
        <v>1555.7758544349881</v>
      </c>
      <c r="AM60" s="22">
        <f t="shared" si="49"/>
        <v>1589.9341310424729</v>
      </c>
      <c r="AN60" s="22">
        <f t="shared" si="49"/>
        <v>1627.4936765417754</v>
      </c>
      <c r="AO60" s="22">
        <f t="shared" si="49"/>
        <v>1670.1498329536751</v>
      </c>
      <c r="AP60" s="22">
        <f t="shared" si="49"/>
        <v>1715.2041443294261</v>
      </c>
      <c r="AQ60" s="22">
        <f t="shared" si="49"/>
        <v>1763.6822673087927</v>
      </c>
      <c r="AR60" s="22">
        <f t="shared" si="49"/>
        <v>1815.9657180363897</v>
      </c>
      <c r="AS60" s="22">
        <f t="shared" si="49"/>
        <v>1875.6487514283649</v>
      </c>
      <c r="AT60" s="22">
        <f t="shared" si="49"/>
        <v>1934.761254764155</v>
      </c>
      <c r="AU60" s="22">
        <f t="shared" si="49"/>
        <v>2003.386952420125</v>
      </c>
      <c r="AV60" s="22">
        <f t="shared" si="49"/>
        <v>2074.5068251184071</v>
      </c>
      <c r="AW60" s="22">
        <f t="shared" si="49"/>
        <v>2147.7680121377116</v>
      </c>
      <c r="AX60" s="22">
        <f t="shared" si="49"/>
        <v>2222.7974903634363</v>
      </c>
      <c r="AY60" s="22">
        <f t="shared" si="49"/>
        <v>2291.5613828897003</v>
      </c>
      <c r="AZ60" s="22">
        <f t="shared" si="49"/>
        <v>2363.8137468726463</v>
      </c>
      <c r="BA60" s="22">
        <f t="shared" si="49"/>
        <v>2441.4870045662569</v>
      </c>
      <c r="BB60" s="22">
        <f t="shared" si="49"/>
        <v>2522.9626081801971</v>
      </c>
      <c r="BC60" s="22">
        <f t="shared" si="49"/>
        <v>2602.3508690371432</v>
      </c>
      <c r="BD60" s="22">
        <f t="shared" si="49"/>
        <v>2682.8928638165462</v>
      </c>
      <c r="BE60" s="22">
        <f t="shared" si="49"/>
        <v>2768.0383938379655</v>
      </c>
      <c r="BF60" s="22">
        <f t="shared" si="49"/>
        <v>2857.493130099017</v>
      </c>
      <c r="BG60" s="22">
        <f t="shared" si="49"/>
        <v>2952.3427242152288</v>
      </c>
      <c r="BH60" s="22">
        <f t="shared" si="49"/>
        <v>3052.1614612663811</v>
      </c>
      <c r="BI60" s="22">
        <f t="shared" si="49"/>
        <v>3159.2386295633237</v>
      </c>
      <c r="BJ60" s="22">
        <f t="shared" si="49"/>
        <v>3272.6107041402406</v>
      </c>
      <c r="BK60" s="22">
        <f t="shared" si="49"/>
        <v>3390.9799792924796</v>
      </c>
      <c r="BL60" s="22">
        <f t="shared" si="49"/>
        <v>3508.5953818783287</v>
      </c>
      <c r="BM60" s="22">
        <f t="shared" si="49"/>
        <v>3631.7129908716497</v>
      </c>
      <c r="BN60" s="22">
        <f t="shared" si="49"/>
        <v>3761.7764968380484</v>
      </c>
    </row>
    <row r="61" spans="1:72" x14ac:dyDescent="0.25">
      <c r="A61" t="str">
        <f>A27</f>
        <v>3C Aggregated and non-CO2 emissions on land</v>
      </c>
      <c r="B61" t="str">
        <f t="shared" ref="B61:D61" si="50">B27</f>
        <v>3C1 Biomass burning (CH4)</v>
      </c>
      <c r="C61" t="s">
        <v>634</v>
      </c>
      <c r="D61" t="str">
        <f t="shared" si="50"/>
        <v>CH4</v>
      </c>
      <c r="E61" t="s">
        <v>630</v>
      </c>
      <c r="F61" s="22">
        <f t="shared" ref="F61:AK61" si="51">F27*CH4GWP</f>
        <v>1113.9523335609101</v>
      </c>
      <c r="G61" s="22">
        <f t="shared" si="51"/>
        <v>1113.9523335609101</v>
      </c>
      <c r="H61" s="22">
        <f t="shared" si="51"/>
        <v>1113.9523335609101</v>
      </c>
      <c r="I61" s="22">
        <f t="shared" si="51"/>
        <v>1113.9523335609101</v>
      </c>
      <c r="J61" s="22">
        <f t="shared" si="51"/>
        <v>1113.9523335609101</v>
      </c>
      <c r="K61" s="22">
        <f t="shared" si="51"/>
        <v>1113.9523335609101</v>
      </c>
      <c r="L61" s="22">
        <f t="shared" si="51"/>
        <v>1113.9523335609101</v>
      </c>
      <c r="M61" s="22">
        <f t="shared" si="51"/>
        <v>1113.9523335609101</v>
      </c>
      <c r="N61" s="22">
        <f t="shared" si="51"/>
        <v>1113.9523335609101</v>
      </c>
      <c r="O61" s="22">
        <f t="shared" si="51"/>
        <v>1113.9523335609101</v>
      </c>
      <c r="P61" s="22">
        <f t="shared" si="51"/>
        <v>1103.4776992955053</v>
      </c>
      <c r="Q61" s="22">
        <f t="shared" si="51"/>
        <v>1282.5517441798665</v>
      </c>
      <c r="R61" s="22">
        <f t="shared" si="51"/>
        <v>1288.9176046937982</v>
      </c>
      <c r="S61" s="22">
        <f t="shared" si="51"/>
        <v>1011.4345809085878</v>
      </c>
      <c r="T61" s="22">
        <f t="shared" si="51"/>
        <v>883.38003872679235</v>
      </c>
      <c r="U61" s="22">
        <f t="shared" si="51"/>
        <v>1412.334298727088</v>
      </c>
      <c r="V61" s="22">
        <f t="shared" si="51"/>
        <v>1236.8838978672777</v>
      </c>
      <c r="W61" s="22">
        <f t="shared" si="51"/>
        <v>1218.5771221263838</v>
      </c>
      <c r="X61" s="22">
        <f t="shared" si="51"/>
        <v>1139.8644942847</v>
      </c>
      <c r="Y61" s="22">
        <f t="shared" si="51"/>
        <v>1078.8713756473658</v>
      </c>
      <c r="Z61" s="22">
        <f t="shared" si="51"/>
        <v>1107.055106514</v>
      </c>
      <c r="AA61" s="22">
        <f t="shared" si="51"/>
        <v>1093.3943713178221</v>
      </c>
      <c r="AB61" s="22">
        <f t="shared" si="51"/>
        <v>916.39904428073066</v>
      </c>
      <c r="AC61" s="22">
        <f t="shared" si="51"/>
        <v>957.70927900519757</v>
      </c>
      <c r="AD61" s="22">
        <f t="shared" si="51"/>
        <v>944.27038684966465</v>
      </c>
      <c r="AE61" s="22">
        <f t="shared" si="51"/>
        <v>931.78327853413111</v>
      </c>
      <c r="AF61" s="22">
        <f t="shared" si="51"/>
        <v>941.79408509859809</v>
      </c>
      <c r="AG61" s="22">
        <f t="shared" si="51"/>
        <v>950.68729182306481</v>
      </c>
      <c r="AH61" s="22">
        <f t="shared" si="51"/>
        <v>953.20321518753167</v>
      </c>
      <c r="AI61" s="22">
        <f t="shared" si="51"/>
        <v>956.763261286947</v>
      </c>
      <c r="AJ61" s="22">
        <f t="shared" si="51"/>
        <v>960.32330738636199</v>
      </c>
      <c r="AK61" s="22">
        <f t="shared" si="51"/>
        <v>963.88335348577709</v>
      </c>
      <c r="AL61" s="22">
        <f t="shared" ref="AL61:BN61" si="52">AL27*CH4GWP</f>
        <v>967.44339958519208</v>
      </c>
      <c r="AM61" s="22">
        <f t="shared" si="52"/>
        <v>971.0034456846073</v>
      </c>
      <c r="AN61" s="22">
        <f t="shared" si="52"/>
        <v>974.56349178402229</v>
      </c>
      <c r="AO61" s="22">
        <f t="shared" si="52"/>
        <v>978.12353788343751</v>
      </c>
      <c r="AP61" s="22">
        <f t="shared" si="52"/>
        <v>981.68358398285261</v>
      </c>
      <c r="AQ61" s="22">
        <f t="shared" si="52"/>
        <v>985.2436300822676</v>
      </c>
      <c r="AR61" s="22">
        <f t="shared" si="52"/>
        <v>988.8036761816827</v>
      </c>
      <c r="AS61" s="22">
        <f t="shared" si="52"/>
        <v>992.36372228109781</v>
      </c>
      <c r="AT61" s="22">
        <f t="shared" si="52"/>
        <v>995.92376838051302</v>
      </c>
      <c r="AU61" s="22">
        <f t="shared" si="52"/>
        <v>999.27215253115673</v>
      </c>
      <c r="AV61" s="22">
        <f t="shared" si="52"/>
        <v>1002.6205366818004</v>
      </c>
      <c r="AW61" s="22">
        <f t="shared" si="52"/>
        <v>1005.9689208324443</v>
      </c>
      <c r="AX61" s="22">
        <f t="shared" si="52"/>
        <v>1009.317304983088</v>
      </c>
      <c r="AY61" s="22">
        <f t="shared" si="52"/>
        <v>1012.6656891337318</v>
      </c>
      <c r="AZ61" s="22">
        <f t="shared" si="52"/>
        <v>1016.0140732843756</v>
      </c>
      <c r="BA61" s="22">
        <f t="shared" si="52"/>
        <v>1019.3624574350195</v>
      </c>
      <c r="BB61" s="22">
        <f t="shared" si="52"/>
        <v>1022.710841585663</v>
      </c>
      <c r="BC61" s="22">
        <f t="shared" si="52"/>
        <v>1025.7736963097952</v>
      </c>
      <c r="BD61" s="22">
        <f t="shared" si="52"/>
        <v>1028.836551033927</v>
      </c>
      <c r="BE61" s="22">
        <f t="shared" si="52"/>
        <v>1031.8994057580592</v>
      </c>
      <c r="BF61" s="22">
        <f t="shared" si="52"/>
        <v>1034.9622604821907</v>
      </c>
      <c r="BG61" s="22">
        <f t="shared" si="52"/>
        <v>1038.0251152063229</v>
      </c>
      <c r="BH61" s="22">
        <f t="shared" si="52"/>
        <v>1041.0879699304548</v>
      </c>
      <c r="BI61" s="22">
        <f t="shared" si="52"/>
        <v>1044.1508246545868</v>
      </c>
      <c r="BJ61" s="22">
        <f t="shared" si="52"/>
        <v>1047.2136793787188</v>
      </c>
      <c r="BK61" s="22">
        <f t="shared" si="52"/>
        <v>1050.2765341028507</v>
      </c>
      <c r="BL61" s="22">
        <f t="shared" si="52"/>
        <v>1053.3393888269827</v>
      </c>
      <c r="BM61" s="22">
        <f t="shared" si="52"/>
        <v>1056.4022435511147</v>
      </c>
      <c r="BN61" s="22">
        <f t="shared" si="52"/>
        <v>1059.4650982752464</v>
      </c>
    </row>
    <row r="62" spans="1:72" x14ac:dyDescent="0.25">
      <c r="A62" t="str">
        <f>A34</f>
        <v>3C Aggregated and non-CO2 emissions on land</v>
      </c>
      <c r="B62" t="str">
        <f t="shared" ref="B62:D62" si="53">B34</f>
        <v>3C1 Biomass burning (N2O)</v>
      </c>
      <c r="C62" t="s">
        <v>635</v>
      </c>
      <c r="D62" t="str">
        <f t="shared" si="53"/>
        <v>N2O</v>
      </c>
      <c r="E62" t="s">
        <v>630</v>
      </c>
      <c r="F62" s="22">
        <f t="shared" ref="F62:AK62" si="54">F34*N2OGWP</f>
        <v>1149.3522600947301</v>
      </c>
      <c r="G62" s="22">
        <f t="shared" si="54"/>
        <v>1149.3522600947301</v>
      </c>
      <c r="H62" s="22">
        <f t="shared" si="54"/>
        <v>1149.3522600947301</v>
      </c>
      <c r="I62" s="22">
        <f t="shared" si="54"/>
        <v>1149.3522600947301</v>
      </c>
      <c r="J62" s="22">
        <f t="shared" si="54"/>
        <v>1149.3522600947301</v>
      </c>
      <c r="K62" s="22">
        <f t="shared" si="54"/>
        <v>1149.3522600947301</v>
      </c>
      <c r="L62" s="22">
        <f t="shared" si="54"/>
        <v>1149.3522600947301</v>
      </c>
      <c r="M62" s="22">
        <f t="shared" si="54"/>
        <v>1149.3522600947301</v>
      </c>
      <c r="N62" s="22">
        <f t="shared" si="54"/>
        <v>1149.3522600947301</v>
      </c>
      <c r="O62" s="22">
        <f t="shared" si="54"/>
        <v>1149.3522600947301</v>
      </c>
      <c r="P62" s="22">
        <f t="shared" si="54"/>
        <v>1138.2881924240246</v>
      </c>
      <c r="Q62" s="22">
        <f t="shared" si="54"/>
        <v>1347.8625366593228</v>
      </c>
      <c r="R62" s="22">
        <f t="shared" si="54"/>
        <v>1328.3690110437451</v>
      </c>
      <c r="S62" s="22">
        <f t="shared" si="54"/>
        <v>1017.5651134275211</v>
      </c>
      <c r="T62" s="22">
        <f t="shared" si="54"/>
        <v>914.67644691903695</v>
      </c>
      <c r="U62" s="22">
        <f t="shared" si="54"/>
        <v>1447.9112474339306</v>
      </c>
      <c r="V62" s="22">
        <f t="shared" si="54"/>
        <v>1263.4019893034997</v>
      </c>
      <c r="W62" s="22">
        <f t="shared" si="54"/>
        <v>1217.4357899565925</v>
      </c>
      <c r="X62" s="22">
        <f t="shared" si="54"/>
        <v>1180.1818937292605</v>
      </c>
      <c r="Y62" s="22">
        <f t="shared" si="54"/>
        <v>1108.1395844539597</v>
      </c>
      <c r="Z62" s="22">
        <f t="shared" si="54"/>
        <v>1121.7567904983002</v>
      </c>
      <c r="AA62" s="22">
        <f t="shared" si="54"/>
        <v>1111.0832034573957</v>
      </c>
      <c r="AB62" s="22">
        <f t="shared" si="54"/>
        <v>957.90428313424388</v>
      </c>
      <c r="AC62" s="22">
        <f t="shared" si="54"/>
        <v>993.12814482495412</v>
      </c>
      <c r="AD62" s="22">
        <f t="shared" si="54"/>
        <v>983.64299307566409</v>
      </c>
      <c r="AE62" s="22">
        <f t="shared" si="54"/>
        <v>974.93508324637412</v>
      </c>
      <c r="AF62" s="22">
        <f t="shared" si="54"/>
        <v>984.5993308570844</v>
      </c>
      <c r="AG62" s="22">
        <f t="shared" si="54"/>
        <v>993.3509285477943</v>
      </c>
      <c r="AH62" s="22">
        <f t="shared" si="54"/>
        <v>996.89473455850464</v>
      </c>
      <c r="AI62" s="22">
        <f t="shared" si="54"/>
        <v>1001.6941603201909</v>
      </c>
      <c r="AJ62" s="22">
        <f t="shared" si="54"/>
        <v>1006.4935860818769</v>
      </c>
      <c r="AK62" s="22">
        <f t="shared" si="54"/>
        <v>1011.2930118435631</v>
      </c>
      <c r="AL62" s="22">
        <f t="shared" ref="AL62:BN62" si="55">AL34*N2OGWP</f>
        <v>1016.092437605249</v>
      </c>
      <c r="AM62" s="22">
        <f t="shared" si="55"/>
        <v>1020.8918633669354</v>
      </c>
      <c r="AN62" s="22">
        <f t="shared" si="55"/>
        <v>1025.6912891286215</v>
      </c>
      <c r="AO62" s="22">
        <f t="shared" si="55"/>
        <v>1030.4907148903073</v>
      </c>
      <c r="AP62" s="22">
        <f t="shared" si="55"/>
        <v>1035.2901406519936</v>
      </c>
      <c r="AQ62" s="22">
        <f t="shared" si="55"/>
        <v>1040.0895664136797</v>
      </c>
      <c r="AR62" s="22">
        <f t="shared" si="55"/>
        <v>1044.888992175366</v>
      </c>
      <c r="AS62" s="22">
        <f t="shared" si="55"/>
        <v>1049.688417937052</v>
      </c>
      <c r="AT62" s="22">
        <f t="shared" si="55"/>
        <v>1054.4878436987378</v>
      </c>
      <c r="AU62" s="22">
        <f t="shared" si="55"/>
        <v>1059.1536620734259</v>
      </c>
      <c r="AV62" s="22">
        <f t="shared" si="55"/>
        <v>1063.8194804481134</v>
      </c>
      <c r="AW62" s="22">
        <f t="shared" si="55"/>
        <v>1068.4852988228013</v>
      </c>
      <c r="AX62" s="22">
        <f t="shared" si="55"/>
        <v>1073.1511171974894</v>
      </c>
      <c r="AY62" s="22">
        <f t="shared" si="55"/>
        <v>1077.816935572177</v>
      </c>
      <c r="AZ62" s="22">
        <f t="shared" si="55"/>
        <v>1082.4827539468647</v>
      </c>
      <c r="BA62" s="22">
        <f t="shared" si="55"/>
        <v>1087.1485723215524</v>
      </c>
      <c r="BB62" s="22">
        <f t="shared" si="55"/>
        <v>1091.8143906962403</v>
      </c>
      <c r="BC62" s="22">
        <f t="shared" si="55"/>
        <v>1096.2470411704533</v>
      </c>
      <c r="BD62" s="22">
        <f t="shared" si="55"/>
        <v>1100.6796916446663</v>
      </c>
      <c r="BE62" s="22">
        <f t="shared" si="55"/>
        <v>1105.1123421188793</v>
      </c>
      <c r="BF62" s="22">
        <f t="shared" si="55"/>
        <v>1109.5449925930925</v>
      </c>
      <c r="BG62" s="22">
        <f t="shared" si="55"/>
        <v>1113.9776430673055</v>
      </c>
      <c r="BH62" s="22">
        <f t="shared" si="55"/>
        <v>1118.4102935415185</v>
      </c>
      <c r="BI62" s="22">
        <f t="shared" si="55"/>
        <v>1122.8429440157317</v>
      </c>
      <c r="BJ62" s="22">
        <f t="shared" si="55"/>
        <v>1127.2755944899448</v>
      </c>
      <c r="BK62" s="22">
        <f t="shared" si="55"/>
        <v>1131.7082449641578</v>
      </c>
      <c r="BL62" s="22">
        <f t="shared" si="55"/>
        <v>1136.1408954383708</v>
      </c>
      <c r="BM62" s="22">
        <f t="shared" si="55"/>
        <v>1140.5735459125838</v>
      </c>
      <c r="BN62" s="22">
        <f t="shared" si="55"/>
        <v>1145.0061963867968</v>
      </c>
    </row>
    <row r="63" spans="1:72" x14ac:dyDescent="0.25">
      <c r="A63" t="str">
        <f>A41</f>
        <v>3C Aggregated and non-CO2 emissions on land</v>
      </c>
      <c r="B63" t="str">
        <f t="shared" ref="B63:F63" si="56">B41</f>
        <v>3C2 Liming (CO2)</v>
      </c>
      <c r="C63" t="s">
        <v>113</v>
      </c>
      <c r="D63" t="str">
        <f t="shared" si="56"/>
        <v>CO2</v>
      </c>
      <c r="E63" t="s">
        <v>630</v>
      </c>
      <c r="F63" s="22">
        <f t="shared" si="56"/>
        <v>357.5</v>
      </c>
      <c r="G63" s="22">
        <f t="shared" ref="G63:BN63" si="57">G41</f>
        <v>378.125</v>
      </c>
      <c r="H63" s="22">
        <f t="shared" si="57"/>
        <v>261.25</v>
      </c>
      <c r="I63" s="22">
        <f t="shared" si="57"/>
        <v>412.5</v>
      </c>
      <c r="J63" s="22">
        <f t="shared" si="57"/>
        <v>595.58170833333327</v>
      </c>
      <c r="K63" s="22">
        <f t="shared" si="57"/>
        <v>473.34145833333332</v>
      </c>
      <c r="L63" s="22">
        <f t="shared" si="57"/>
        <v>579.13625000000002</v>
      </c>
      <c r="M63" s="22">
        <f t="shared" si="57"/>
        <v>547.24312499999996</v>
      </c>
      <c r="N63" s="22">
        <f t="shared" si="57"/>
        <v>570.31379166666659</v>
      </c>
      <c r="O63" s="22">
        <f t="shared" si="57"/>
        <v>567.03808333333325</v>
      </c>
      <c r="P63" s="22">
        <f t="shared" si="57"/>
        <v>378.2405</v>
      </c>
      <c r="Q63" s="22">
        <f t="shared" si="57"/>
        <v>489.66362500000002</v>
      </c>
      <c r="R63" s="22">
        <f t="shared" si="57"/>
        <v>672.79437500000006</v>
      </c>
      <c r="S63" s="22">
        <f t="shared" si="57"/>
        <v>580.13175000000001</v>
      </c>
      <c r="T63" s="22">
        <f t="shared" si="57"/>
        <v>579.7403333333333</v>
      </c>
      <c r="U63" s="22">
        <f t="shared" si="57"/>
        <v>266.03683333333333</v>
      </c>
      <c r="V63" s="22">
        <f t="shared" si="57"/>
        <v>441.42908333333332</v>
      </c>
      <c r="W63" s="22">
        <f t="shared" si="57"/>
        <v>521.42108333333329</v>
      </c>
      <c r="X63" s="22">
        <f t="shared" si="57"/>
        <v>655.32637499999998</v>
      </c>
      <c r="Y63" s="22">
        <f t="shared" si="57"/>
        <v>695.56775237855516</v>
      </c>
      <c r="Z63" s="22">
        <f t="shared" si="57"/>
        <v>653.23730656422072</v>
      </c>
      <c r="AA63" s="22">
        <f t="shared" si="57"/>
        <v>722.61220387104663</v>
      </c>
      <c r="AB63" s="22">
        <f t="shared" si="57"/>
        <v>886.46691832724639</v>
      </c>
      <c r="AC63" s="22">
        <f t="shared" si="57"/>
        <v>888.13007321518489</v>
      </c>
      <c r="AD63" s="22">
        <f t="shared" si="57"/>
        <v>891.76991638156767</v>
      </c>
      <c r="AE63" s="22">
        <f t="shared" si="57"/>
        <v>894.55417134916399</v>
      </c>
      <c r="AF63" s="22">
        <f t="shared" si="57"/>
        <v>896.69837553273305</v>
      </c>
      <c r="AG63" s="22">
        <f t="shared" si="57"/>
        <v>898.17359300359647</v>
      </c>
      <c r="AH63" s="22">
        <f t="shared" si="57"/>
        <v>900.46989725432593</v>
      </c>
      <c r="AI63" s="22">
        <f t="shared" si="57"/>
        <v>902.57316140231558</v>
      </c>
      <c r="AJ63" s="22">
        <f t="shared" si="57"/>
        <v>904.59790205825095</v>
      </c>
      <c r="AK63" s="22">
        <f t="shared" si="57"/>
        <v>893.14096588919665</v>
      </c>
      <c r="AL63" s="22">
        <f t="shared" si="57"/>
        <v>896.98812675654415</v>
      </c>
      <c r="AM63" s="22">
        <f t="shared" si="57"/>
        <v>900.61918314592731</v>
      </c>
      <c r="AN63" s="22">
        <f t="shared" si="57"/>
        <v>904.27800387898264</v>
      </c>
      <c r="AO63" s="22">
        <f t="shared" si="57"/>
        <v>908.13278048853169</v>
      </c>
      <c r="AP63" s="22">
        <f t="shared" si="57"/>
        <v>912.29434692859604</v>
      </c>
      <c r="AQ63" s="22">
        <f t="shared" si="57"/>
        <v>916.52179055629131</v>
      </c>
      <c r="AR63" s="22">
        <f t="shared" si="57"/>
        <v>920.92315021200898</v>
      </c>
      <c r="AS63" s="22">
        <f t="shared" si="57"/>
        <v>925.51488926020909</v>
      </c>
      <c r="AT63" s="22">
        <f t="shared" si="57"/>
        <v>930.52126939527659</v>
      </c>
      <c r="AU63" s="22">
        <f t="shared" si="57"/>
        <v>935.40747983360666</v>
      </c>
      <c r="AV63" s="22">
        <f t="shared" si="57"/>
        <v>940.90186450173564</v>
      </c>
      <c r="AW63" s="22">
        <f t="shared" si="57"/>
        <v>946.45147388466739</v>
      </c>
      <c r="AX63" s="22">
        <f t="shared" si="57"/>
        <v>952.02869730436089</v>
      </c>
      <c r="AY63" s="22">
        <f t="shared" si="57"/>
        <v>957.60677503932789</v>
      </c>
      <c r="AZ63" s="22">
        <f t="shared" si="57"/>
        <v>962.71821835850994</v>
      </c>
      <c r="BA63" s="22">
        <f t="shared" si="57"/>
        <v>967.91492690796179</v>
      </c>
      <c r="BB63" s="22">
        <f t="shared" si="57"/>
        <v>973.32240759346337</v>
      </c>
      <c r="BC63" s="22">
        <f t="shared" si="57"/>
        <v>978.83705834511602</v>
      </c>
      <c r="BD63" s="22">
        <f t="shared" si="57"/>
        <v>984.13561529177809</v>
      </c>
      <c r="BE63" s="22">
        <f t="shared" si="57"/>
        <v>989.39761451907123</v>
      </c>
      <c r="BF63" s="22">
        <f t="shared" si="57"/>
        <v>994.71659544231227</v>
      </c>
      <c r="BG63" s="22">
        <f t="shared" si="57"/>
        <v>1000.1498375580049</v>
      </c>
      <c r="BH63" s="22">
        <f t="shared" si="57"/>
        <v>1005.7401262744585</v>
      </c>
      <c r="BI63" s="22">
        <f t="shared" si="57"/>
        <v>1011.4534796507485</v>
      </c>
      <c r="BJ63" s="22">
        <f t="shared" si="57"/>
        <v>1017.3845414628061</v>
      </c>
      <c r="BK63" s="22">
        <f t="shared" si="57"/>
        <v>1023.4513496721164</v>
      </c>
      <c r="BL63" s="22">
        <f t="shared" si="57"/>
        <v>1029.6005884210319</v>
      </c>
      <c r="BM63" s="22">
        <f t="shared" si="57"/>
        <v>1035.5741103324806</v>
      </c>
      <c r="BN63" s="22">
        <f t="shared" si="57"/>
        <v>1041.6434767768121</v>
      </c>
    </row>
    <row r="64" spans="1:72" x14ac:dyDescent="0.25">
      <c r="A64" t="str">
        <f>A42</f>
        <v>3C Aggregated and non-CO2 emissions on land</v>
      </c>
      <c r="B64" t="str">
        <f>B42</f>
        <v>3C3 Urea application (CO2)</v>
      </c>
      <c r="C64" t="s">
        <v>636</v>
      </c>
      <c r="D64" t="str">
        <f>D42</f>
        <v>CO2</v>
      </c>
      <c r="E64" t="s">
        <v>630</v>
      </c>
      <c r="F64" s="22">
        <f>F42</f>
        <v>90.994567483487728</v>
      </c>
      <c r="G64" s="22">
        <f t="shared" ref="G64:BN64" si="58">G42</f>
        <v>111.62690198838213</v>
      </c>
      <c r="H64" s="22">
        <f t="shared" si="58"/>
        <v>132.25923649327655</v>
      </c>
      <c r="I64" s="22">
        <f t="shared" si="58"/>
        <v>152.89157099816552</v>
      </c>
      <c r="J64" s="22">
        <f t="shared" si="58"/>
        <v>173.52390550305992</v>
      </c>
      <c r="K64" s="22">
        <f t="shared" si="58"/>
        <v>194.15624000795432</v>
      </c>
      <c r="L64" s="22">
        <f t="shared" si="58"/>
        <v>214.78857451284878</v>
      </c>
      <c r="M64" s="22">
        <f t="shared" si="58"/>
        <v>235.42090901774316</v>
      </c>
      <c r="N64" s="22">
        <f t="shared" si="58"/>
        <v>256.05324352263762</v>
      </c>
      <c r="O64" s="22">
        <f t="shared" si="58"/>
        <v>276.68557802753202</v>
      </c>
      <c r="P64" s="22">
        <f t="shared" si="58"/>
        <v>297.31791253242642</v>
      </c>
      <c r="Q64" s="22">
        <f t="shared" si="58"/>
        <v>317.95024703732088</v>
      </c>
      <c r="R64" s="22">
        <f t="shared" si="58"/>
        <v>338.58258154220977</v>
      </c>
      <c r="S64" s="22">
        <f t="shared" si="58"/>
        <v>359.21491604710423</v>
      </c>
      <c r="T64" s="22">
        <f t="shared" si="58"/>
        <v>435.89846666666671</v>
      </c>
      <c r="U64" s="22">
        <f t="shared" si="58"/>
        <v>355.08659999999998</v>
      </c>
      <c r="V64" s="22">
        <f t="shared" si="58"/>
        <v>393.08573333333334</v>
      </c>
      <c r="W64" s="22">
        <f t="shared" si="58"/>
        <v>484.55366666666663</v>
      </c>
      <c r="X64" s="22">
        <f t="shared" si="58"/>
        <v>480.19253333333336</v>
      </c>
      <c r="Y64" s="22">
        <f t="shared" si="58"/>
        <v>380.54426666666666</v>
      </c>
      <c r="Z64" s="22">
        <f t="shared" si="58"/>
        <v>501.48046666666664</v>
      </c>
      <c r="AA64" s="22">
        <f t="shared" si="58"/>
        <v>571.19113333333337</v>
      </c>
      <c r="AB64" s="22">
        <f t="shared" si="58"/>
        <v>470.0955092083982</v>
      </c>
      <c r="AC64" s="22">
        <f t="shared" si="58"/>
        <v>470.05360463465496</v>
      </c>
      <c r="AD64" s="22">
        <f t="shared" si="58"/>
        <v>469.96189575204556</v>
      </c>
      <c r="AE64" s="22">
        <f t="shared" si="58"/>
        <v>469.89174412728971</v>
      </c>
      <c r="AF64" s="22">
        <f t="shared" si="58"/>
        <v>469.83771911555891</v>
      </c>
      <c r="AG64" s="22">
        <f t="shared" si="58"/>
        <v>469.8005497816963</v>
      </c>
      <c r="AH64" s="22">
        <f t="shared" si="58"/>
        <v>469.74269248198868</v>
      </c>
      <c r="AI64" s="22">
        <f t="shared" si="58"/>
        <v>469.68969898858052</v>
      </c>
      <c r="AJ64" s="22">
        <f t="shared" si="58"/>
        <v>469.63868396000873</v>
      </c>
      <c r="AK64" s="22">
        <f t="shared" si="58"/>
        <v>469.92735101684696</v>
      </c>
      <c r="AL64" s="22">
        <f t="shared" si="58"/>
        <v>469.83041859194958</v>
      </c>
      <c r="AM64" s="22">
        <f t="shared" si="58"/>
        <v>469.73893109951086</v>
      </c>
      <c r="AN64" s="22">
        <f t="shared" si="58"/>
        <v>469.64674406129018</v>
      </c>
      <c r="AO64" s="22">
        <f t="shared" si="58"/>
        <v>469.54961975141981</v>
      </c>
      <c r="AP64" s="22">
        <f t="shared" si="58"/>
        <v>469.44476561604154</v>
      </c>
      <c r="AQ64" s="22">
        <f t="shared" si="58"/>
        <v>469.33825165000826</v>
      </c>
      <c r="AR64" s="22">
        <f t="shared" si="58"/>
        <v>469.22735572467934</v>
      </c>
      <c r="AS64" s="22">
        <f t="shared" si="58"/>
        <v>469.11166303186383</v>
      </c>
      <c r="AT64" s="22">
        <f t="shared" si="58"/>
        <v>468.98552311123592</v>
      </c>
      <c r="AU64" s="22">
        <f t="shared" si="58"/>
        <v>468.86241096628623</v>
      </c>
      <c r="AV64" s="22">
        <f t="shared" si="58"/>
        <v>468.72397536466616</v>
      </c>
      <c r="AW64" s="22">
        <f t="shared" si="58"/>
        <v>468.58414833032333</v>
      </c>
      <c r="AX64" s="22">
        <f t="shared" si="58"/>
        <v>468.4436255373065</v>
      </c>
      <c r="AY64" s="22">
        <f t="shared" si="58"/>
        <v>468.30308121910412</v>
      </c>
      <c r="AZ64" s="22">
        <f t="shared" si="58"/>
        <v>468.17429414397589</v>
      </c>
      <c r="BA64" s="22">
        <f t="shared" si="58"/>
        <v>468.04335874029715</v>
      </c>
      <c r="BB64" s="22">
        <f t="shared" si="58"/>
        <v>467.90711275695918</v>
      </c>
      <c r="BC64" s="22">
        <f t="shared" si="58"/>
        <v>467.76816653447167</v>
      </c>
      <c r="BD64" s="22">
        <f t="shared" si="58"/>
        <v>467.63466497552838</v>
      </c>
      <c r="BE64" s="22">
        <f t="shared" si="58"/>
        <v>467.50208451879763</v>
      </c>
      <c r="BF64" s="22">
        <f t="shared" si="58"/>
        <v>467.36806836073987</v>
      </c>
      <c r="BG64" s="22">
        <f t="shared" si="58"/>
        <v>467.23117329669452</v>
      </c>
      <c r="BH64" s="22">
        <f t="shared" si="58"/>
        <v>467.0903213126349</v>
      </c>
      <c r="BI64" s="22">
        <f t="shared" si="58"/>
        <v>466.94636861188889</v>
      </c>
      <c r="BJ64" s="22">
        <f t="shared" si="58"/>
        <v>466.79693056563036</v>
      </c>
      <c r="BK64" s="22">
        <f t="shared" si="58"/>
        <v>466.64407227574009</v>
      </c>
      <c r="BL64" s="22">
        <f t="shared" si="58"/>
        <v>466.48913707969359</v>
      </c>
      <c r="BM64" s="22">
        <f t="shared" si="58"/>
        <v>466.3386292158379</v>
      </c>
      <c r="BN64" s="22">
        <f t="shared" si="58"/>
        <v>466.18570646908381</v>
      </c>
    </row>
    <row r="65" spans="1:72" x14ac:dyDescent="0.25">
      <c r="A65" t="str">
        <f>A43</f>
        <v>3C Aggregated and non-CO2 emissions on land</v>
      </c>
      <c r="B65" t="str">
        <f>B43</f>
        <v>3C4 Direct N2O from managed soils (N2O)</v>
      </c>
      <c r="C65" t="s">
        <v>637</v>
      </c>
      <c r="D65" t="str">
        <f>D43</f>
        <v>N2O</v>
      </c>
      <c r="E65" t="s">
        <v>630</v>
      </c>
      <c r="F65" s="22">
        <f t="shared" ref="F65:AK65" si="59">F43*N2OGWP</f>
        <v>17234.945188957758</v>
      </c>
      <c r="G65" s="22">
        <f t="shared" si="59"/>
        <v>17138.765396452436</v>
      </c>
      <c r="H65" s="22">
        <f t="shared" si="59"/>
        <v>16960.127770495583</v>
      </c>
      <c r="I65" s="22">
        <f t="shared" si="59"/>
        <v>16803.735149602126</v>
      </c>
      <c r="J65" s="22">
        <f t="shared" si="59"/>
        <v>16399.077593729395</v>
      </c>
      <c r="K65" s="22">
        <f t="shared" si="59"/>
        <v>16093.852453046611</v>
      </c>
      <c r="L65" s="22">
        <f t="shared" si="59"/>
        <v>16787.257516886875</v>
      </c>
      <c r="M65" s="22">
        <f t="shared" si="59"/>
        <v>17078.559429282075</v>
      </c>
      <c r="N65" s="22">
        <f t="shared" si="59"/>
        <v>17190.260728412712</v>
      </c>
      <c r="O65" s="22">
        <f t="shared" si="59"/>
        <v>17155.676993630408</v>
      </c>
      <c r="P65" s="22">
        <f t="shared" si="59"/>
        <v>17021.790519603233</v>
      </c>
      <c r="Q65" s="22">
        <f t="shared" si="59"/>
        <v>16558.862650160001</v>
      </c>
      <c r="R65" s="22">
        <f t="shared" si="59"/>
        <v>16957.948472333181</v>
      </c>
      <c r="S65" s="22">
        <f t="shared" si="59"/>
        <v>16769.907146505077</v>
      </c>
      <c r="T65" s="22">
        <f t="shared" si="59"/>
        <v>16584.658063779349</v>
      </c>
      <c r="U65" s="22">
        <f t="shared" si="59"/>
        <v>16201.588190693865</v>
      </c>
      <c r="V65" s="22">
        <f t="shared" si="59"/>
        <v>16229.541461457171</v>
      </c>
      <c r="W65" s="22">
        <f t="shared" si="59"/>
        <v>16847.135336493091</v>
      </c>
      <c r="X65" s="22">
        <f t="shared" si="59"/>
        <v>16894.02920900529</v>
      </c>
      <c r="Y65" s="22">
        <f t="shared" si="59"/>
        <v>16779.254174947899</v>
      </c>
      <c r="Z65" s="22">
        <f t="shared" si="59"/>
        <v>16465.845558736135</v>
      </c>
      <c r="AA65" s="22">
        <f t="shared" si="59"/>
        <v>16468.339195121422</v>
      </c>
      <c r="AB65" s="22">
        <f t="shared" si="59"/>
        <v>17153.111828158046</v>
      </c>
      <c r="AC65" s="22">
        <f t="shared" si="59"/>
        <v>17146.132911272241</v>
      </c>
      <c r="AD65" s="22">
        <f t="shared" si="59"/>
        <v>17073.768964315052</v>
      </c>
      <c r="AE65" s="22">
        <f t="shared" si="59"/>
        <v>16953.967166378519</v>
      </c>
      <c r="AF65" s="22">
        <f t="shared" si="59"/>
        <v>16786.868198863645</v>
      </c>
      <c r="AG65" s="22">
        <f t="shared" si="59"/>
        <v>16690.47541552264</v>
      </c>
      <c r="AH65" s="22">
        <f t="shared" si="59"/>
        <v>16583.692197255616</v>
      </c>
      <c r="AI65" s="22">
        <f t="shared" si="59"/>
        <v>16474.604749496732</v>
      </c>
      <c r="AJ65" s="22">
        <f t="shared" si="59"/>
        <v>15415.858401023006</v>
      </c>
      <c r="AK65" s="22">
        <f t="shared" si="59"/>
        <v>15516.097670977959</v>
      </c>
      <c r="AL65" s="22">
        <f t="shared" ref="AL65:BN65" si="60">AL43*N2OGWP</f>
        <v>15615.27454129774</v>
      </c>
      <c r="AM65" s="22">
        <f t="shared" si="60"/>
        <v>15717.561384084251</v>
      </c>
      <c r="AN65" s="22">
        <f t="shared" si="60"/>
        <v>15834.514405367492</v>
      </c>
      <c r="AO65" s="22">
        <f t="shared" si="60"/>
        <v>15973.809601908702</v>
      </c>
      <c r="AP65" s="22">
        <f t="shared" si="60"/>
        <v>16116.086758467682</v>
      </c>
      <c r="AQ65" s="22">
        <f t="shared" si="60"/>
        <v>16271.54440974946</v>
      </c>
      <c r="AR65" s="22">
        <f t="shared" si="60"/>
        <v>16441.534765825589</v>
      </c>
      <c r="AS65" s="22">
        <f t="shared" si="60"/>
        <v>16641.979407821393</v>
      </c>
      <c r="AT65" s="22">
        <f t="shared" si="60"/>
        <v>16835.931967166794</v>
      </c>
      <c r="AU65" s="22">
        <f t="shared" si="60"/>
        <v>17004.198582612222</v>
      </c>
      <c r="AV65" s="22">
        <f t="shared" si="60"/>
        <v>17174.922472649669</v>
      </c>
      <c r="AW65" s="22">
        <f t="shared" si="60"/>
        <v>17345.628307583673</v>
      </c>
      <c r="AX65" s="22">
        <f t="shared" si="60"/>
        <v>17514.28408366453</v>
      </c>
      <c r="AY65" s="22">
        <f t="shared" si="60"/>
        <v>17647.099495562226</v>
      </c>
      <c r="AZ65" s="22">
        <f t="shared" si="60"/>
        <v>17780.779596080807</v>
      </c>
      <c r="BA65" s="22">
        <f t="shared" si="60"/>
        <v>17927.052852009587</v>
      </c>
      <c r="BB65" s="22">
        <f t="shared" si="60"/>
        <v>18078.511859361184</v>
      </c>
      <c r="BC65" s="22">
        <f t="shared" si="60"/>
        <v>18211.500439459345</v>
      </c>
      <c r="BD65" s="22">
        <f t="shared" si="60"/>
        <v>18338.583946401486</v>
      </c>
      <c r="BE65" s="22">
        <f t="shared" si="60"/>
        <v>18509.762183328548</v>
      </c>
      <c r="BF65" s="22">
        <f t="shared" si="60"/>
        <v>18688.535722073328</v>
      </c>
      <c r="BG65" s="22">
        <f t="shared" si="60"/>
        <v>18878.229149136652</v>
      </c>
      <c r="BH65" s="22">
        <f t="shared" si="60"/>
        <v>19076.515291550477</v>
      </c>
      <c r="BI65" s="22">
        <f t="shared" si="60"/>
        <v>19290.676301316245</v>
      </c>
      <c r="BJ65" s="22">
        <f t="shared" si="60"/>
        <v>19512.63615586971</v>
      </c>
      <c r="BK65" s="22">
        <f t="shared" si="60"/>
        <v>19740.662149897944</v>
      </c>
      <c r="BL65" s="22">
        <f t="shared" si="60"/>
        <v>19954.654066234758</v>
      </c>
      <c r="BM65" s="22">
        <f t="shared" si="60"/>
        <v>20175.297261249339</v>
      </c>
      <c r="BN65" s="22">
        <f t="shared" si="60"/>
        <v>20406.70319988938</v>
      </c>
    </row>
    <row r="66" spans="1:72" x14ac:dyDescent="0.25">
      <c r="A66" t="str">
        <f>A49</f>
        <v>3C Aggregated and non-CO2 emissions on land</v>
      </c>
      <c r="B66" t="str">
        <f t="shared" ref="B66:D66" si="61">B49</f>
        <v>3C5 Indirect N2O from managed soils (N2O)</v>
      </c>
      <c r="C66" t="s">
        <v>639</v>
      </c>
      <c r="D66" t="str">
        <f t="shared" si="61"/>
        <v>N2O</v>
      </c>
      <c r="E66" t="s">
        <v>630</v>
      </c>
      <c r="F66" s="22">
        <f t="shared" ref="F66:AK66" si="62">F49*N2OGWP</f>
        <v>2234.5052500528623</v>
      </c>
      <c r="G66" s="22">
        <f t="shared" si="62"/>
        <v>2211.6980958305289</v>
      </c>
      <c r="H66" s="22">
        <f t="shared" si="62"/>
        <v>2169.3378787889174</v>
      </c>
      <c r="I66" s="22">
        <f t="shared" si="62"/>
        <v>2126.2561830378841</v>
      </c>
      <c r="J66" s="22">
        <f t="shared" si="62"/>
        <v>2070.6768821954438</v>
      </c>
      <c r="K66" s="22">
        <f t="shared" si="62"/>
        <v>2062.5720723240188</v>
      </c>
      <c r="L66" s="22">
        <f t="shared" si="62"/>
        <v>2132.94216183253</v>
      </c>
      <c r="M66" s="22">
        <f t="shared" si="62"/>
        <v>2154.8913400426786</v>
      </c>
      <c r="N66" s="22">
        <f t="shared" si="62"/>
        <v>2185.5347534707471</v>
      </c>
      <c r="O66" s="22">
        <f t="shared" si="62"/>
        <v>2179.6281008084297</v>
      </c>
      <c r="P66" s="22">
        <f t="shared" si="62"/>
        <v>2155.7364466862405</v>
      </c>
      <c r="Q66" s="22">
        <f t="shared" si="62"/>
        <v>2118.7727412938139</v>
      </c>
      <c r="R66" s="22">
        <f t="shared" si="62"/>
        <v>2149.2536347032101</v>
      </c>
      <c r="S66" s="22">
        <f t="shared" si="62"/>
        <v>2127.4292286069426</v>
      </c>
      <c r="T66" s="22">
        <f t="shared" si="62"/>
        <v>2110.5878909746098</v>
      </c>
      <c r="U66" s="22">
        <f t="shared" si="62"/>
        <v>2072.1483225191987</v>
      </c>
      <c r="V66" s="22">
        <f t="shared" si="62"/>
        <v>2101.905941836299</v>
      </c>
      <c r="W66" s="22">
        <f t="shared" si="62"/>
        <v>2151.2208658093541</v>
      </c>
      <c r="X66" s="22">
        <f t="shared" si="62"/>
        <v>2156.0457121558738</v>
      </c>
      <c r="Y66" s="22">
        <f t="shared" si="62"/>
        <v>2149.2138525216237</v>
      </c>
      <c r="Z66" s="22">
        <f t="shared" si="62"/>
        <v>2105.3949279528888</v>
      </c>
      <c r="AA66" s="22">
        <f t="shared" si="62"/>
        <v>2110.5059697888632</v>
      </c>
      <c r="AB66" s="22">
        <f t="shared" si="62"/>
        <v>2051.0678678345998</v>
      </c>
      <c r="AC66" s="22">
        <f t="shared" si="62"/>
        <v>2051.940895119882</v>
      </c>
      <c r="AD66" s="22">
        <f t="shared" si="62"/>
        <v>2044.779893611696</v>
      </c>
      <c r="AE66" s="22">
        <f t="shared" si="62"/>
        <v>2031.9808792189119</v>
      </c>
      <c r="AF66" s="22">
        <f t="shared" si="62"/>
        <v>2013.5085146859269</v>
      </c>
      <c r="AG66" s="22">
        <f t="shared" si="62"/>
        <v>2003.9762628432791</v>
      </c>
      <c r="AH66" s="22">
        <f t="shared" si="62"/>
        <v>1993.1701016708475</v>
      </c>
      <c r="AI66" s="22">
        <f t="shared" si="62"/>
        <v>1982.1724323787996</v>
      </c>
      <c r="AJ66" s="22">
        <f t="shared" si="62"/>
        <v>1852.7442801053066</v>
      </c>
      <c r="AK66" s="22">
        <f t="shared" si="62"/>
        <v>1867.3801667070722</v>
      </c>
      <c r="AL66" s="22">
        <f t="shared" ref="AL66:BN66" si="63">AL49*N2OGWP</f>
        <v>1880.7436154622681</v>
      </c>
      <c r="AM66" s="22">
        <f t="shared" si="63"/>
        <v>1894.5953563829098</v>
      </c>
      <c r="AN66" s="22">
        <f t="shared" si="63"/>
        <v>1910.3626485417196</v>
      </c>
      <c r="AO66" s="22">
        <f t="shared" si="63"/>
        <v>1928.9983844953956</v>
      </c>
      <c r="AP66" s="22">
        <f t="shared" si="63"/>
        <v>1947.8320913176492</v>
      </c>
      <c r="AQ66" s="22">
        <f t="shared" si="63"/>
        <v>1968.4010602292908</v>
      </c>
      <c r="AR66" s="22">
        <f t="shared" si="63"/>
        <v>1990.8707822731062</v>
      </c>
      <c r="AS66" s="22">
        <f t="shared" si="63"/>
        <v>2017.250280768953</v>
      </c>
      <c r="AT66" s="22">
        <f t="shared" si="63"/>
        <v>2042.8744364216575</v>
      </c>
      <c r="AU66" s="22">
        <f t="shared" si="63"/>
        <v>2066.0139536947859</v>
      </c>
      <c r="AV66" s="22">
        <f t="shared" si="63"/>
        <v>2089.5756028648739</v>
      </c>
      <c r="AW66" s="22">
        <f t="shared" si="63"/>
        <v>2113.2963857884201</v>
      </c>
      <c r="AX66" s="22">
        <f t="shared" si="63"/>
        <v>2136.9251746229447</v>
      </c>
      <c r="AY66" s="22">
        <f t="shared" si="63"/>
        <v>2156.1664233183942</v>
      </c>
      <c r="AZ66" s="22">
        <f t="shared" si="63"/>
        <v>2175.5437433806578</v>
      </c>
      <c r="BA66" s="22">
        <f t="shared" si="63"/>
        <v>2196.6920606419421</v>
      </c>
      <c r="BB66" s="22">
        <f t="shared" si="63"/>
        <v>2218.6684160952368</v>
      </c>
      <c r="BC66" s="22">
        <f t="shared" si="63"/>
        <v>2238.4550462328193</v>
      </c>
      <c r="BD66" s="22">
        <f t="shared" si="63"/>
        <v>2257.6867942344484</v>
      </c>
      <c r="BE66" s="22">
        <f t="shared" si="63"/>
        <v>2281.9510290058411</v>
      </c>
      <c r="BF66" s="22">
        <f t="shared" si="63"/>
        <v>2307.350931223104</v>
      </c>
      <c r="BG66" s="22">
        <f t="shared" si="63"/>
        <v>2334.3223857215771</v>
      </c>
      <c r="BH66" s="22">
        <f t="shared" si="63"/>
        <v>2362.5734712786107</v>
      </c>
      <c r="BI66" s="22">
        <f t="shared" si="63"/>
        <v>2393.0658361930518</v>
      </c>
      <c r="BJ66" s="22">
        <f t="shared" si="63"/>
        <v>2424.6029961725962</v>
      </c>
      <c r="BK66" s="22">
        <f t="shared" si="63"/>
        <v>2457.1357752696126</v>
      </c>
      <c r="BL66" s="22">
        <f t="shared" si="63"/>
        <v>2488.0520342715931</v>
      </c>
      <c r="BM66" s="22">
        <f t="shared" si="63"/>
        <v>2520.0812011802345</v>
      </c>
      <c r="BN66" s="22">
        <f t="shared" si="63"/>
        <v>2553.7548059589308</v>
      </c>
    </row>
    <row r="67" spans="1:72" x14ac:dyDescent="0.25">
      <c r="A67" t="str">
        <f>A52</f>
        <v>3C Aggregated and non-CO2 emissions on land</v>
      </c>
      <c r="B67" t="str">
        <f t="shared" ref="B67:D67" si="64">B52</f>
        <v>3C6 Indirect N2O from manure management (N2O)</v>
      </c>
      <c r="C67" t="s">
        <v>638</v>
      </c>
      <c r="D67" t="str">
        <f t="shared" si="64"/>
        <v>N2O</v>
      </c>
      <c r="E67" t="s">
        <v>630</v>
      </c>
      <c r="F67" s="22">
        <f t="shared" ref="F67:AK67" si="65">F52*N2OGWP</f>
        <v>339.46668586955047</v>
      </c>
      <c r="G67" s="22">
        <f t="shared" si="65"/>
        <v>361.42056329374225</v>
      </c>
      <c r="H67" s="22">
        <f t="shared" si="65"/>
        <v>336.30759122420466</v>
      </c>
      <c r="I67" s="22">
        <f t="shared" si="65"/>
        <v>348.82410338247314</v>
      </c>
      <c r="J67" s="22">
        <f t="shared" si="65"/>
        <v>332.77692549973614</v>
      </c>
      <c r="K67" s="22">
        <f t="shared" si="65"/>
        <v>351.17073353759787</v>
      </c>
      <c r="L67" s="22">
        <f t="shared" si="65"/>
        <v>366.95943819746714</v>
      </c>
      <c r="M67" s="22">
        <f t="shared" si="65"/>
        <v>363.69601469759795</v>
      </c>
      <c r="N67" s="22">
        <f t="shared" si="65"/>
        <v>372.77723801175745</v>
      </c>
      <c r="O67" s="22">
        <f t="shared" si="65"/>
        <v>376.69225137169252</v>
      </c>
      <c r="P67" s="22">
        <f t="shared" si="65"/>
        <v>416.19353174110165</v>
      </c>
      <c r="Q67" s="22">
        <f t="shared" si="65"/>
        <v>413.8758977418791</v>
      </c>
      <c r="R67" s="22">
        <f t="shared" si="65"/>
        <v>402.12489933360166</v>
      </c>
      <c r="S67" s="22">
        <f t="shared" si="65"/>
        <v>382.08437212452515</v>
      </c>
      <c r="T67" s="22">
        <f t="shared" si="65"/>
        <v>379.738143309794</v>
      </c>
      <c r="U67" s="22">
        <f t="shared" si="65"/>
        <v>398.98840509467396</v>
      </c>
      <c r="V67" s="22">
        <f t="shared" si="65"/>
        <v>404.11898883233295</v>
      </c>
      <c r="W67" s="22">
        <f t="shared" si="65"/>
        <v>412.20171589966418</v>
      </c>
      <c r="X67" s="22">
        <f t="shared" si="65"/>
        <v>446.09004051714021</v>
      </c>
      <c r="Y67" s="22">
        <f t="shared" si="65"/>
        <v>443.47274862625261</v>
      </c>
      <c r="Z67" s="22">
        <f t="shared" si="65"/>
        <v>446.04525464561482</v>
      </c>
      <c r="AA67" s="22">
        <f t="shared" si="65"/>
        <v>451.47082982836986</v>
      </c>
      <c r="AB67" s="22">
        <f t="shared" si="65"/>
        <v>464.03314025362334</v>
      </c>
      <c r="AC67" s="22">
        <f t="shared" si="65"/>
        <v>470.74692279600737</v>
      </c>
      <c r="AD67" s="22">
        <f t="shared" si="65"/>
        <v>474.75107134393465</v>
      </c>
      <c r="AE67" s="22">
        <f t="shared" si="65"/>
        <v>476.75127722764495</v>
      </c>
      <c r="AF67" s="22">
        <f t="shared" si="65"/>
        <v>476.62760460671797</v>
      </c>
      <c r="AG67" s="22">
        <f t="shared" si="65"/>
        <v>479.53386545418641</v>
      </c>
      <c r="AH67" s="22">
        <f t="shared" si="65"/>
        <v>481.95342822494081</v>
      </c>
      <c r="AI67" s="22">
        <f t="shared" si="65"/>
        <v>484.26748192263403</v>
      </c>
      <c r="AJ67" s="22">
        <f t="shared" si="65"/>
        <v>441.36083328369602</v>
      </c>
      <c r="AK67" s="22">
        <f t="shared" si="65"/>
        <v>450.0429781153444</v>
      </c>
      <c r="AL67" s="22">
        <f t="shared" ref="AL67:BN67" si="66">AL52*N2OGWP</f>
        <v>458.19979900711405</v>
      </c>
      <c r="AM67" s="22">
        <f t="shared" si="66"/>
        <v>466.62632391489285</v>
      </c>
      <c r="AN67" s="22">
        <f t="shared" si="66"/>
        <v>475.89605825830165</v>
      </c>
      <c r="AO67" s="22">
        <f t="shared" si="66"/>
        <v>486.41489612931849</v>
      </c>
      <c r="AP67" s="22">
        <f t="shared" si="66"/>
        <v>497.45832153775757</v>
      </c>
      <c r="AQ67" s="22">
        <f t="shared" si="66"/>
        <v>509.34927835887351</v>
      </c>
      <c r="AR67" s="22">
        <f t="shared" si="66"/>
        <v>522.17948977130879</v>
      </c>
      <c r="AS67" s="22">
        <f t="shared" si="66"/>
        <v>536.81168037231578</v>
      </c>
      <c r="AT67" s="22">
        <f t="shared" si="66"/>
        <v>551.33461072316459</v>
      </c>
      <c r="AU67" s="22">
        <f t="shared" si="66"/>
        <v>568.6173636641762</v>
      </c>
      <c r="AV67" s="22">
        <f t="shared" si="66"/>
        <v>586.55880441360762</v>
      </c>
      <c r="AW67" s="22">
        <f t="shared" si="66"/>
        <v>605.07560614156171</v>
      </c>
      <c r="AX67" s="22">
        <f t="shared" si="66"/>
        <v>624.07908606319859</v>
      </c>
      <c r="AY67" s="22">
        <f t="shared" si="66"/>
        <v>641.62773286659296</v>
      </c>
      <c r="AZ67" s="22">
        <f t="shared" si="66"/>
        <v>660.01370639383867</v>
      </c>
      <c r="BA67" s="22">
        <f t="shared" si="66"/>
        <v>679.76971820916287</v>
      </c>
      <c r="BB67" s="22">
        <f t="shared" si="66"/>
        <v>700.50755292860038</v>
      </c>
      <c r="BC67" s="22">
        <f t="shared" si="66"/>
        <v>720.79809329537272</v>
      </c>
      <c r="BD67" s="22">
        <f t="shared" si="66"/>
        <v>741.42764014053023</v>
      </c>
      <c r="BE67" s="22">
        <f t="shared" si="66"/>
        <v>762.83486414126935</v>
      </c>
      <c r="BF67" s="22">
        <f t="shared" si="66"/>
        <v>785.33426557265557</v>
      </c>
      <c r="BG67" s="22">
        <f t="shared" si="66"/>
        <v>809.19309153023119</v>
      </c>
      <c r="BH67" s="22">
        <f t="shared" si="66"/>
        <v>834.31014417537165</v>
      </c>
      <c r="BI67" s="22">
        <f t="shared" si="66"/>
        <v>861.247916256439</v>
      </c>
      <c r="BJ67" s="22">
        <f t="shared" si="66"/>
        <v>889.71400032494023</v>
      </c>
      <c r="BK67" s="22">
        <f t="shared" si="66"/>
        <v>919.45359819710052</v>
      </c>
      <c r="BL67" s="22">
        <f t="shared" si="66"/>
        <v>949.05878349660406</v>
      </c>
      <c r="BM67" s="22">
        <f t="shared" si="66"/>
        <v>980.06385156923795</v>
      </c>
      <c r="BN67" s="22">
        <f t="shared" si="66"/>
        <v>1012.8261296420171</v>
      </c>
    </row>
    <row r="70" spans="1:72" s="19" customFormat="1" ht="15.75" x14ac:dyDescent="0.25">
      <c r="A70" s="17" t="s">
        <v>716</v>
      </c>
      <c r="B70" s="17"/>
      <c r="C70" s="17"/>
      <c r="D70" s="17"/>
      <c r="E70" s="17"/>
      <c r="F70" s="17">
        <v>1990</v>
      </c>
      <c r="G70" s="17">
        <v>1991</v>
      </c>
      <c r="H70" s="17">
        <v>1992</v>
      </c>
      <c r="I70" s="17">
        <v>1993</v>
      </c>
      <c r="J70" s="17">
        <v>1994</v>
      </c>
      <c r="K70" s="17">
        <v>1995</v>
      </c>
      <c r="L70" s="17">
        <v>1996</v>
      </c>
      <c r="M70" s="17">
        <v>1997</v>
      </c>
      <c r="N70" s="17">
        <v>1998</v>
      </c>
      <c r="O70" s="17">
        <v>1999</v>
      </c>
      <c r="P70" s="17">
        <v>2000</v>
      </c>
      <c r="Q70" s="17">
        <v>2001</v>
      </c>
      <c r="R70" s="17">
        <v>2002</v>
      </c>
      <c r="S70" s="17">
        <v>2003</v>
      </c>
      <c r="T70" s="17">
        <v>2004</v>
      </c>
      <c r="U70" s="17">
        <v>2005</v>
      </c>
      <c r="V70" s="17">
        <v>2006</v>
      </c>
      <c r="W70" s="17">
        <v>2007</v>
      </c>
      <c r="X70" s="17">
        <v>2008</v>
      </c>
      <c r="Y70" s="17">
        <v>2009</v>
      </c>
      <c r="Z70" s="17">
        <v>2010</v>
      </c>
      <c r="AA70" s="17">
        <v>2011</v>
      </c>
      <c r="AB70" s="17">
        <v>2012</v>
      </c>
      <c r="AC70" s="17">
        <v>2013</v>
      </c>
      <c r="AD70" s="17">
        <v>2014</v>
      </c>
      <c r="AE70" s="17">
        <v>2015</v>
      </c>
      <c r="AF70" s="17">
        <v>2016</v>
      </c>
      <c r="AG70" s="17">
        <v>2017</v>
      </c>
      <c r="AH70" s="17">
        <v>2018</v>
      </c>
      <c r="AI70" s="17">
        <v>2019</v>
      </c>
      <c r="AJ70" s="17">
        <v>2020</v>
      </c>
      <c r="AK70" s="17">
        <v>2021</v>
      </c>
      <c r="AL70" s="17">
        <v>2022</v>
      </c>
      <c r="AM70" s="17">
        <v>2023</v>
      </c>
      <c r="AN70" s="17">
        <v>2024</v>
      </c>
      <c r="AO70" s="17">
        <v>2025</v>
      </c>
      <c r="AP70" s="17">
        <v>2026</v>
      </c>
      <c r="AQ70" s="17">
        <v>2027</v>
      </c>
      <c r="AR70" s="17">
        <v>2028</v>
      </c>
      <c r="AS70" s="17">
        <v>2029</v>
      </c>
      <c r="AT70" s="17">
        <v>2030</v>
      </c>
      <c r="AU70" s="17">
        <v>2031</v>
      </c>
      <c r="AV70" s="17">
        <v>2032</v>
      </c>
      <c r="AW70" s="17">
        <v>2033</v>
      </c>
      <c r="AX70" s="17">
        <v>2034</v>
      </c>
      <c r="AY70" s="17">
        <v>2035</v>
      </c>
      <c r="AZ70" s="17">
        <v>2036</v>
      </c>
      <c r="BA70" s="17">
        <v>2037</v>
      </c>
      <c r="BB70" s="17">
        <v>2038</v>
      </c>
      <c r="BC70" s="17">
        <v>2039</v>
      </c>
      <c r="BD70" s="17">
        <v>2040</v>
      </c>
      <c r="BE70" s="17">
        <v>2041</v>
      </c>
      <c r="BF70" s="17">
        <v>2042</v>
      </c>
      <c r="BG70" s="17">
        <v>2043</v>
      </c>
      <c r="BH70" s="17">
        <v>2044</v>
      </c>
      <c r="BI70" s="17">
        <v>2045</v>
      </c>
      <c r="BJ70" s="17">
        <v>2046</v>
      </c>
      <c r="BK70" s="17">
        <v>2047</v>
      </c>
      <c r="BL70" s="17">
        <v>2048</v>
      </c>
      <c r="BM70" s="17">
        <v>2049</v>
      </c>
      <c r="BN70" s="17">
        <v>2050</v>
      </c>
      <c r="BO70" s="17"/>
      <c r="BP70" s="17"/>
      <c r="BQ70" s="17"/>
      <c r="BR70" s="17"/>
      <c r="BS70" s="17"/>
      <c r="BT70" s="17"/>
    </row>
    <row r="71" spans="1:72" x14ac:dyDescent="0.25">
      <c r="E71" t="s">
        <v>736</v>
      </c>
      <c r="F71" s="22">
        <f>SUM(F58:F60)</f>
        <v>28329.895895189959</v>
      </c>
      <c r="G71" s="22">
        <f t="shared" ref="G71:AG71" si="67">SUM(G58:G60)</f>
        <v>28348.756597536198</v>
      </c>
      <c r="H71" s="22">
        <f t="shared" si="67"/>
        <v>27901.265167652149</v>
      </c>
      <c r="I71" s="22">
        <f t="shared" si="67"/>
        <v>26983.421178078323</v>
      </c>
      <c r="J71" s="22">
        <f t="shared" si="67"/>
        <v>26232.935842025625</v>
      </c>
      <c r="K71" s="22">
        <f t="shared" si="67"/>
        <v>26483.697904273635</v>
      </c>
      <c r="L71" s="22">
        <f t="shared" si="67"/>
        <v>27231.455050197914</v>
      </c>
      <c r="M71" s="22">
        <f t="shared" si="67"/>
        <v>27718.197700050874</v>
      </c>
      <c r="N71" s="22">
        <f t="shared" si="67"/>
        <v>28191.857752581782</v>
      </c>
      <c r="O71" s="22">
        <f t="shared" si="67"/>
        <v>28176.93333456889</v>
      </c>
      <c r="P71" s="22">
        <f t="shared" si="67"/>
        <v>27911.735313172579</v>
      </c>
      <c r="Q71" s="22">
        <f t="shared" si="67"/>
        <v>27717.940554412646</v>
      </c>
      <c r="R71" s="22">
        <f t="shared" si="67"/>
        <v>27299.215210355833</v>
      </c>
      <c r="S71" s="22">
        <f t="shared" si="67"/>
        <v>27343.988003450842</v>
      </c>
      <c r="T71" s="22">
        <f t="shared" si="67"/>
        <v>27146.675440419218</v>
      </c>
      <c r="U71" s="22">
        <f t="shared" si="67"/>
        <v>27260.702201657918</v>
      </c>
      <c r="V71" s="22">
        <f t="shared" si="67"/>
        <v>27196.730699508385</v>
      </c>
      <c r="W71" s="22">
        <f t="shared" si="67"/>
        <v>27798.797044635878</v>
      </c>
      <c r="X71" s="22">
        <f t="shared" si="67"/>
        <v>28021.860780467254</v>
      </c>
      <c r="Y71" s="22">
        <f t="shared" si="67"/>
        <v>27823.10030385045</v>
      </c>
      <c r="Z71" s="22">
        <f t="shared" si="67"/>
        <v>27614.256694686857</v>
      </c>
      <c r="AA71" s="22">
        <f t="shared" si="67"/>
        <v>27581.637898711942</v>
      </c>
      <c r="AB71" s="22">
        <f t="shared" si="67"/>
        <v>26985.247148755694</v>
      </c>
      <c r="AC71" s="22">
        <f t="shared" si="67"/>
        <v>27012.91455983651</v>
      </c>
      <c r="AD71" s="22">
        <f t="shared" si="67"/>
        <v>26895.677912065359</v>
      </c>
      <c r="AE71" s="22">
        <f t="shared" si="67"/>
        <v>26676.489832609634</v>
      </c>
      <c r="AF71" s="22">
        <f t="shared" si="67"/>
        <v>26354.537508449375</v>
      </c>
      <c r="AG71" s="22">
        <f t="shared" si="67"/>
        <v>26187.305371724982</v>
      </c>
      <c r="AH71" s="22">
        <f t="shared" ref="AH71:BN71" si="68">SUM(AH58:AH60)</f>
        <v>25995.861260938855</v>
      </c>
      <c r="AI71" s="22">
        <f t="shared" si="68"/>
        <v>25799.562745973471</v>
      </c>
      <c r="AJ71" s="22">
        <f t="shared" si="68"/>
        <v>23507.448875706996</v>
      </c>
      <c r="AK71" s="22">
        <f t="shared" si="68"/>
        <v>23771.883342410987</v>
      </c>
      <c r="AL71" s="22">
        <f t="shared" si="68"/>
        <v>24007.732975429575</v>
      </c>
      <c r="AM71" s="22">
        <f t="shared" si="68"/>
        <v>24251.507361394142</v>
      </c>
      <c r="AN71" s="22">
        <f t="shared" si="68"/>
        <v>24528.507030096094</v>
      </c>
      <c r="AO71" s="22">
        <f t="shared" si="68"/>
        <v>24855.697291496159</v>
      </c>
      <c r="AP71" s="22">
        <f t="shared" si="68"/>
        <v>25191.74183350346</v>
      </c>
      <c r="AQ71" s="22">
        <f t="shared" si="68"/>
        <v>25558.201789851708</v>
      </c>
      <c r="AR71" s="22">
        <f t="shared" si="68"/>
        <v>25958.088082542658</v>
      </c>
      <c r="AS71" s="22">
        <f t="shared" si="68"/>
        <v>26427.221700082773</v>
      </c>
      <c r="AT71" s="22">
        <f t="shared" si="68"/>
        <v>26882.711625376953</v>
      </c>
      <c r="AU71" s="22">
        <f t="shared" si="68"/>
        <v>27307.147521036804</v>
      </c>
      <c r="AV71" s="22">
        <f t="shared" si="68"/>
        <v>27739.651131626084</v>
      </c>
      <c r="AW71" s="22">
        <f t="shared" si="68"/>
        <v>28175.82502047416</v>
      </c>
      <c r="AX71" s="22">
        <f t="shared" si="68"/>
        <v>28611.285143683832</v>
      </c>
      <c r="AY71" s="22">
        <f t="shared" si="68"/>
        <v>28969.292702516483</v>
      </c>
      <c r="AZ71" s="22">
        <f t="shared" si="68"/>
        <v>29335.377554991421</v>
      </c>
      <c r="BA71" s="22">
        <f t="shared" si="68"/>
        <v>29734.238395449374</v>
      </c>
      <c r="BB71" s="22">
        <f t="shared" si="68"/>
        <v>30149.107341381819</v>
      </c>
      <c r="BC71" s="22">
        <f t="shared" si="68"/>
        <v>30525.929247629752</v>
      </c>
      <c r="BD71" s="22">
        <f t="shared" si="68"/>
        <v>30894.176076305212</v>
      </c>
      <c r="BE71" s="22">
        <f t="shared" si="68"/>
        <v>31351.912206415684</v>
      </c>
      <c r="BF71" s="22">
        <f t="shared" si="68"/>
        <v>31831.221805651039</v>
      </c>
      <c r="BG71" s="22">
        <f t="shared" si="68"/>
        <v>32340.08713801307</v>
      </c>
      <c r="BH71" s="22">
        <f t="shared" si="68"/>
        <v>32873.38025490677</v>
      </c>
      <c r="BI71" s="22">
        <f t="shared" si="68"/>
        <v>33448.666296679025</v>
      </c>
      <c r="BJ71" s="22">
        <f t="shared" si="68"/>
        <v>34048.789622362674</v>
      </c>
      <c r="BK71" s="22">
        <f t="shared" si="68"/>
        <v>34668.728807000472</v>
      </c>
      <c r="BL71" s="22">
        <f t="shared" si="68"/>
        <v>35261.212683879006</v>
      </c>
      <c r="BM71" s="22">
        <f t="shared" si="68"/>
        <v>35875.944538804062</v>
      </c>
      <c r="BN71" s="22">
        <f t="shared" si="68"/>
        <v>36522.676735465175</v>
      </c>
    </row>
    <row r="72" spans="1:72" x14ac:dyDescent="0.25">
      <c r="E72" t="s">
        <v>738</v>
      </c>
      <c r="F72" s="22">
        <f>SUM(F61:F67)</f>
        <v>22520.716286019295</v>
      </c>
      <c r="G72" s="22">
        <f t="shared" ref="G72:AG72" si="69">SUM(G61:G67)</f>
        <v>22464.940551220727</v>
      </c>
      <c r="H72" s="22">
        <f t="shared" si="69"/>
        <v>22122.587070657621</v>
      </c>
      <c r="I72" s="22">
        <f t="shared" si="69"/>
        <v>22107.511600676291</v>
      </c>
      <c r="J72" s="22">
        <f t="shared" si="69"/>
        <v>21834.941608916608</v>
      </c>
      <c r="K72" s="22">
        <f t="shared" si="69"/>
        <v>21438.397550905156</v>
      </c>
      <c r="L72" s="22">
        <f t="shared" si="69"/>
        <v>22344.38853508536</v>
      </c>
      <c r="M72" s="22">
        <f t="shared" si="69"/>
        <v>22643.115411695737</v>
      </c>
      <c r="N72" s="22">
        <f t="shared" si="69"/>
        <v>22838.244348740158</v>
      </c>
      <c r="O72" s="22">
        <f t="shared" si="69"/>
        <v>22819.025600827037</v>
      </c>
      <c r="P72" s="22">
        <f t="shared" si="69"/>
        <v>22511.044802282533</v>
      </c>
      <c r="Q72" s="22">
        <f t="shared" si="69"/>
        <v>22529.539442072208</v>
      </c>
      <c r="R72" s="22">
        <f t="shared" si="69"/>
        <v>23137.990578649747</v>
      </c>
      <c r="S72" s="22">
        <f t="shared" si="69"/>
        <v>22247.767107619758</v>
      </c>
      <c r="T72" s="22">
        <f t="shared" si="69"/>
        <v>21888.679383709583</v>
      </c>
      <c r="U72" s="22">
        <f t="shared" si="69"/>
        <v>22154.093897802089</v>
      </c>
      <c r="V72" s="22">
        <f t="shared" si="69"/>
        <v>22070.367095963247</v>
      </c>
      <c r="W72" s="22">
        <f t="shared" si="69"/>
        <v>22852.545580285085</v>
      </c>
      <c r="X72" s="22">
        <f t="shared" si="69"/>
        <v>22951.7302580256</v>
      </c>
      <c r="Y72" s="22">
        <f t="shared" si="69"/>
        <v>22635.063755242325</v>
      </c>
      <c r="Z72" s="22">
        <f t="shared" si="69"/>
        <v>22400.815411577827</v>
      </c>
      <c r="AA72" s="22">
        <f t="shared" si="69"/>
        <v>22528.596906718252</v>
      </c>
      <c r="AB72" s="22">
        <f t="shared" si="69"/>
        <v>22899.078591196892</v>
      </c>
      <c r="AC72" s="22">
        <f t="shared" si="69"/>
        <v>22977.841830868121</v>
      </c>
      <c r="AD72" s="22">
        <f t="shared" si="69"/>
        <v>22882.945121329623</v>
      </c>
      <c r="AE72" s="22">
        <f t="shared" si="69"/>
        <v>22733.863600082033</v>
      </c>
      <c r="AF72" s="22">
        <f t="shared" si="69"/>
        <v>22569.933828760266</v>
      </c>
      <c r="AG72" s="22">
        <f t="shared" si="69"/>
        <v>22485.997906976256</v>
      </c>
      <c r="AH72" s="22">
        <f t="shared" ref="AH72:BN72" si="70">SUM(AH61:AH67)</f>
        <v>22379.126266633753</v>
      </c>
      <c r="AI72" s="22">
        <f t="shared" si="70"/>
        <v>22271.7649457962</v>
      </c>
      <c r="AJ72" s="22">
        <f t="shared" si="70"/>
        <v>21051.016993898509</v>
      </c>
      <c r="AK72" s="22">
        <f t="shared" si="70"/>
        <v>21171.765498035758</v>
      </c>
      <c r="AL72" s="22">
        <f t="shared" si="70"/>
        <v>21304.572338306054</v>
      </c>
      <c r="AM72" s="22">
        <f t="shared" si="70"/>
        <v>21441.036487679034</v>
      </c>
      <c r="AN72" s="22">
        <f t="shared" si="70"/>
        <v>21594.952641020431</v>
      </c>
      <c r="AO72" s="22">
        <f t="shared" si="70"/>
        <v>21775.519535547115</v>
      </c>
      <c r="AP72" s="22">
        <f t="shared" si="70"/>
        <v>21960.090008502571</v>
      </c>
      <c r="AQ72" s="22">
        <f t="shared" si="70"/>
        <v>22160.487987039873</v>
      </c>
      <c r="AR72" s="22">
        <f t="shared" si="70"/>
        <v>22378.428212163737</v>
      </c>
      <c r="AS72" s="22">
        <f t="shared" si="70"/>
        <v>22632.720061472886</v>
      </c>
      <c r="AT72" s="22">
        <f t="shared" si="70"/>
        <v>22880.059418897385</v>
      </c>
      <c r="AU72" s="22">
        <f t="shared" si="70"/>
        <v>23101.52560537566</v>
      </c>
      <c r="AV72" s="22">
        <f t="shared" si="70"/>
        <v>23327.122736924466</v>
      </c>
      <c r="AW72" s="22">
        <f t="shared" si="70"/>
        <v>23553.490141383892</v>
      </c>
      <c r="AX72" s="22">
        <f t="shared" si="70"/>
        <v>23778.229089372919</v>
      </c>
      <c r="AY72" s="22">
        <f t="shared" si="70"/>
        <v>23961.286132711553</v>
      </c>
      <c r="AZ72" s="22">
        <f t="shared" si="70"/>
        <v>24145.726385589031</v>
      </c>
      <c r="BA72" s="22">
        <f t="shared" si="70"/>
        <v>24345.983946265518</v>
      </c>
      <c r="BB72" s="22">
        <f t="shared" si="70"/>
        <v>24553.442581017345</v>
      </c>
      <c r="BC72" s="22">
        <f t="shared" si="70"/>
        <v>24739.379541347371</v>
      </c>
      <c r="BD72" s="22">
        <f t="shared" si="70"/>
        <v>24918.984903722361</v>
      </c>
      <c r="BE72" s="22">
        <f t="shared" si="70"/>
        <v>25148.459523390469</v>
      </c>
      <c r="BF72" s="22">
        <f t="shared" si="70"/>
        <v>25387.812835747423</v>
      </c>
      <c r="BG72" s="22">
        <f t="shared" si="70"/>
        <v>25641.128395516793</v>
      </c>
      <c r="BH72" s="22">
        <f t="shared" si="70"/>
        <v>25905.727618063527</v>
      </c>
      <c r="BI72" s="22">
        <f t="shared" si="70"/>
        <v>26190.383670698691</v>
      </c>
      <c r="BJ72" s="22">
        <f t="shared" si="70"/>
        <v>26485.623898264344</v>
      </c>
      <c r="BK72" s="22">
        <f t="shared" si="70"/>
        <v>26789.331724379525</v>
      </c>
      <c r="BL72" s="22">
        <f t="shared" si="70"/>
        <v>27077.334893769032</v>
      </c>
      <c r="BM72" s="22">
        <f t="shared" si="70"/>
        <v>27374.330843010826</v>
      </c>
      <c r="BN72" s="22">
        <f t="shared" si="70"/>
        <v>27685.584613398267</v>
      </c>
    </row>
    <row r="73" spans="1:72" x14ac:dyDescent="0.25">
      <c r="E73" t="s">
        <v>726</v>
      </c>
      <c r="F73" s="22">
        <f>SUM(F71:F72)</f>
        <v>50850.612181209253</v>
      </c>
      <c r="G73" s="22">
        <f t="shared" ref="G73:AG73" si="71">SUM(G71:G72)</f>
        <v>50813.697148756924</v>
      </c>
      <c r="H73" s="22">
        <f t="shared" si="71"/>
        <v>50023.852238309773</v>
      </c>
      <c r="I73" s="22">
        <f t="shared" si="71"/>
        <v>49090.932778754614</v>
      </c>
      <c r="J73" s="22">
        <f t="shared" si="71"/>
        <v>48067.877450942236</v>
      </c>
      <c r="K73" s="22">
        <f t="shared" si="71"/>
        <v>47922.095455178787</v>
      </c>
      <c r="L73" s="22">
        <f t="shared" si="71"/>
        <v>49575.843585283277</v>
      </c>
      <c r="M73" s="22">
        <f t="shared" si="71"/>
        <v>50361.313111746611</v>
      </c>
      <c r="N73" s="22">
        <f t="shared" si="71"/>
        <v>51030.102101321943</v>
      </c>
      <c r="O73" s="22">
        <f t="shared" si="71"/>
        <v>50995.958935395931</v>
      </c>
      <c r="P73" s="22">
        <f t="shared" si="71"/>
        <v>50422.780115455113</v>
      </c>
      <c r="Q73" s="22">
        <f t="shared" si="71"/>
        <v>50247.47999648485</v>
      </c>
      <c r="R73" s="22">
        <f t="shared" si="71"/>
        <v>50437.20578900558</v>
      </c>
      <c r="S73" s="22">
        <f t="shared" si="71"/>
        <v>49591.755111070597</v>
      </c>
      <c r="T73" s="22">
        <f t="shared" si="71"/>
        <v>49035.354824128801</v>
      </c>
      <c r="U73" s="22">
        <f t="shared" si="71"/>
        <v>49414.796099460007</v>
      </c>
      <c r="V73" s="22">
        <f t="shared" si="71"/>
        <v>49267.097795471636</v>
      </c>
      <c r="W73" s="22">
        <f t="shared" si="71"/>
        <v>50651.342624920959</v>
      </c>
      <c r="X73" s="22">
        <f t="shared" si="71"/>
        <v>50973.591038492857</v>
      </c>
      <c r="Y73" s="22">
        <f t="shared" si="71"/>
        <v>50458.164059092771</v>
      </c>
      <c r="Z73" s="22">
        <f t="shared" si="71"/>
        <v>50015.072106264684</v>
      </c>
      <c r="AA73" s="22">
        <f t="shared" si="71"/>
        <v>50110.234805430198</v>
      </c>
      <c r="AB73" s="22">
        <f t="shared" si="71"/>
        <v>49884.32573995259</v>
      </c>
      <c r="AC73" s="22">
        <f t="shared" si="71"/>
        <v>49990.756390704628</v>
      </c>
      <c r="AD73" s="22">
        <f t="shared" si="71"/>
        <v>49778.623033394979</v>
      </c>
      <c r="AE73" s="22">
        <f t="shared" si="71"/>
        <v>49410.353432691671</v>
      </c>
      <c r="AF73" s="22">
        <f t="shared" si="71"/>
        <v>48924.471337209645</v>
      </c>
      <c r="AG73" s="22">
        <f t="shared" si="71"/>
        <v>48673.303278701234</v>
      </c>
      <c r="AH73" s="22">
        <f t="shared" ref="AH73:BN73" si="72">SUM(AH71:AH72)</f>
        <v>48374.987527572608</v>
      </c>
      <c r="AI73" s="22">
        <f t="shared" si="72"/>
        <v>48071.327691769671</v>
      </c>
      <c r="AJ73" s="22">
        <f t="shared" si="72"/>
        <v>44558.465869605505</v>
      </c>
      <c r="AK73" s="22">
        <f t="shared" si="72"/>
        <v>44943.648840446745</v>
      </c>
      <c r="AL73" s="22">
        <f t="shared" si="72"/>
        <v>45312.305313735633</v>
      </c>
      <c r="AM73" s="22">
        <f t="shared" si="72"/>
        <v>45692.543849073176</v>
      </c>
      <c r="AN73" s="22">
        <f t="shared" si="72"/>
        <v>46123.459671116521</v>
      </c>
      <c r="AO73" s="22">
        <f t="shared" si="72"/>
        <v>46631.216827043274</v>
      </c>
      <c r="AP73" s="22">
        <f t="shared" si="72"/>
        <v>47151.831842006031</v>
      </c>
      <c r="AQ73" s="22">
        <f t="shared" si="72"/>
        <v>47718.689776891581</v>
      </c>
      <c r="AR73" s="22">
        <f t="shared" si="72"/>
        <v>48336.516294706395</v>
      </c>
      <c r="AS73" s="22">
        <f t="shared" si="72"/>
        <v>49059.941761555659</v>
      </c>
      <c r="AT73" s="22">
        <f t="shared" si="72"/>
        <v>49762.771044274341</v>
      </c>
      <c r="AU73" s="22">
        <f t="shared" si="72"/>
        <v>50408.673126412468</v>
      </c>
      <c r="AV73" s="22">
        <f t="shared" si="72"/>
        <v>51066.773868550546</v>
      </c>
      <c r="AW73" s="22">
        <f t="shared" si="72"/>
        <v>51729.315161858052</v>
      </c>
      <c r="AX73" s="22">
        <f t="shared" si="72"/>
        <v>52389.514233056747</v>
      </c>
      <c r="AY73" s="22">
        <f t="shared" si="72"/>
        <v>52930.578835228036</v>
      </c>
      <c r="AZ73" s="22">
        <f t="shared" si="72"/>
        <v>53481.103940580448</v>
      </c>
      <c r="BA73" s="22">
        <f t="shared" si="72"/>
        <v>54080.222341714893</v>
      </c>
      <c r="BB73" s="22">
        <f t="shared" si="72"/>
        <v>54702.549922399165</v>
      </c>
      <c r="BC73" s="22">
        <f t="shared" si="72"/>
        <v>55265.308788977127</v>
      </c>
      <c r="BD73" s="22">
        <f t="shared" si="72"/>
        <v>55813.160980027576</v>
      </c>
      <c r="BE73" s="22">
        <f t="shared" si="72"/>
        <v>56500.371729806153</v>
      </c>
      <c r="BF73" s="22">
        <f t="shared" si="72"/>
        <v>57219.034641398466</v>
      </c>
      <c r="BG73" s="22">
        <f t="shared" si="72"/>
        <v>57981.215533529859</v>
      </c>
      <c r="BH73" s="22">
        <f t="shared" si="72"/>
        <v>58779.1078729703</v>
      </c>
      <c r="BI73" s="22">
        <f t="shared" si="72"/>
        <v>59639.049967377716</v>
      </c>
      <c r="BJ73" s="22">
        <f t="shared" si="72"/>
        <v>60534.413520627015</v>
      </c>
      <c r="BK73" s="22">
        <f t="shared" si="72"/>
        <v>61458.060531379997</v>
      </c>
      <c r="BL73" s="22">
        <f t="shared" si="72"/>
        <v>62338.547577648038</v>
      </c>
      <c r="BM73" s="22">
        <f t="shared" si="72"/>
        <v>63250.275381814892</v>
      </c>
      <c r="BN73" s="22">
        <f t="shared" si="72"/>
        <v>64208.261348863438</v>
      </c>
    </row>
    <row r="74" spans="1:72" x14ac:dyDescent="0.25">
      <c r="C74" t="s">
        <v>931</v>
      </c>
      <c r="E74" t="s">
        <v>737</v>
      </c>
      <c r="F74" s="21">
        <v>30363.701489664549</v>
      </c>
      <c r="G74" s="21">
        <v>30620.087433327655</v>
      </c>
      <c r="H74" s="21">
        <v>30019.645292780151</v>
      </c>
      <c r="I74" s="21">
        <v>29126.832767672211</v>
      </c>
      <c r="J74" s="21">
        <v>28220.504029960546</v>
      </c>
      <c r="K74" s="21">
        <v>28658.334296648256</v>
      </c>
      <c r="L74" s="21">
        <v>29216.836454505894</v>
      </c>
      <c r="M74" s="21">
        <v>29686.534877773469</v>
      </c>
      <c r="N74" s="21">
        <v>30358.840057469566</v>
      </c>
      <c r="O74" s="21">
        <v>30552.5406715998</v>
      </c>
      <c r="P74" s="21">
        <v>30515.456515029604</v>
      </c>
      <c r="Q74" s="21">
        <v>30340.133527107813</v>
      </c>
      <c r="R74" s="21">
        <v>29862.347205058868</v>
      </c>
      <c r="S74" s="21">
        <v>28988.455674699828</v>
      </c>
      <c r="T74" s="21">
        <v>28771.73121104404</v>
      </c>
      <c r="U74" s="21">
        <v>28806.676410294196</v>
      </c>
      <c r="V74" s="21">
        <v>28710.685662648946</v>
      </c>
      <c r="W74" s="21">
        <v>27953.813125583809</v>
      </c>
      <c r="X74" s="21">
        <v>29128.465653077492</v>
      </c>
      <c r="Y74" s="21">
        <v>28566.814632287216</v>
      </c>
      <c r="Z74" s="21">
        <v>29466.291233402069</v>
      </c>
      <c r="AA74" s="21">
        <v>29540.386989025857</v>
      </c>
      <c r="AB74" s="21">
        <v>28765.723679034749</v>
      </c>
      <c r="AC74" s="21">
        <v>29976.162007053368</v>
      </c>
      <c r="AD74" s="21">
        <v>29854.259774176113</v>
      </c>
      <c r="AE74" s="21">
        <v>29764.794009191111</v>
      </c>
      <c r="AF74" s="21">
        <v>28493.468307353363</v>
      </c>
      <c r="AG74" s="21">
        <v>28161.291437902692</v>
      </c>
    </row>
    <row r="75" spans="1:72" x14ac:dyDescent="0.25">
      <c r="C75" t="s">
        <v>931</v>
      </c>
      <c r="E75" t="s">
        <v>739</v>
      </c>
      <c r="F75" s="21">
        <v>23966.513245185564</v>
      </c>
      <c r="G75" s="21">
        <v>25488.169557235855</v>
      </c>
      <c r="H75" s="21">
        <v>24918.03927597345</v>
      </c>
      <c r="I75" s="21">
        <v>24848.327264592699</v>
      </c>
      <c r="J75" s="21">
        <v>24505.816851306721</v>
      </c>
      <c r="K75" s="21">
        <v>24432.14794095813</v>
      </c>
      <c r="L75" s="21">
        <v>25202.904527562976</v>
      </c>
      <c r="M75" s="21">
        <v>25504.378529824888</v>
      </c>
      <c r="N75" s="21">
        <v>25890.467620410676</v>
      </c>
      <c r="O75" s="21">
        <v>25983.786939397698</v>
      </c>
      <c r="P75" s="21">
        <v>25868.394067579684</v>
      </c>
      <c r="Q75" s="21">
        <v>26002.535902574971</v>
      </c>
      <c r="R75" s="21">
        <v>26531.007410409438</v>
      </c>
      <c r="S75" s="21">
        <v>24775.301428664814</v>
      </c>
      <c r="T75" s="21">
        <v>24381.007267856174</v>
      </c>
      <c r="U75" s="21">
        <v>24606.540158008142</v>
      </c>
      <c r="V75" s="21">
        <v>24681.528992201023</v>
      </c>
      <c r="W75" s="21">
        <v>24370.637912824339</v>
      </c>
      <c r="X75" s="21">
        <v>25360.261324110521</v>
      </c>
      <c r="Y75" s="21">
        <v>24580.116845224002</v>
      </c>
      <c r="Z75" s="21">
        <v>25130.517014652847</v>
      </c>
      <c r="AA75" s="21">
        <v>25304.85592670933</v>
      </c>
      <c r="AB75" s="21">
        <v>24407.03698205229</v>
      </c>
      <c r="AC75" s="21">
        <v>25679.803908205235</v>
      </c>
      <c r="AD75" s="21">
        <v>25935.14594405461</v>
      </c>
      <c r="AE75" s="21">
        <v>24944.276967369409</v>
      </c>
      <c r="AF75" s="21">
        <v>23249.801068831042</v>
      </c>
      <c r="AG75" s="21">
        <v>23515.861940250066</v>
      </c>
    </row>
    <row r="76" spans="1:72" x14ac:dyDescent="0.25">
      <c r="C76" t="s">
        <v>931</v>
      </c>
      <c r="E76" t="s">
        <v>937</v>
      </c>
      <c r="F76" s="21">
        <f>SUM(F74:F75)</f>
        <v>54330.214734850117</v>
      </c>
      <c r="G76" s="21">
        <f t="shared" ref="G76:AG76" si="73">SUM(G74:G75)</f>
        <v>56108.25699056351</v>
      </c>
      <c r="H76" s="21">
        <f t="shared" si="73"/>
        <v>54937.684568753597</v>
      </c>
      <c r="I76" s="21">
        <f t="shared" si="73"/>
        <v>53975.16003226491</v>
      </c>
      <c r="J76" s="21">
        <f t="shared" si="73"/>
        <v>52726.320881267267</v>
      </c>
      <c r="K76" s="21">
        <f t="shared" si="73"/>
        <v>53090.482237606382</v>
      </c>
      <c r="L76" s="21">
        <f t="shared" si="73"/>
        <v>54419.74098206887</v>
      </c>
      <c r="M76" s="21">
        <f t="shared" si="73"/>
        <v>55190.91340759836</v>
      </c>
      <c r="N76" s="21">
        <f t="shared" si="73"/>
        <v>56249.307677880242</v>
      </c>
      <c r="O76" s="21">
        <f t="shared" si="73"/>
        <v>56536.327610997498</v>
      </c>
      <c r="P76" s="21">
        <f t="shared" si="73"/>
        <v>56383.850582609288</v>
      </c>
      <c r="Q76" s="21">
        <f t="shared" si="73"/>
        <v>56342.669429682785</v>
      </c>
      <c r="R76" s="21">
        <f t="shared" si="73"/>
        <v>56393.354615468306</v>
      </c>
      <c r="S76" s="21">
        <f t="shared" si="73"/>
        <v>53763.757103364638</v>
      </c>
      <c r="T76" s="21">
        <f t="shared" si="73"/>
        <v>53152.73847890021</v>
      </c>
      <c r="U76" s="21">
        <f t="shared" si="73"/>
        <v>53413.216568302334</v>
      </c>
      <c r="V76" s="21">
        <f t="shared" si="73"/>
        <v>53392.214654849973</v>
      </c>
      <c r="W76" s="21">
        <f t="shared" si="73"/>
        <v>52324.451038408151</v>
      </c>
      <c r="X76" s="21">
        <f t="shared" si="73"/>
        <v>54488.726977188009</v>
      </c>
      <c r="Y76" s="21">
        <f t="shared" si="73"/>
        <v>53146.931477511214</v>
      </c>
      <c r="Z76" s="21">
        <f t="shared" si="73"/>
        <v>54596.80824805492</v>
      </c>
      <c r="AA76" s="21">
        <f t="shared" si="73"/>
        <v>54845.242915735187</v>
      </c>
      <c r="AB76" s="21">
        <f t="shared" si="73"/>
        <v>53172.760661087043</v>
      </c>
      <c r="AC76" s="21">
        <f t="shared" si="73"/>
        <v>55655.965915258603</v>
      </c>
      <c r="AD76" s="21">
        <f t="shared" si="73"/>
        <v>55789.405718230722</v>
      </c>
      <c r="AE76" s="21">
        <f t="shared" si="73"/>
        <v>54709.070976560521</v>
      </c>
      <c r="AF76" s="21">
        <f t="shared" si="73"/>
        <v>51743.269376184406</v>
      </c>
      <c r="AG76" s="21">
        <f t="shared" si="73"/>
        <v>51677.153378152754</v>
      </c>
    </row>
    <row r="77" spans="1:72" x14ac:dyDescent="0.25">
      <c r="C77" t="s">
        <v>930</v>
      </c>
      <c r="E77" t="s">
        <v>932</v>
      </c>
      <c r="F77" s="21">
        <v>28841.456935165024</v>
      </c>
      <c r="G77" s="21">
        <v>28874.617245415291</v>
      </c>
      <c r="H77" s="21">
        <v>28503.853708721526</v>
      </c>
      <c r="I77" s="21">
        <v>27532.104557575753</v>
      </c>
      <c r="J77" s="21">
        <v>26764.22321356984</v>
      </c>
      <c r="K77" s="21">
        <v>27088.29125785478</v>
      </c>
      <c r="L77" s="21">
        <v>27651.842000083903</v>
      </c>
      <c r="M77" s="21">
        <v>28174.583312846415</v>
      </c>
      <c r="N77" s="21">
        <v>28871.518161673943</v>
      </c>
      <c r="O77" s="21">
        <v>29040.146748956548</v>
      </c>
      <c r="P77" s="21">
        <v>28604.298593734209</v>
      </c>
      <c r="Q77" s="21">
        <v>28439.006817138674</v>
      </c>
      <c r="R77" s="21">
        <v>28158.262684927948</v>
      </c>
      <c r="S77" s="21">
        <v>27538.048485484789</v>
      </c>
      <c r="T77" s="21">
        <v>27384.26705791508</v>
      </c>
      <c r="U77" s="21">
        <v>27326.584253461606</v>
      </c>
      <c r="V77" s="21">
        <v>27258.009133790336</v>
      </c>
      <c r="W77" s="21">
        <v>26600.052385004816</v>
      </c>
      <c r="X77" s="21">
        <v>27439.669575781179</v>
      </c>
      <c r="Y77" s="21">
        <v>26868.002037732236</v>
      </c>
      <c r="Z77" s="21">
        <v>27664.377940114457</v>
      </c>
      <c r="AA77" s="21">
        <v>27801.534910949355</v>
      </c>
      <c r="AB77" s="21">
        <v>27190.794316586092</v>
      </c>
      <c r="AC77" s="21">
        <v>28125.443821791141</v>
      </c>
      <c r="AD77" s="21">
        <v>28132.073619111641</v>
      </c>
      <c r="AE77" s="21">
        <v>28022.596440230893</v>
      </c>
      <c r="AF77" s="21">
        <v>26770.512864029439</v>
      </c>
      <c r="AG77" s="21">
        <v>26272.330661039257</v>
      </c>
    </row>
    <row r="78" spans="1:72" x14ac:dyDescent="0.25">
      <c r="C78" t="s">
        <v>930</v>
      </c>
      <c r="E78" t="s">
        <v>933</v>
      </c>
      <c r="F78" s="21">
        <v>23017.116995923152</v>
      </c>
      <c r="G78" s="21">
        <v>24357.943795318199</v>
      </c>
      <c r="H78" s="21">
        <v>23923.781404274614</v>
      </c>
      <c r="I78" s="21">
        <v>23808.52866974326</v>
      </c>
      <c r="J78" s="21">
        <v>23548.815692626868</v>
      </c>
      <c r="K78" s="21">
        <v>23406.439056039562</v>
      </c>
      <c r="L78" s="21">
        <v>24181.443878145627</v>
      </c>
      <c r="M78" s="21">
        <v>24510.581335681734</v>
      </c>
      <c r="N78" s="21">
        <v>24916.730028994498</v>
      </c>
      <c r="O78" s="21">
        <v>24998.953710091639</v>
      </c>
      <c r="P78" s="21">
        <v>24625.134604822408</v>
      </c>
      <c r="Q78" s="21">
        <v>24764.073774517499</v>
      </c>
      <c r="R78" s="21">
        <v>25420.639847835555</v>
      </c>
      <c r="S78" s="21">
        <v>23846.988468835058</v>
      </c>
      <c r="T78" s="21">
        <v>23504.925758751408</v>
      </c>
      <c r="U78" s="21">
        <v>23672.708379593492</v>
      </c>
      <c r="V78" s="21">
        <v>23765.786841217523</v>
      </c>
      <c r="W78" s="21">
        <v>23512.70116086525</v>
      </c>
      <c r="X78" s="21">
        <v>24252.381704460829</v>
      </c>
      <c r="Y78" s="21">
        <v>23516.503660101647</v>
      </c>
      <c r="Z78" s="21">
        <v>23986.77417374069</v>
      </c>
      <c r="AA78" s="21">
        <v>24215.606096707954</v>
      </c>
      <c r="AB78" s="21">
        <v>23466.796841445379</v>
      </c>
      <c r="AC78" s="21">
        <v>24452.726550481024</v>
      </c>
      <c r="AD78" s="21">
        <v>24798.187695034216</v>
      </c>
      <c r="AE78" s="21">
        <v>23781.729632572271</v>
      </c>
      <c r="AF78" s="21">
        <v>22214.078479972708</v>
      </c>
      <c r="AG78" s="21">
        <v>22369.490596120992</v>
      </c>
    </row>
    <row r="79" spans="1:72" x14ac:dyDescent="0.25">
      <c r="C79" t="s">
        <v>930</v>
      </c>
      <c r="E79" t="s">
        <v>934</v>
      </c>
      <c r="F79" s="21">
        <v>51858.573931088176</v>
      </c>
      <c r="G79" s="21">
        <v>53232.56104073349</v>
      </c>
      <c r="H79" s="21">
        <v>52427.63511299614</v>
      </c>
      <c r="I79" s="21">
        <v>51340.633227319013</v>
      </c>
      <c r="J79" s="21">
        <v>50313.038906196707</v>
      </c>
      <c r="K79" s="21">
        <v>50494.730313894339</v>
      </c>
      <c r="L79" s="21">
        <v>51833.28587822953</v>
      </c>
      <c r="M79" s="21">
        <v>52685.164648528153</v>
      </c>
      <c r="N79" s="21">
        <v>53788.248190668441</v>
      </c>
      <c r="O79" s="21">
        <v>54039.10045904819</v>
      </c>
      <c r="P79" s="21">
        <v>53229.433198556617</v>
      </c>
      <c r="Q79" s="21">
        <v>53203.080591656173</v>
      </c>
      <c r="R79" s="21">
        <v>53578.902532763503</v>
      </c>
      <c r="S79" s="21">
        <v>51385.036954319847</v>
      </c>
      <c r="T79" s="21">
        <v>50889.192816666487</v>
      </c>
      <c r="U79" s="21">
        <v>50999.292633055098</v>
      </c>
      <c r="V79" s="21">
        <v>51023.795975007859</v>
      </c>
      <c r="W79" s="21">
        <v>50112.753545870066</v>
      </c>
      <c r="X79" s="21">
        <v>51692.051280242013</v>
      </c>
      <c r="Y79" s="21">
        <v>50384.505697833883</v>
      </c>
      <c r="Z79" s="21">
        <v>51651.152113855147</v>
      </c>
      <c r="AA79" s="21">
        <v>52017.141007657308</v>
      </c>
      <c r="AB79" s="21">
        <v>50657.591158031471</v>
      </c>
      <c r="AC79" s="21">
        <v>52578.170372272165</v>
      </c>
      <c r="AD79" s="21">
        <v>52930.261314145857</v>
      </c>
      <c r="AE79" s="21">
        <v>51804.32607280316</v>
      </c>
      <c r="AF79" s="21">
        <v>48984.591344002147</v>
      </c>
      <c r="AG79" s="21">
        <v>48641.821257160249</v>
      </c>
    </row>
    <row r="80" spans="1:72" x14ac:dyDescent="0.25">
      <c r="E80" t="s">
        <v>727</v>
      </c>
      <c r="F80" s="57">
        <f>(F73-F76)/F76</f>
        <v>-6.4045440840285739E-2</v>
      </c>
      <c r="G80" s="57">
        <f t="shared" ref="G80:AG80" si="74">(G73-G76)/G76</f>
        <v>-9.4363292067637106E-2</v>
      </c>
      <c r="H80" s="57">
        <f t="shared" si="74"/>
        <v>-8.9443746474139149E-2</v>
      </c>
      <c r="I80" s="57">
        <f t="shared" si="74"/>
        <v>-9.0490278316741182E-2</v>
      </c>
      <c r="J80" s="57">
        <f t="shared" si="74"/>
        <v>-8.8351384137255323E-2</v>
      </c>
      <c r="K80" s="57">
        <f t="shared" si="74"/>
        <v>-9.7350533741556292E-2</v>
      </c>
      <c r="L80" s="57">
        <f t="shared" si="74"/>
        <v>-8.9009931127412775E-2</v>
      </c>
      <c r="M80" s="57">
        <f t="shared" si="74"/>
        <v>-8.7507163727912465E-2</v>
      </c>
      <c r="N80" s="57">
        <f t="shared" si="74"/>
        <v>-9.2787018934469931E-2</v>
      </c>
      <c r="O80" s="57">
        <f t="shared" si="74"/>
        <v>-9.799661403058392E-2</v>
      </c>
      <c r="P80" s="57">
        <f t="shared" si="74"/>
        <v>-0.10572301120904243</v>
      </c>
      <c r="Q80" s="57">
        <f t="shared" si="74"/>
        <v>-0.10818070025604484</v>
      </c>
      <c r="R80" s="57">
        <f t="shared" si="74"/>
        <v>-0.10561792018006667</v>
      </c>
      <c r="S80" s="57">
        <f t="shared" si="74"/>
        <v>-7.7598780611129375E-2</v>
      </c>
      <c r="T80" s="57">
        <f t="shared" si="74"/>
        <v>-7.7463245970024047E-2</v>
      </c>
      <c r="U80" s="57">
        <f t="shared" si="74"/>
        <v>-7.4858260290865147E-2</v>
      </c>
      <c r="V80" s="57">
        <f t="shared" si="74"/>
        <v>-7.7260643448578595E-2</v>
      </c>
      <c r="W80" s="57">
        <f t="shared" si="74"/>
        <v>-3.1975651541170817E-2</v>
      </c>
      <c r="X80" s="57">
        <f t="shared" si="74"/>
        <v>-6.4511250926577557E-2</v>
      </c>
      <c r="Y80" s="57">
        <f t="shared" si="74"/>
        <v>-5.0591207124651746E-2</v>
      </c>
      <c r="Z80" s="57">
        <f t="shared" si="74"/>
        <v>-8.3919487032531173E-2</v>
      </c>
      <c r="AA80" s="57">
        <f t="shared" si="74"/>
        <v>-8.6333980097050636E-2</v>
      </c>
      <c r="AB80" s="57">
        <f t="shared" si="74"/>
        <v>-6.1844351887130791E-2</v>
      </c>
      <c r="AC80" s="57">
        <f t="shared" si="74"/>
        <v>-0.1017897979379207</v>
      </c>
      <c r="AD80" s="57">
        <f t="shared" si="74"/>
        <v>-0.10774057560666138</v>
      </c>
      <c r="AE80" s="57">
        <f t="shared" si="74"/>
        <v>-9.6852632466360569E-2</v>
      </c>
      <c r="AF80" s="57">
        <f t="shared" si="74"/>
        <v>-5.4476612571221751E-2</v>
      </c>
      <c r="AG80" s="57">
        <f t="shared" si="74"/>
        <v>-5.8127236178636722E-2</v>
      </c>
    </row>
    <row r="113" spans="1:72" s="19" customFormat="1" ht="15.75" x14ac:dyDescent="0.25">
      <c r="A113" s="17" t="s">
        <v>716</v>
      </c>
      <c r="B113" s="17"/>
      <c r="C113" s="17"/>
      <c r="D113" s="17"/>
      <c r="E113" s="17"/>
      <c r="F113" s="17">
        <v>1990</v>
      </c>
      <c r="G113" s="17">
        <v>1991</v>
      </c>
      <c r="H113" s="17">
        <v>1992</v>
      </c>
      <c r="I113" s="17">
        <v>1993</v>
      </c>
      <c r="J113" s="17">
        <v>1994</v>
      </c>
      <c r="K113" s="17">
        <v>1995</v>
      </c>
      <c r="L113" s="17">
        <v>1996</v>
      </c>
      <c r="M113" s="17">
        <v>1997</v>
      </c>
      <c r="N113" s="17">
        <v>1998</v>
      </c>
      <c r="O113" s="17">
        <v>1999</v>
      </c>
      <c r="P113" s="17">
        <v>2000</v>
      </c>
      <c r="Q113" s="17">
        <v>2001</v>
      </c>
      <c r="R113" s="17">
        <v>2002</v>
      </c>
      <c r="S113" s="17">
        <v>2003</v>
      </c>
      <c r="T113" s="17">
        <v>2004</v>
      </c>
      <c r="U113" s="17">
        <v>2005</v>
      </c>
      <c r="V113" s="17">
        <v>2006</v>
      </c>
      <c r="W113" s="17">
        <v>2007</v>
      </c>
      <c r="X113" s="17">
        <v>2008</v>
      </c>
      <c r="Y113" s="17">
        <v>2009</v>
      </c>
      <c r="Z113" s="17">
        <v>2010</v>
      </c>
      <c r="AA113" s="17">
        <v>2011</v>
      </c>
      <c r="AB113" s="17">
        <v>2012</v>
      </c>
      <c r="AC113" s="17">
        <v>2013</v>
      </c>
      <c r="AD113" s="17">
        <v>2014</v>
      </c>
      <c r="AE113" s="17">
        <v>2015</v>
      </c>
      <c r="AF113" s="17">
        <v>2016</v>
      </c>
      <c r="AG113" s="17">
        <v>2017</v>
      </c>
      <c r="AH113" s="17">
        <v>2018</v>
      </c>
      <c r="AI113" s="17">
        <v>2019</v>
      </c>
      <c r="AJ113" s="17">
        <v>2020</v>
      </c>
      <c r="AK113" s="17">
        <v>2021</v>
      </c>
      <c r="AL113" s="17">
        <v>2022</v>
      </c>
      <c r="AM113" s="17">
        <v>2023</v>
      </c>
      <c r="AN113" s="17">
        <v>2024</v>
      </c>
      <c r="AO113" s="17">
        <v>2025</v>
      </c>
      <c r="AP113" s="17">
        <v>2026</v>
      </c>
      <c r="AQ113" s="17">
        <v>2027</v>
      </c>
      <c r="AR113" s="17">
        <v>2028</v>
      </c>
      <c r="AS113" s="17">
        <v>2029</v>
      </c>
      <c r="AT113" s="17">
        <v>2030</v>
      </c>
      <c r="AU113" s="17">
        <v>2031</v>
      </c>
      <c r="AV113" s="17">
        <v>2032</v>
      </c>
      <c r="AW113" s="17">
        <v>2033</v>
      </c>
      <c r="AX113" s="17">
        <v>2034</v>
      </c>
      <c r="AY113" s="17">
        <v>2035</v>
      </c>
      <c r="AZ113" s="17">
        <v>2036</v>
      </c>
      <c r="BA113" s="17">
        <v>2037</v>
      </c>
      <c r="BB113" s="17">
        <v>2038</v>
      </c>
      <c r="BC113" s="17">
        <v>2039</v>
      </c>
      <c r="BD113" s="17">
        <v>2040</v>
      </c>
      <c r="BE113" s="17">
        <v>2041</v>
      </c>
      <c r="BF113" s="17">
        <v>2042</v>
      </c>
      <c r="BG113" s="17">
        <v>2043</v>
      </c>
      <c r="BH113" s="17">
        <v>2044</v>
      </c>
      <c r="BI113" s="17">
        <v>2045</v>
      </c>
      <c r="BJ113" s="17">
        <v>2046</v>
      </c>
      <c r="BK113" s="17">
        <v>2047</v>
      </c>
      <c r="BL113" s="17">
        <v>2048</v>
      </c>
      <c r="BM113" s="17">
        <v>2049</v>
      </c>
      <c r="BN113" s="17">
        <v>2050</v>
      </c>
      <c r="BO113" s="17"/>
      <c r="BP113" s="17"/>
      <c r="BQ113" s="17"/>
      <c r="BR113" s="17"/>
      <c r="BS113" s="17"/>
      <c r="BT113" s="17"/>
    </row>
    <row r="114" spans="1:72" x14ac:dyDescent="0.25">
      <c r="E114" t="s">
        <v>634</v>
      </c>
      <c r="F114" s="22">
        <v>1113.9523335609101</v>
      </c>
      <c r="G114" s="22">
        <v>1113.9523335609101</v>
      </c>
      <c r="H114" s="22">
        <v>1113.9523335609101</v>
      </c>
      <c r="I114" s="22">
        <v>1113.9523335609101</v>
      </c>
      <c r="J114" s="22">
        <v>1113.9523335609101</v>
      </c>
      <c r="K114" s="22">
        <v>1113.9523335609101</v>
      </c>
      <c r="L114" s="22">
        <v>1113.9523335609101</v>
      </c>
      <c r="M114" s="22">
        <v>1113.9523335609101</v>
      </c>
      <c r="N114" s="22">
        <v>1113.9523335609101</v>
      </c>
      <c r="O114" s="22">
        <v>1113.9523335609101</v>
      </c>
      <c r="P114" s="22">
        <v>1103.4776992955053</v>
      </c>
      <c r="Q114" s="22">
        <v>1282.5517441798665</v>
      </c>
      <c r="R114" s="22">
        <v>1288.9176046937982</v>
      </c>
      <c r="S114" s="22">
        <v>1011.4345809085878</v>
      </c>
      <c r="T114" s="22">
        <v>883.38003872679235</v>
      </c>
      <c r="U114" s="22">
        <v>1412.334298727088</v>
      </c>
      <c r="V114" s="22">
        <v>1236.8838978672777</v>
      </c>
      <c r="W114" s="22">
        <v>1218.5771221263838</v>
      </c>
      <c r="X114" s="22">
        <v>1139.8644942847</v>
      </c>
      <c r="Y114" s="22">
        <v>1078.8713756473658</v>
      </c>
      <c r="Z114" s="22">
        <v>1107.055106514</v>
      </c>
      <c r="AA114" s="22">
        <v>1093.3943713178221</v>
      </c>
      <c r="AB114" s="22">
        <v>1003.5637069444559</v>
      </c>
      <c r="AC114" s="22">
        <v>949.58031288518987</v>
      </c>
      <c r="AD114" s="22">
        <v>1016.956735075512</v>
      </c>
      <c r="AE114" s="22">
        <v>737.86776841461585</v>
      </c>
      <c r="AF114" s="22">
        <v>446.18919850209591</v>
      </c>
      <c r="AG114" s="22">
        <v>416.70692080806589</v>
      </c>
      <c r="AH114" s="22">
        <v>953.41633153144642</v>
      </c>
      <c r="AI114" s="22">
        <v>949.15511278249028</v>
      </c>
      <c r="AJ114" s="22">
        <v>936.84581085219077</v>
      </c>
      <c r="AK114" s="22">
        <v>923.04801254060374</v>
      </c>
      <c r="AL114" s="22">
        <v>923.83086633988489</v>
      </c>
      <c r="AM114" s="22">
        <v>927.35133953171032</v>
      </c>
      <c r="AN114" s="22">
        <v>905.10328771083891</v>
      </c>
      <c r="AO114" s="22">
        <v>888.09961309554592</v>
      </c>
      <c r="AP114" s="22">
        <v>872.75163677437502</v>
      </c>
      <c r="AQ114" s="22">
        <v>857.75800408852626</v>
      </c>
      <c r="AR114" s="22">
        <v>850.61092272546864</v>
      </c>
      <c r="AS114" s="22">
        <v>840.04010457174638</v>
      </c>
      <c r="AT114" s="22">
        <v>828.99691103493274</v>
      </c>
      <c r="AU114" s="22">
        <v>823.86011211605364</v>
      </c>
      <c r="AV114" s="22">
        <v>820.57662159257097</v>
      </c>
      <c r="AW114" s="22">
        <v>817.40761700308474</v>
      </c>
      <c r="AX114" s="22">
        <v>825.66666083675238</v>
      </c>
      <c r="AY114" s="22">
        <v>847.83925712437895</v>
      </c>
      <c r="AZ114" s="22">
        <v>872.92498755693396</v>
      </c>
      <c r="BA114" s="22">
        <v>868.57139706063037</v>
      </c>
      <c r="BB114" s="22">
        <v>864.20568430768526</v>
      </c>
      <c r="BC114" s="22">
        <v>860.27723737280223</v>
      </c>
      <c r="BD114" s="22">
        <v>856.87697424917883</v>
      </c>
      <c r="BE114" s="22">
        <v>853.2172938983382</v>
      </c>
      <c r="BF114" s="22">
        <v>849.16257657644303</v>
      </c>
      <c r="BG114" s="22">
        <v>846.10063420939923</v>
      </c>
      <c r="BH114" s="22">
        <v>843.78828540199515</v>
      </c>
      <c r="BI114" s="22">
        <v>842.18087202380002</v>
      </c>
      <c r="BJ114" s="22">
        <v>841.31426607401693</v>
      </c>
      <c r="BK114" s="22">
        <v>840.76910455168797</v>
      </c>
      <c r="BL114" s="22">
        <v>840.78400975380032</v>
      </c>
      <c r="BM114" s="22">
        <v>841.40450616562623</v>
      </c>
      <c r="BN114" s="22">
        <v>842.3577371508793</v>
      </c>
    </row>
    <row r="115" spans="1:72" x14ac:dyDescent="0.25">
      <c r="E115" t="s">
        <v>635</v>
      </c>
      <c r="F115" s="22">
        <v>1149.3522600947301</v>
      </c>
      <c r="G115" s="22">
        <v>1149.3522600947301</v>
      </c>
      <c r="H115" s="22">
        <v>1149.3522600947301</v>
      </c>
      <c r="I115" s="22">
        <v>1149.3522600947301</v>
      </c>
      <c r="J115" s="22">
        <v>1149.3522600947301</v>
      </c>
      <c r="K115" s="22">
        <v>1149.3522600947301</v>
      </c>
      <c r="L115" s="22">
        <v>1149.3522600947301</v>
      </c>
      <c r="M115" s="22">
        <v>1149.3522600947301</v>
      </c>
      <c r="N115" s="22">
        <v>1149.3522600947301</v>
      </c>
      <c r="O115" s="22">
        <v>1149.3522600947301</v>
      </c>
      <c r="P115" s="22">
        <v>1138.2881924240246</v>
      </c>
      <c r="Q115" s="22">
        <v>1347.8625366593228</v>
      </c>
      <c r="R115" s="22">
        <v>1328.3690110437451</v>
      </c>
      <c r="S115" s="22">
        <v>1017.5651134275211</v>
      </c>
      <c r="T115" s="22">
        <v>914.67644691903695</v>
      </c>
      <c r="U115" s="22">
        <v>1447.9112474339306</v>
      </c>
      <c r="V115" s="22">
        <v>1263.4019893034997</v>
      </c>
      <c r="W115" s="22">
        <v>1217.4357899565925</v>
      </c>
      <c r="X115" s="22">
        <v>1180.1818937292605</v>
      </c>
      <c r="Y115" s="22">
        <v>1108.1395844539597</v>
      </c>
      <c r="Z115" s="22">
        <v>1121.7567904983002</v>
      </c>
      <c r="AA115" s="22">
        <v>1111.0832034573957</v>
      </c>
      <c r="AB115" s="22">
        <v>1002.2217969563279</v>
      </c>
      <c r="AC115" s="22">
        <v>980.55948658247996</v>
      </c>
      <c r="AD115" s="22">
        <v>1029.1314860411758</v>
      </c>
      <c r="AE115" s="22">
        <v>747.9095108761079</v>
      </c>
      <c r="AF115" s="22">
        <v>434.96704823788798</v>
      </c>
      <c r="AG115" s="22">
        <v>408.31943255002801</v>
      </c>
      <c r="AH115" s="22">
        <v>989.03967398644897</v>
      </c>
      <c r="AI115" s="22">
        <v>983.28512705702065</v>
      </c>
      <c r="AJ115" s="22">
        <v>967.27577435076694</v>
      </c>
      <c r="AK115" s="22">
        <v>951.32589869564811</v>
      </c>
      <c r="AL115" s="22">
        <v>951.82222399409432</v>
      </c>
      <c r="AM115" s="22">
        <v>954.41954409596531</v>
      </c>
      <c r="AN115" s="22">
        <v>930.44926853734853</v>
      </c>
      <c r="AO115" s="22">
        <v>912.78960790996337</v>
      </c>
      <c r="AP115" s="22">
        <v>898.22919868546933</v>
      </c>
      <c r="AQ115" s="22">
        <v>882.09325874190063</v>
      </c>
      <c r="AR115" s="22">
        <v>873.40235457932522</v>
      </c>
      <c r="AS115" s="22">
        <v>862.31073006877352</v>
      </c>
      <c r="AT115" s="22">
        <v>850.85907023504603</v>
      </c>
      <c r="AU115" s="22">
        <v>845.85323510737715</v>
      </c>
      <c r="AV115" s="22">
        <v>841.5016547924979</v>
      </c>
      <c r="AW115" s="22">
        <v>837.08693229819619</v>
      </c>
      <c r="AX115" s="22">
        <v>844.96547356760379</v>
      </c>
      <c r="AY115" s="22">
        <v>868.20013695114835</v>
      </c>
      <c r="AZ115" s="22">
        <v>894.24675120583186</v>
      </c>
      <c r="BA115" s="22">
        <v>889.12106883561182</v>
      </c>
      <c r="BB115" s="22">
        <v>884.02389968930368</v>
      </c>
      <c r="BC115" s="22">
        <v>879.52937488119107</v>
      </c>
      <c r="BD115" s="22">
        <v>875.64808458729772</v>
      </c>
      <c r="BE115" s="22">
        <v>871.49158854939481</v>
      </c>
      <c r="BF115" s="22">
        <v>866.96291161788429</v>
      </c>
      <c r="BG115" s="22">
        <v>863.4900838991623</v>
      </c>
      <c r="BH115" s="22">
        <v>860.78270440740164</v>
      </c>
      <c r="BI115" s="22">
        <v>858.70396634124506</v>
      </c>
      <c r="BJ115" s="22">
        <v>857.40507988521222</v>
      </c>
      <c r="BK115" s="22">
        <v>856.48577373147191</v>
      </c>
      <c r="BL115" s="22">
        <v>856.13590414360988</v>
      </c>
      <c r="BM115" s="22">
        <v>856.39584520938138</v>
      </c>
      <c r="BN115" s="22">
        <v>856.95995783585226</v>
      </c>
    </row>
    <row r="116" spans="1:72" x14ac:dyDescent="0.25">
      <c r="E116" t="s">
        <v>113</v>
      </c>
      <c r="F116" s="22">
        <v>357.5</v>
      </c>
      <c r="G116" s="22">
        <v>378.125</v>
      </c>
      <c r="H116" s="22">
        <v>261.25</v>
      </c>
      <c r="I116" s="22">
        <v>412.5</v>
      </c>
      <c r="J116" s="22">
        <v>595.58170833333327</v>
      </c>
      <c r="K116" s="22">
        <v>473.34145833333332</v>
      </c>
      <c r="L116" s="22">
        <v>579.13625000000002</v>
      </c>
      <c r="M116" s="22">
        <v>547.24312499999996</v>
      </c>
      <c r="N116" s="22">
        <v>570.31379166666659</v>
      </c>
      <c r="O116" s="22">
        <v>567.03808333333325</v>
      </c>
      <c r="P116" s="22">
        <v>378.2405</v>
      </c>
      <c r="Q116" s="22">
        <v>489.66362500000002</v>
      </c>
      <c r="R116" s="22">
        <v>672.79437500000006</v>
      </c>
      <c r="S116" s="22">
        <v>580.13175000000001</v>
      </c>
      <c r="T116" s="22">
        <v>579.7403333333333</v>
      </c>
      <c r="U116" s="22">
        <v>266.03683333333333</v>
      </c>
      <c r="V116" s="22">
        <v>441.42908333333332</v>
      </c>
      <c r="W116" s="22">
        <v>521.42108333333329</v>
      </c>
      <c r="X116" s="22">
        <v>655.32637499999998</v>
      </c>
      <c r="Y116" s="22">
        <v>695.56775237855516</v>
      </c>
      <c r="Z116" s="22">
        <v>653.23730656422072</v>
      </c>
      <c r="AA116" s="22">
        <v>722.61220387104663</v>
      </c>
      <c r="AB116" s="22">
        <v>829.6141641239476</v>
      </c>
      <c r="AC116" s="22">
        <v>749.65665536353811</v>
      </c>
      <c r="AD116" s="22">
        <v>773.17356970483502</v>
      </c>
      <c r="AE116" s="22">
        <v>780.22864400722403</v>
      </c>
      <c r="AF116" s="22">
        <v>982.47410734237747</v>
      </c>
      <c r="AG116" s="22">
        <v>1218.2311736138793</v>
      </c>
      <c r="AH116" s="22">
        <v>811.87988683203434</v>
      </c>
      <c r="AI116" s="22">
        <v>828.16067939806783</v>
      </c>
      <c r="AJ116" s="22">
        <v>843.63256429682531</v>
      </c>
      <c r="AK116" s="22">
        <v>859.17385233712901</v>
      </c>
      <c r="AL116" s="22">
        <v>874.71514028200966</v>
      </c>
      <c r="AM116" s="22">
        <v>890.25642822689031</v>
      </c>
      <c r="AN116" s="22">
        <v>905.79771617177096</v>
      </c>
      <c r="AO116" s="22">
        <v>921.33900421207466</v>
      </c>
      <c r="AP116" s="22">
        <v>937.31140020964233</v>
      </c>
      <c r="AQ116" s="22">
        <v>953.28379620720989</v>
      </c>
      <c r="AR116" s="22">
        <v>969.25619220477756</v>
      </c>
      <c r="AS116" s="22">
        <v>985.22858820234535</v>
      </c>
      <c r="AT116" s="22">
        <v>1001.2009841999131</v>
      </c>
      <c r="AU116" s="22">
        <v>1016.9832349872023</v>
      </c>
      <c r="AV116" s="22">
        <v>1032.7654856790691</v>
      </c>
      <c r="AW116" s="22">
        <v>1048.5477364663586</v>
      </c>
      <c r="AX116" s="22">
        <v>1064.3299871582253</v>
      </c>
      <c r="AY116" s="22">
        <v>1080.1122378500922</v>
      </c>
      <c r="AZ116" s="22">
        <v>1096.1072036429516</v>
      </c>
      <c r="BA116" s="22">
        <v>1112.1021694358108</v>
      </c>
      <c r="BB116" s="22">
        <v>1128.0971351332469</v>
      </c>
      <c r="BC116" s="22">
        <v>1144.092100926106</v>
      </c>
      <c r="BD116" s="22">
        <v>1160.0870667189654</v>
      </c>
      <c r="BE116" s="22">
        <v>1176.8778874608386</v>
      </c>
      <c r="BF116" s="22">
        <v>1193.6687081072885</v>
      </c>
      <c r="BG116" s="22">
        <v>1210.4595288491616</v>
      </c>
      <c r="BH116" s="22">
        <v>1227.2503495910348</v>
      </c>
      <c r="BI116" s="22">
        <v>1244.0411703329078</v>
      </c>
      <c r="BJ116" s="22">
        <v>1260.6054327894071</v>
      </c>
      <c r="BK116" s="22">
        <v>1277.169695245907</v>
      </c>
      <c r="BL116" s="22">
        <v>1293.7339577978294</v>
      </c>
      <c r="BM116" s="22">
        <v>1310.2982202543287</v>
      </c>
      <c r="BN116" s="22">
        <v>1326.8624827108285</v>
      </c>
    </row>
    <row r="117" spans="1:72" x14ac:dyDescent="0.25">
      <c r="E117" t="s">
        <v>636</v>
      </c>
      <c r="F117" s="22">
        <v>90.994567483487728</v>
      </c>
      <c r="G117" s="22">
        <v>111.62690198838213</v>
      </c>
      <c r="H117" s="22">
        <v>132.25923649327655</v>
      </c>
      <c r="I117" s="22">
        <v>152.89157099816552</v>
      </c>
      <c r="J117" s="22">
        <v>173.52390550305992</v>
      </c>
      <c r="K117" s="22">
        <v>194.15624000795432</v>
      </c>
      <c r="L117" s="22">
        <v>214.78857451284878</v>
      </c>
      <c r="M117" s="22">
        <v>235.42090901774316</v>
      </c>
      <c r="N117" s="22">
        <v>256.05324352263762</v>
      </c>
      <c r="O117" s="22">
        <v>276.68557802753202</v>
      </c>
      <c r="P117" s="22">
        <v>297.31791253242642</v>
      </c>
      <c r="Q117" s="22">
        <v>317.95024703732088</v>
      </c>
      <c r="R117" s="22">
        <v>338.58258154220977</v>
      </c>
      <c r="S117" s="22">
        <v>359.21491604710423</v>
      </c>
      <c r="T117" s="22">
        <v>435.89846666666671</v>
      </c>
      <c r="U117" s="22">
        <v>355.08659999999998</v>
      </c>
      <c r="V117" s="22">
        <v>393.08573333333334</v>
      </c>
      <c r="W117" s="22">
        <v>484.55366666666663</v>
      </c>
      <c r="X117" s="22">
        <v>480.19253333333336</v>
      </c>
      <c r="Y117" s="22">
        <v>380.54426666666666</v>
      </c>
      <c r="Z117" s="22">
        <v>501.48046666666664</v>
      </c>
      <c r="AA117" s="22">
        <v>571.19113333333337</v>
      </c>
      <c r="AB117" s="22">
        <v>587.22106666666662</v>
      </c>
      <c r="AC117" s="22">
        <v>533.06336966666674</v>
      </c>
      <c r="AD117" s="22">
        <v>663.77159200000006</v>
      </c>
      <c r="AE117" s="22">
        <v>486.09938600666663</v>
      </c>
      <c r="AF117" s="22">
        <v>643.60119999999995</v>
      </c>
      <c r="AG117" s="22">
        <v>679.61446666666666</v>
      </c>
      <c r="AH117" s="22">
        <v>581.01044193354528</v>
      </c>
      <c r="AI117" s="22">
        <v>596.09913131599728</v>
      </c>
      <c r="AJ117" s="22">
        <v>610.43814242074211</v>
      </c>
      <c r="AK117" s="22">
        <v>624.84147486861002</v>
      </c>
      <c r="AL117" s="22">
        <v>639.24480722804208</v>
      </c>
      <c r="AM117" s="22">
        <v>653.64813958747379</v>
      </c>
      <c r="AN117" s="22">
        <v>668.05147194690596</v>
      </c>
      <c r="AO117" s="22">
        <v>682.45480439477376</v>
      </c>
      <c r="AP117" s="22">
        <v>697.25767845163148</v>
      </c>
      <c r="AQ117" s="22">
        <v>712.06055250848885</v>
      </c>
      <c r="AR117" s="22">
        <v>726.86342656534669</v>
      </c>
      <c r="AS117" s="22">
        <v>741.66630062220418</v>
      </c>
      <c r="AT117" s="22">
        <v>756.46917467906189</v>
      </c>
      <c r="AU117" s="22">
        <v>771.09582623300321</v>
      </c>
      <c r="AV117" s="22">
        <v>785.72247769850878</v>
      </c>
      <c r="AW117" s="22">
        <v>800.34912925244987</v>
      </c>
      <c r="AX117" s="22">
        <v>814.97578071795544</v>
      </c>
      <c r="AY117" s="22">
        <v>829.60243218346091</v>
      </c>
      <c r="AZ117" s="22">
        <v>844.42622344254914</v>
      </c>
      <c r="BA117" s="22">
        <v>859.2500147016375</v>
      </c>
      <c r="BB117" s="22">
        <v>874.07380587229011</v>
      </c>
      <c r="BC117" s="22">
        <v>888.89759713137823</v>
      </c>
      <c r="BD117" s="22">
        <v>903.72138839046647</v>
      </c>
      <c r="BE117" s="22">
        <v>919.28276094791306</v>
      </c>
      <c r="BF117" s="22">
        <v>934.8441334169238</v>
      </c>
      <c r="BG117" s="22">
        <v>950.40550597437027</v>
      </c>
      <c r="BH117" s="22">
        <v>965.96687853181686</v>
      </c>
      <c r="BI117" s="22">
        <v>981.52825108926322</v>
      </c>
      <c r="BJ117" s="22">
        <v>996.87965428673249</v>
      </c>
      <c r="BK117" s="22">
        <v>1012.231057484201</v>
      </c>
      <c r="BL117" s="22">
        <v>1027.5824607701059</v>
      </c>
      <c r="BM117" s="22">
        <v>1042.9338639675743</v>
      </c>
      <c r="BN117" s="22">
        <v>1058.2852671650435</v>
      </c>
    </row>
    <row r="118" spans="1:72" x14ac:dyDescent="0.25">
      <c r="E118" t="s">
        <v>637</v>
      </c>
      <c r="F118" s="22">
        <v>19504.904423790304</v>
      </c>
      <c r="G118" s="22">
        <v>20660.917389673377</v>
      </c>
      <c r="H118" s="22">
        <v>20413.635505827424</v>
      </c>
      <c r="I118" s="22">
        <v>20401.840953256564</v>
      </c>
      <c r="J118" s="22">
        <v>20005.189321068094</v>
      </c>
      <c r="K118" s="22">
        <v>19413.178172066404</v>
      </c>
      <c r="L118" s="22">
        <v>20236.165839433314</v>
      </c>
      <c r="M118" s="22">
        <v>20567.076909773743</v>
      </c>
      <c r="N118" s="22">
        <v>20477.475675482336</v>
      </c>
      <c r="O118" s="22">
        <v>20440.765105122711</v>
      </c>
      <c r="P118" s="22">
        <v>20694.986539568359</v>
      </c>
      <c r="Q118" s="22">
        <v>19970.885013290266</v>
      </c>
      <c r="R118" s="22">
        <v>20364.171552574975</v>
      </c>
      <c r="S118" s="22">
        <v>20058.54412967978</v>
      </c>
      <c r="T118" s="22">
        <v>19708.290781864089</v>
      </c>
      <c r="U118" s="22">
        <v>19400.216324542769</v>
      </c>
      <c r="V118" s="22">
        <v>19051.161605532838</v>
      </c>
      <c r="W118" s="22">
        <v>19933.38774514115</v>
      </c>
      <c r="X118" s="22">
        <v>20282.655015129261</v>
      </c>
      <c r="Y118" s="22">
        <v>20068.349414068991</v>
      </c>
      <c r="Z118" s="22">
        <v>19848.964864156231</v>
      </c>
      <c r="AA118" s="22">
        <v>19725.318772611696</v>
      </c>
      <c r="AB118" s="22">
        <v>20225.965895215482</v>
      </c>
      <c r="AC118" s="22">
        <v>20168.260387452727</v>
      </c>
      <c r="AD118" s="22">
        <v>20134.219305294246</v>
      </c>
      <c r="AE118" s="22">
        <v>19667.183224832243</v>
      </c>
      <c r="AF118" s="22">
        <v>18969.40439195502</v>
      </c>
      <c r="AG118" s="22">
        <v>19186.386775060691</v>
      </c>
      <c r="AH118" s="22">
        <v>19753.029018517012</v>
      </c>
      <c r="AI118" s="22">
        <v>19783.906857628604</v>
      </c>
      <c r="AJ118" s="22">
        <v>19779.701574173283</v>
      </c>
      <c r="AK118" s="22">
        <v>19778.904215576487</v>
      </c>
      <c r="AL118" s="22">
        <v>19777.995181996146</v>
      </c>
      <c r="AM118" s="22">
        <v>19776.984421077901</v>
      </c>
      <c r="AN118" s="22">
        <v>19775.880594293696</v>
      </c>
      <c r="AO118" s="22">
        <v>19774.691289095183</v>
      </c>
      <c r="AP118" s="22">
        <v>19775.119562820179</v>
      </c>
      <c r="AQ118" s="22">
        <v>19775.477408932729</v>
      </c>
      <c r="AR118" s="22">
        <v>19775.769943136052</v>
      </c>
      <c r="AS118" s="22">
        <v>19776.001736032402</v>
      </c>
      <c r="AT118" s="22">
        <v>19776.176888033733</v>
      </c>
      <c r="AU118" s="22">
        <v>19775.548399840234</v>
      </c>
      <c r="AV118" s="22">
        <v>19774.869408512444</v>
      </c>
      <c r="AW118" s="22">
        <v>19774.142986120893</v>
      </c>
      <c r="AX118" s="22">
        <v>19773.371926377677</v>
      </c>
      <c r="AY118" s="22">
        <v>19772.558779923431</v>
      </c>
      <c r="AZ118" s="22">
        <v>19772.548026839973</v>
      </c>
      <c r="BA118" s="22">
        <v>19772.500515214859</v>
      </c>
      <c r="BB118" s="22">
        <v>19772.418179134187</v>
      </c>
      <c r="BC118" s="22">
        <v>19772.302803273826</v>
      </c>
      <c r="BD118" s="22">
        <v>19772.156036103148</v>
      </c>
      <c r="BE118" s="22">
        <v>19775.137703889606</v>
      </c>
      <c r="BF118" s="22">
        <v>19778.093650274055</v>
      </c>
      <c r="BG118" s="22">
        <v>19781.025091887313</v>
      </c>
      <c r="BH118" s="22">
        <v>19783.933160775436</v>
      </c>
      <c r="BI118" s="22">
        <v>19786.818913472423</v>
      </c>
      <c r="BJ118" s="22">
        <v>19788.782445242443</v>
      </c>
      <c r="BK118" s="22">
        <v>19790.724893801369</v>
      </c>
      <c r="BL118" s="22">
        <v>19792.647148841716</v>
      </c>
      <c r="BM118" s="22">
        <v>19794.550044580425</v>
      </c>
      <c r="BN118" s="22">
        <v>19796.434366442383</v>
      </c>
    </row>
    <row r="119" spans="1:72" x14ac:dyDescent="0.25">
      <c r="E119" t="s">
        <v>639</v>
      </c>
      <c r="F119" s="22">
        <v>2388.0102035123605</v>
      </c>
      <c r="G119" s="22">
        <v>2422.3649563517615</v>
      </c>
      <c r="H119" s="22">
        <v>2366.0160295258652</v>
      </c>
      <c r="I119" s="22">
        <v>2332.024314033295</v>
      </c>
      <c r="J119" s="22">
        <v>2269.8856393890724</v>
      </c>
      <c r="K119" s="22">
        <v>2257.3551747657566</v>
      </c>
      <c r="L119" s="22">
        <v>2332.8794219128258</v>
      </c>
      <c r="M119" s="22">
        <v>2353.4608848045295</v>
      </c>
      <c r="N119" s="22">
        <v>2375.1086873788704</v>
      </c>
      <c r="O119" s="22">
        <v>2369.8122167060246</v>
      </c>
      <c r="P119" s="22">
        <v>2379.1334621159244</v>
      </c>
      <c r="Q119" s="22">
        <v>2332.4757077458062</v>
      </c>
      <c r="R119" s="22">
        <v>2352.5031586422174</v>
      </c>
      <c r="S119" s="22">
        <v>2317.0522227606916</v>
      </c>
      <c r="T119" s="22">
        <v>2291.1004488983099</v>
      </c>
      <c r="U119" s="22">
        <v>2260.716684821874</v>
      </c>
      <c r="V119" s="22">
        <v>2276.1004128580194</v>
      </c>
      <c r="W119" s="22">
        <v>2334.5451499588221</v>
      </c>
      <c r="X119" s="22">
        <v>2364.8401504898161</v>
      </c>
      <c r="Y119" s="22">
        <v>2357.3087175615215</v>
      </c>
      <c r="Z119" s="22">
        <v>2316.7336232801035</v>
      </c>
      <c r="AA119" s="22">
        <v>2313.3914976011652</v>
      </c>
      <c r="AB119" s="22">
        <v>2334.0985551108756</v>
      </c>
      <c r="AC119" s="22">
        <v>2348.8400209329502</v>
      </c>
      <c r="AD119" s="22">
        <v>2344.4692750460258</v>
      </c>
      <c r="AE119" s="22">
        <v>2299.7650755104332</v>
      </c>
      <c r="AF119" s="22">
        <v>2252.6390591444524</v>
      </c>
      <c r="AG119" s="22">
        <v>2235.452591217253</v>
      </c>
      <c r="AH119" s="22">
        <v>2318.6708655488487</v>
      </c>
      <c r="AI119" s="22">
        <v>2326.0988391477244</v>
      </c>
      <c r="AJ119" s="22">
        <v>2329.177625426456</v>
      </c>
      <c r="AK119" s="22">
        <v>2333.0242915983672</v>
      </c>
      <c r="AL119" s="22">
        <v>2336.8440320658519</v>
      </c>
      <c r="AM119" s="22">
        <v>2340.639256805041</v>
      </c>
      <c r="AN119" s="22">
        <v>2344.4120677609794</v>
      </c>
      <c r="AO119" s="22">
        <v>2348.1643090770926</v>
      </c>
      <c r="AP119" s="22">
        <v>2352.2228962152631</v>
      </c>
      <c r="AQ119" s="22">
        <v>2356.2646437004828</v>
      </c>
      <c r="AR119" s="22">
        <v>2360.2907919866634</v>
      </c>
      <c r="AS119" s="22">
        <v>2364.3024503005117</v>
      </c>
      <c r="AT119" s="22">
        <v>2368.3006144703381</v>
      </c>
      <c r="AU119" s="22">
        <v>2372.1420454436102</v>
      </c>
      <c r="AV119" s="22">
        <v>2375.9714551742882</v>
      </c>
      <c r="AW119" s="22">
        <v>2379.7895929910815</v>
      </c>
      <c r="AX119" s="22">
        <v>2383.5971404881425</v>
      </c>
      <c r="AY119" s="22">
        <v>2387.3947198876349</v>
      </c>
      <c r="AZ119" s="22">
        <v>2391.3447618385985</v>
      </c>
      <c r="BA119" s="22">
        <v>2395.2861478850841</v>
      </c>
      <c r="BB119" s="22">
        <v>2399.2193476668131</v>
      </c>
      <c r="BC119" s="22">
        <v>2403.1447942638629</v>
      </c>
      <c r="BD119" s="22">
        <v>2407.0628875054431</v>
      </c>
      <c r="BE119" s="22">
        <v>2411.5815060623418</v>
      </c>
      <c r="BF119" s="22">
        <v>2416.0941731688263</v>
      </c>
      <c r="BG119" s="22">
        <v>2420.6011787744819</v>
      </c>
      <c r="BH119" s="22">
        <v>2425.1027925074882</v>
      </c>
      <c r="BI119" s="22">
        <v>2429.5992657799802</v>
      </c>
      <c r="BJ119" s="22">
        <v>2433.9174402150056</v>
      </c>
      <c r="BK119" s="22">
        <v>2438.2307601014945</v>
      </c>
      <c r="BL119" s="22">
        <v>2442.5394374527291</v>
      </c>
      <c r="BM119" s="22">
        <v>2446.8436708840272</v>
      </c>
      <c r="BN119" s="22">
        <v>2451.1436471198567</v>
      </c>
    </row>
    <row r="120" spans="1:72" x14ac:dyDescent="0.25">
      <c r="E120" t="s">
        <v>638</v>
      </c>
      <c r="F120" s="22">
        <v>343.10330161578099</v>
      </c>
      <c r="G120" s="22">
        <v>365.58614133033353</v>
      </c>
      <c r="H120" s="22">
        <v>339.91114682728761</v>
      </c>
      <c r="I120" s="22">
        <v>352.62601984444137</v>
      </c>
      <c r="J120" s="22">
        <v>336.24824053022888</v>
      </c>
      <c r="K120" s="22">
        <v>354.90652971327108</v>
      </c>
      <c r="L120" s="22">
        <v>370.7282945162878</v>
      </c>
      <c r="M120" s="22">
        <v>367.33263044382841</v>
      </c>
      <c r="N120" s="22">
        <v>376.31467332854538</v>
      </c>
      <c r="O120" s="22">
        <v>380.26274683162796</v>
      </c>
      <c r="P120" s="22">
        <v>420.72277135231604</v>
      </c>
      <c r="Q120" s="22">
        <v>418.37207720994593</v>
      </c>
      <c r="R120" s="22">
        <v>406.12517665445523</v>
      </c>
      <c r="S120" s="22">
        <v>385.62180744131297</v>
      </c>
      <c r="T120" s="22">
        <v>383.11027791084422</v>
      </c>
      <c r="U120" s="22">
        <v>402.62502084090437</v>
      </c>
      <c r="V120" s="22">
        <v>407.68948429226828</v>
      </c>
      <c r="W120" s="22">
        <v>415.77221135959962</v>
      </c>
      <c r="X120" s="22">
        <v>450.38785912632164</v>
      </c>
      <c r="Y120" s="22">
        <v>447.90280780802436</v>
      </c>
      <c r="Z120" s="22">
        <v>450.47531382738657</v>
      </c>
      <c r="AA120" s="22">
        <v>455.70252815125627</v>
      </c>
      <c r="AB120" s="22">
        <v>454.2990120208886</v>
      </c>
      <c r="AC120" s="22">
        <v>467.1027930484243</v>
      </c>
      <c r="AD120" s="22">
        <v>463.97224881283108</v>
      </c>
      <c r="AE120" s="22">
        <v>471.70799949786652</v>
      </c>
      <c r="AF120" s="22">
        <v>471.14622162385422</v>
      </c>
      <c r="AG120" s="22">
        <v>483.13167606001025</v>
      </c>
      <c r="AH120" s="22">
        <v>468.97422378872818</v>
      </c>
      <c r="AI120" s="22">
        <v>475.2249218374152</v>
      </c>
      <c r="AJ120" s="22">
        <v>478.65003949368145</v>
      </c>
      <c r="AK120" s="22">
        <v>483.65498664992003</v>
      </c>
      <c r="AL120" s="22">
        <v>488.60759728253828</v>
      </c>
      <c r="AM120" s="22">
        <v>493.5128571299885</v>
      </c>
      <c r="AN120" s="22">
        <v>498.37510389742414</v>
      </c>
      <c r="AO120" s="22">
        <v>503.19813309399137</v>
      </c>
      <c r="AP120" s="22">
        <v>508.15424956126054</v>
      </c>
      <c r="AQ120" s="22">
        <v>513.07909238907621</v>
      </c>
      <c r="AR120" s="22">
        <v>517.97517053522256</v>
      </c>
      <c r="AS120" s="22">
        <v>522.84471928557002</v>
      </c>
      <c r="AT120" s="22">
        <v>527.6897377871494</v>
      </c>
      <c r="AU120" s="22">
        <v>532.43584846049509</v>
      </c>
      <c r="AV120" s="22">
        <v>537.16025527304782</v>
      </c>
      <c r="AW120" s="22">
        <v>541.86445238147269</v>
      </c>
      <c r="AX120" s="22">
        <v>546.54979385461331</v>
      </c>
      <c r="AY120" s="22">
        <v>551.21751045982899</v>
      </c>
      <c r="AZ120" s="22">
        <v>555.95546154582189</v>
      </c>
      <c r="BA120" s="22">
        <v>560.67847366596118</v>
      </c>
      <c r="BB120" s="22">
        <v>565.38745674669474</v>
      </c>
      <c r="BC120" s="22">
        <v>570.0832456614994</v>
      </c>
      <c r="BD120" s="22">
        <v>574.76660781803753</v>
      </c>
      <c r="BE120" s="22">
        <v>579.76740432819008</v>
      </c>
      <c r="BF120" s="22">
        <v>584.75875710576554</v>
      </c>
      <c r="BG120" s="22">
        <v>589.74119153472066</v>
      </c>
      <c r="BH120" s="22">
        <v>594.71519356554461</v>
      </c>
      <c r="BI120" s="22">
        <v>599.68121356374206</v>
      </c>
      <c r="BJ120" s="22">
        <v>604.54493484405009</v>
      </c>
      <c r="BK120" s="22">
        <v>609.40109743030723</v>
      </c>
      <c r="BL120" s="22">
        <v>614.25008012470573</v>
      </c>
      <c r="BM120" s="22">
        <v>619.09223605574277</v>
      </c>
      <c r="BN120" s="22">
        <v>623.92789508309704</v>
      </c>
    </row>
    <row r="121" spans="1:72" x14ac:dyDescent="0.25">
      <c r="E121" t="s">
        <v>740</v>
      </c>
      <c r="F121">
        <v>1114.2730572677472</v>
      </c>
      <c r="G121">
        <v>1114.2730572677472</v>
      </c>
      <c r="H121">
        <v>1114.2730572677472</v>
      </c>
      <c r="I121">
        <v>1114.2730572677472</v>
      </c>
      <c r="J121">
        <v>1114.2730572677472</v>
      </c>
      <c r="K121">
        <v>1114.2730572677472</v>
      </c>
      <c r="L121">
        <v>1114.2730572677472</v>
      </c>
      <c r="M121">
        <v>1114.2730572677472</v>
      </c>
      <c r="N121">
        <v>1114.2730572677472</v>
      </c>
      <c r="O121">
        <v>1114.2730572677472</v>
      </c>
      <c r="P121">
        <v>1103.7473247333526</v>
      </c>
      <c r="Q121">
        <v>1295.1615779672622</v>
      </c>
      <c r="R121">
        <v>1300.4179901779976</v>
      </c>
      <c r="S121">
        <v>1021.2239026078485</v>
      </c>
      <c r="T121">
        <v>890.95637702591955</v>
      </c>
      <c r="U121">
        <v>1429.3697355873492</v>
      </c>
      <c r="V121">
        <v>1251.7694565972624</v>
      </c>
      <c r="W121">
        <v>1234.9730242836924</v>
      </c>
      <c r="X121">
        <v>1150.1284038185643</v>
      </c>
      <c r="Y121">
        <v>1091.261696265384</v>
      </c>
      <c r="Z121">
        <v>1116.957250242162</v>
      </c>
      <c r="AA121">
        <v>1100.5811063069254</v>
      </c>
      <c r="AB121">
        <v>1010.9312887182766</v>
      </c>
      <c r="AC121">
        <v>956.65662263461502</v>
      </c>
      <c r="AD121">
        <v>1024.1532025090505</v>
      </c>
      <c r="AE121">
        <v>742.78507159014475</v>
      </c>
      <c r="AF121">
        <v>448.47103409650083</v>
      </c>
      <c r="AG121">
        <v>418.78097085765791</v>
      </c>
    </row>
    <row r="122" spans="1:72" x14ac:dyDescent="0.25">
      <c r="E122" t="s">
        <v>741</v>
      </c>
      <c r="F122">
        <v>1149.6141682079121</v>
      </c>
      <c r="G122">
        <v>1149.6141682079121</v>
      </c>
      <c r="H122">
        <v>1149.6141682079121</v>
      </c>
      <c r="I122">
        <v>1149.6141682079121</v>
      </c>
      <c r="J122">
        <v>1149.6141682079121</v>
      </c>
      <c r="K122">
        <v>1149.6141682079121</v>
      </c>
      <c r="L122">
        <v>1149.6141682079121</v>
      </c>
      <c r="M122">
        <v>1149.6141682079121</v>
      </c>
      <c r="N122">
        <v>1149.6141682079121</v>
      </c>
      <c r="O122">
        <v>1149.6141682079121</v>
      </c>
      <c r="P122">
        <v>1138.5083728727629</v>
      </c>
      <c r="Q122">
        <v>1348.0477860975932</v>
      </c>
      <c r="R122">
        <v>1328.8199324792706</v>
      </c>
      <c r="S122">
        <v>1017.846389296701</v>
      </c>
      <c r="T122">
        <v>914.84836029323264</v>
      </c>
      <c r="U122">
        <v>1448.2029822975244</v>
      </c>
      <c r="V122">
        <v>1263.6284316097351</v>
      </c>
      <c r="W122">
        <v>1217.6306521923173</v>
      </c>
      <c r="X122">
        <v>1180.4178811371937</v>
      </c>
      <c r="Y122">
        <v>1108.455283615433</v>
      </c>
      <c r="Z122">
        <v>1122.512590663056</v>
      </c>
      <c r="AA122">
        <v>1111.8425729905728</v>
      </c>
      <c r="AB122">
        <v>1003.2623700366383</v>
      </c>
      <c r="AC122">
        <v>980.98785105992999</v>
      </c>
      <c r="AD122">
        <v>1029.413853897383</v>
      </c>
      <c r="AE122">
        <v>748.29527463252236</v>
      </c>
      <c r="AF122">
        <v>435.50232253439043</v>
      </c>
      <c r="AG122">
        <v>408.72643283393637</v>
      </c>
    </row>
    <row r="123" spans="1:72" x14ac:dyDescent="0.25">
      <c r="E123" t="s">
        <v>742</v>
      </c>
      <c r="F123">
        <v>363.73333333333335</v>
      </c>
      <c r="G123">
        <v>386.1</v>
      </c>
      <c r="H123">
        <v>266.2</v>
      </c>
      <c r="I123">
        <v>413.6</v>
      </c>
      <c r="J123">
        <v>603.75919999999996</v>
      </c>
      <c r="K123">
        <v>481.52980333333335</v>
      </c>
      <c r="L123">
        <v>588.48859666666669</v>
      </c>
      <c r="M123">
        <v>556.65125999999998</v>
      </c>
      <c r="N123">
        <v>581.37815999999998</v>
      </c>
      <c r="O123">
        <v>577.08170666666672</v>
      </c>
      <c r="P123">
        <v>384.05253333333332</v>
      </c>
      <c r="Q123">
        <v>497.15031666666664</v>
      </c>
      <c r="R123">
        <v>683.69223999999997</v>
      </c>
      <c r="S123">
        <v>585.99346666666668</v>
      </c>
      <c r="T123">
        <v>585.5420633333332</v>
      </c>
      <c r="U123">
        <v>267.37941999999998</v>
      </c>
      <c r="V123">
        <v>445.96068000000002</v>
      </c>
      <c r="W123">
        <v>524.87031666666667</v>
      </c>
      <c r="X123">
        <v>658.9218166666667</v>
      </c>
      <c r="Y123">
        <v>701.39039489690549</v>
      </c>
      <c r="Z123">
        <v>659.21936851962221</v>
      </c>
      <c r="AA123">
        <v>728.33299508239213</v>
      </c>
      <c r="AB123">
        <v>834.93197842496943</v>
      </c>
      <c r="AC123">
        <v>755.27559526787866</v>
      </c>
      <c r="AD123">
        <v>778.70394325525831</v>
      </c>
      <c r="AE123">
        <v>785.73244765147194</v>
      </c>
      <c r="AF123">
        <v>987.21624034293666</v>
      </c>
      <c r="AG123">
        <v>1222.085428916417</v>
      </c>
    </row>
    <row r="124" spans="1:72" x14ac:dyDescent="0.25">
      <c r="E124" t="s">
        <v>743</v>
      </c>
      <c r="F124">
        <v>90.994567483487728</v>
      </c>
      <c r="G124">
        <v>111.62690198838213</v>
      </c>
      <c r="H124">
        <v>132.25923649327655</v>
      </c>
      <c r="I124">
        <v>152.89157099816552</v>
      </c>
      <c r="J124">
        <v>173.52390550305992</v>
      </c>
      <c r="K124">
        <v>194.15624000795432</v>
      </c>
      <c r="L124">
        <v>214.78857451284878</v>
      </c>
      <c r="M124">
        <v>235.42090901774316</v>
      </c>
      <c r="N124">
        <v>256.05324352263756</v>
      </c>
      <c r="O124">
        <v>276.68557802753202</v>
      </c>
      <c r="P124">
        <v>297.31791253242642</v>
      </c>
      <c r="Q124">
        <v>317.95024703732088</v>
      </c>
      <c r="R124">
        <v>338.58258154220977</v>
      </c>
      <c r="S124">
        <v>359.21491604710423</v>
      </c>
      <c r="T124">
        <v>435.89846666666665</v>
      </c>
      <c r="U124">
        <v>355.08659999999998</v>
      </c>
      <c r="V124">
        <v>393.08573333333334</v>
      </c>
      <c r="W124">
        <v>484.55366666666663</v>
      </c>
      <c r="X124">
        <v>480.1925333333333</v>
      </c>
      <c r="Y124">
        <v>380.54426666666666</v>
      </c>
      <c r="Z124">
        <v>501.48046666666664</v>
      </c>
      <c r="AA124">
        <v>571.19113333333325</v>
      </c>
      <c r="AB124">
        <v>587.22106666666662</v>
      </c>
      <c r="AC124">
        <v>533.06336966666674</v>
      </c>
      <c r="AD124">
        <v>663.77159200000006</v>
      </c>
      <c r="AE124">
        <v>486.09938600666663</v>
      </c>
      <c r="AF124">
        <v>643.60119999999995</v>
      </c>
      <c r="AG124">
        <v>679.61446666666666</v>
      </c>
    </row>
    <row r="125" spans="1:72" x14ac:dyDescent="0.25">
      <c r="E125" t="s">
        <v>744</v>
      </c>
      <c r="F125">
        <v>18467.2344176074</v>
      </c>
      <c r="G125">
        <v>19894.379979012047</v>
      </c>
      <c r="H125">
        <v>19508.057170250366</v>
      </c>
      <c r="I125">
        <v>19296.286149483876</v>
      </c>
      <c r="J125">
        <v>18829.799299341739</v>
      </c>
      <c r="K125">
        <v>18816.693751205934</v>
      </c>
      <c r="L125">
        <v>19386.372113208152</v>
      </c>
      <c r="M125">
        <v>19675.368284891847</v>
      </c>
      <c r="N125">
        <v>19967.155293555603</v>
      </c>
      <c r="O125">
        <v>20038.391547786159</v>
      </c>
      <c r="P125">
        <v>20072.524975980316</v>
      </c>
      <c r="Q125">
        <v>19701.088061992123</v>
      </c>
      <c r="R125">
        <v>20023.216099759749</v>
      </c>
      <c r="S125">
        <v>19072.340993484708</v>
      </c>
      <c r="T125">
        <v>18849.389549512067</v>
      </c>
      <c r="U125">
        <v>18446.259485586925</v>
      </c>
      <c r="V125">
        <v>18589.571736189206</v>
      </c>
      <c r="W125">
        <v>18224.734436942501</v>
      </c>
      <c r="X125">
        <v>19088.198147813157</v>
      </c>
      <c r="Y125">
        <v>18553.028011451712</v>
      </c>
      <c r="Z125">
        <v>18939.805460502525</v>
      </c>
      <c r="AA125">
        <v>18994.993526805851</v>
      </c>
      <c r="AB125">
        <v>18278.302953548075</v>
      </c>
      <c r="AC125">
        <v>19582.342769355033</v>
      </c>
      <c r="AD125">
        <v>19570.475186144038</v>
      </c>
      <c r="AE125">
        <v>19327.673861761683</v>
      </c>
      <c r="AF125">
        <v>18029.075027657447</v>
      </c>
      <c r="AG125">
        <v>18081.049004423898</v>
      </c>
    </row>
    <row r="126" spans="1:72" x14ac:dyDescent="0.25">
      <c r="E126" t="s">
        <v>745</v>
      </c>
      <c r="F126">
        <v>2447.8863951470803</v>
      </c>
      <c r="G126">
        <v>2496.9018451868697</v>
      </c>
      <c r="H126">
        <v>2435.3630625952328</v>
      </c>
      <c r="I126">
        <v>2396.995208451192</v>
      </c>
      <c r="J126">
        <v>2325.2582722477832</v>
      </c>
      <c r="K126">
        <v>2349.1668279124592</v>
      </c>
      <c r="L126">
        <v>2406.4403578126485</v>
      </c>
      <c r="M126">
        <v>2433.097951693017</v>
      </c>
      <c r="N126">
        <v>2471.2628832175142</v>
      </c>
      <c r="O126">
        <v>2472.2132034057472</v>
      </c>
      <c r="P126">
        <v>2480.4922407158388</v>
      </c>
      <c r="Q126">
        <v>2454.0922943343203</v>
      </c>
      <c r="R126">
        <v>2476.3439129367157</v>
      </c>
      <c r="S126">
        <v>2359.3324950161041</v>
      </c>
      <c r="T126">
        <v>2347.4845744803165</v>
      </c>
      <c r="U126">
        <v>2284.6952992295182</v>
      </c>
      <c r="V126">
        <v>2357.5665947783837</v>
      </c>
      <c r="W126">
        <v>2297.5662221729922</v>
      </c>
      <c r="X126">
        <v>2380.9463845396517</v>
      </c>
      <c r="Y126">
        <v>2329.35287655092</v>
      </c>
      <c r="Z126">
        <v>2369.3465541862302</v>
      </c>
      <c r="AA126">
        <v>2370.4305491547971</v>
      </c>
      <c r="AB126">
        <v>2269.153208313021</v>
      </c>
      <c r="AC126">
        <v>2431.7524623901409</v>
      </c>
      <c r="AD126">
        <v>2430.5768400701409</v>
      </c>
      <c r="AE126">
        <v>2407.0023766672321</v>
      </c>
      <c r="AF126">
        <v>2265.174978621726</v>
      </c>
      <c r="AG126">
        <v>2253.2585636522972</v>
      </c>
    </row>
    <row r="127" spans="1:72" x14ac:dyDescent="0.25">
      <c r="E127" t="s">
        <v>746</v>
      </c>
      <c r="F127">
        <v>332.77730613860399</v>
      </c>
      <c r="G127">
        <v>353.03457691007083</v>
      </c>
      <c r="H127">
        <v>329.75336223257443</v>
      </c>
      <c r="I127">
        <v>341.70939722274608</v>
      </c>
      <c r="J127">
        <v>326.52853902593881</v>
      </c>
      <c r="K127">
        <v>344.58323593662567</v>
      </c>
      <c r="L127">
        <v>360.27670046049241</v>
      </c>
      <c r="M127">
        <v>357.64284080532752</v>
      </c>
      <c r="N127">
        <v>367.73848791261435</v>
      </c>
      <c r="O127">
        <v>372.0452384281258</v>
      </c>
      <c r="P127">
        <v>408.94308689508148</v>
      </c>
      <c r="Q127">
        <v>406.68937516322404</v>
      </c>
      <c r="R127">
        <v>397.06973777083419</v>
      </c>
      <c r="S127">
        <v>376.09010924780205</v>
      </c>
      <c r="T127">
        <v>374.09743931517124</v>
      </c>
      <c r="U127">
        <v>392.69820864834276</v>
      </c>
      <c r="V127">
        <v>398.35557315486267</v>
      </c>
      <c r="W127">
        <v>404.14478384272525</v>
      </c>
      <c r="X127">
        <v>438.4751035531649</v>
      </c>
      <c r="Y127">
        <v>433.26067452840772</v>
      </c>
      <c r="Z127">
        <v>438.54251424027257</v>
      </c>
      <c r="AA127">
        <v>444.74604882624305</v>
      </c>
      <c r="AB127">
        <v>440.60780254144959</v>
      </c>
      <c r="AC127">
        <v>456.58226294187887</v>
      </c>
      <c r="AD127">
        <v>454.87268271519412</v>
      </c>
      <c r="AE127">
        <v>463.54275866618883</v>
      </c>
      <c r="AF127">
        <v>458.22071963845576</v>
      </c>
      <c r="AG127">
        <v>469.34598780544559</v>
      </c>
    </row>
  </sheetData>
  <pageMargins left="0.7" right="0.7" top="0.75" bottom="0.75" header="0.3" footer="0.3"/>
  <pageSetup paperSize="9" orientation="portrait" r:id="rId1"/>
  <drawing r:id="rId2"/>
  <extLst>
    <ext xmlns:x14="http://schemas.microsoft.com/office/spreadsheetml/2009/9/main" uri="{05C60535-1F16-4fd2-B633-F4F36F0B64E0}">
      <x14:sparklineGroups xmlns:xm="http://schemas.microsoft.com/office/excel/2006/main">
        <x14:sparklineGroup displayEmptyCellsAs="gap" xr2:uid="{00000000-0003-0000-1100-000006000000}">
          <x14:colorSeries rgb="FF376092"/>
          <x14:colorNegative rgb="FFD00000"/>
          <x14:colorAxis rgb="FF000000"/>
          <x14:colorMarkers rgb="FFD00000"/>
          <x14:colorFirst rgb="FFD00000"/>
          <x14:colorLast rgb="FFD00000"/>
          <x14:colorHigh rgb="FFD00000"/>
          <x14:colorLow rgb="FFD00000"/>
          <x14:sparklines>
            <x14:sparkline>
              <xm:f>'Emissions summary'!F5:AG5</xm:f>
              <xm:sqref>BP5</xm:sqref>
            </x14:sparkline>
          </x14:sparklines>
        </x14:sparklineGroup>
      </x14:sparklineGroup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6"/>
  </sheetPr>
  <dimension ref="A6:F8"/>
  <sheetViews>
    <sheetView workbookViewId="0">
      <selection activeCell="C8" sqref="C8"/>
    </sheetView>
  </sheetViews>
  <sheetFormatPr defaultRowHeight="15" x14ac:dyDescent="0.25"/>
  <cols>
    <col min="3" max="3" width="14.7109375" customWidth="1"/>
  </cols>
  <sheetData>
    <row r="6" spans="1:6" x14ac:dyDescent="0.25">
      <c r="D6" t="s">
        <v>886</v>
      </c>
      <c r="E6" t="s">
        <v>887</v>
      </c>
      <c r="F6" t="s">
        <v>888</v>
      </c>
    </row>
    <row r="7" spans="1:6" x14ac:dyDescent="0.25">
      <c r="A7" t="s">
        <v>889</v>
      </c>
      <c r="B7" t="s">
        <v>938</v>
      </c>
      <c r="C7" t="str">
        <f>"DriversCGE!"&amp;ADDRESS(ROW(DriversCGE!A7),COLUMN(DriversCGE!A7),4)</f>
        <v>DriversCGE!A7</v>
      </c>
      <c r="D7">
        <v>1</v>
      </c>
      <c r="E7">
        <v>1</v>
      </c>
    </row>
    <row r="8" spans="1:6" x14ac:dyDescent="0.25">
      <c r="A8" t="s">
        <v>889</v>
      </c>
      <c r="B8" t="s">
        <v>907</v>
      </c>
      <c r="C8" t="str">
        <f>"DriversCGE!"&amp;ADDRESS(ROW(DriversCGE!A34),COLUMN(DriversCGE!A34),4)</f>
        <v>DriversCGE!A34</v>
      </c>
      <c r="E8">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6"/>
  </sheetPr>
  <dimension ref="A6:F7"/>
  <sheetViews>
    <sheetView workbookViewId="0">
      <selection activeCell="B8" sqref="B8"/>
    </sheetView>
  </sheetViews>
  <sheetFormatPr defaultRowHeight="15" x14ac:dyDescent="0.25"/>
  <cols>
    <col min="2" max="2" width="14" bestFit="1" customWidth="1"/>
    <col min="3" max="3" width="19.28515625" customWidth="1"/>
  </cols>
  <sheetData>
    <row r="6" spans="1:6" x14ac:dyDescent="0.25">
      <c r="D6" t="s">
        <v>886</v>
      </c>
      <c r="E6" t="s">
        <v>887</v>
      </c>
      <c r="F6" t="s">
        <v>888</v>
      </c>
    </row>
    <row r="7" spans="1:6" x14ac:dyDescent="0.25">
      <c r="A7" t="s">
        <v>889</v>
      </c>
      <c r="B7" t="s">
        <v>908</v>
      </c>
      <c r="C7" t="str">
        <f>"GHGSummary!"&amp;ADDRESS(ROW(GHGSummary!B6),COLUMN(GHGSummary!B6),4)</f>
        <v>GHGSummary!B6</v>
      </c>
      <c r="D7">
        <v>2</v>
      </c>
      <c r="E7">
        <v>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6"/>
  </sheetPr>
  <dimension ref="A7:AN35"/>
  <sheetViews>
    <sheetView tabSelected="1" topLeftCell="A21" workbookViewId="0">
      <selection activeCell="A46" sqref="A46:AN56"/>
    </sheetView>
  </sheetViews>
  <sheetFormatPr defaultRowHeight="15" x14ac:dyDescent="0.25"/>
  <sheetData>
    <row r="7" spans="1:40" x14ac:dyDescent="0.25">
      <c r="B7" s="96" t="s">
        <v>940</v>
      </c>
      <c r="C7" s="96" t="s">
        <v>941</v>
      </c>
      <c r="D7" s="96" t="s">
        <v>942</v>
      </c>
      <c r="E7" s="96" t="s">
        <v>943</v>
      </c>
      <c r="F7" s="96" t="s">
        <v>944</v>
      </c>
      <c r="G7" s="96" t="s">
        <v>945</v>
      </c>
      <c r="H7" s="96" t="s">
        <v>946</v>
      </c>
      <c r="I7" s="96" t="s">
        <v>947</v>
      </c>
      <c r="J7" s="96" t="s">
        <v>948</v>
      </c>
      <c r="K7" s="96" t="s">
        <v>949</v>
      </c>
      <c r="L7" s="96" t="s">
        <v>950</v>
      </c>
      <c r="M7" s="96" t="s">
        <v>951</v>
      </c>
      <c r="N7" s="96" t="s">
        <v>952</v>
      </c>
      <c r="O7" s="96" t="s">
        <v>953</v>
      </c>
      <c r="P7" s="96" t="s">
        <v>954</v>
      </c>
      <c r="Q7" s="96" t="s">
        <v>955</v>
      </c>
      <c r="R7" s="96" t="s">
        <v>956</v>
      </c>
      <c r="S7" s="96" t="s">
        <v>957</v>
      </c>
      <c r="T7" s="96" t="s">
        <v>958</v>
      </c>
      <c r="U7" s="96" t="s">
        <v>959</v>
      </c>
      <c r="V7" s="96" t="s">
        <v>960</v>
      </c>
      <c r="W7" s="96" t="s">
        <v>961</v>
      </c>
      <c r="X7" s="96" t="s">
        <v>962</v>
      </c>
      <c r="Y7" s="96" t="s">
        <v>963</v>
      </c>
      <c r="Z7" s="96" t="s">
        <v>964</v>
      </c>
      <c r="AA7" s="96" t="s">
        <v>965</v>
      </c>
      <c r="AB7" s="96" t="s">
        <v>966</v>
      </c>
      <c r="AC7" s="96" t="s">
        <v>967</v>
      </c>
      <c r="AD7" s="96" t="s">
        <v>968</v>
      </c>
      <c r="AE7" s="96" t="s">
        <v>969</v>
      </c>
      <c r="AF7" s="96" t="s">
        <v>970</v>
      </c>
      <c r="AG7" s="96" t="s">
        <v>971</v>
      </c>
      <c r="AH7" s="96" t="s">
        <v>972</v>
      </c>
      <c r="AI7" s="96" t="s">
        <v>973</v>
      </c>
      <c r="AJ7" s="96" t="s">
        <v>974</v>
      </c>
      <c r="AK7" s="96" t="s">
        <v>975</v>
      </c>
      <c r="AL7" s="96" t="s">
        <v>976</v>
      </c>
      <c r="AM7" s="96" t="s">
        <v>977</v>
      </c>
      <c r="AN7" s="96" t="s">
        <v>978</v>
      </c>
    </row>
    <row r="8" spans="1:40" x14ac:dyDescent="0.25">
      <c r="A8" s="96" t="s">
        <v>891</v>
      </c>
      <c r="B8">
        <v>1833.8485148656712</v>
      </c>
      <c r="C8">
        <v>1885.7015651233251</v>
      </c>
      <c r="D8">
        <v>1933.3041395679857</v>
      </c>
      <c r="E8">
        <v>1970.285075794158</v>
      </c>
      <c r="F8">
        <v>2001.01609264681</v>
      </c>
      <c r="G8">
        <v>2034.7963275832817</v>
      </c>
      <c r="H8">
        <v>2074.8345280086942</v>
      </c>
      <c r="I8">
        <v>2121.5382697238733</v>
      </c>
      <c r="J8">
        <v>1965.6216213658736</v>
      </c>
      <c r="K8">
        <v>2019.7924871909838</v>
      </c>
      <c r="L8">
        <v>2074.5517648116506</v>
      </c>
      <c r="M8">
        <v>2130.5462712950612</v>
      </c>
      <c r="N8">
        <v>2190.7254307950466</v>
      </c>
      <c r="O8">
        <v>2257.0518069372129</v>
      </c>
      <c r="P8">
        <v>2326.325910324741</v>
      </c>
      <c r="Q8">
        <v>2400.2090348735228</v>
      </c>
      <c r="R8">
        <v>2478.657268449786</v>
      </c>
      <c r="S8">
        <v>2565.7767681766918</v>
      </c>
      <c r="T8">
        <v>2653.4792908909731</v>
      </c>
      <c r="U8">
        <v>2754.5223650055814</v>
      </c>
      <c r="V8">
        <v>2859.6081913788803</v>
      </c>
      <c r="W8">
        <v>2968.5317591218713</v>
      </c>
      <c r="X8">
        <v>3080.8609390009824</v>
      </c>
      <c r="Y8">
        <v>3188.03263784417</v>
      </c>
      <c r="Z8">
        <v>3298.4237557845136</v>
      </c>
      <c r="AA8">
        <v>3417.5752774308939</v>
      </c>
      <c r="AB8">
        <v>3542.4876812119146</v>
      </c>
      <c r="AC8">
        <v>3666.1584916190432</v>
      </c>
      <c r="AD8">
        <v>3792.3971469807984</v>
      </c>
      <c r="AE8">
        <v>3923.5691181740203</v>
      </c>
      <c r="AF8">
        <v>4061.8770876329363</v>
      </c>
      <c r="AG8">
        <v>4208.6007506817195</v>
      </c>
      <c r="AH8">
        <v>4363.2574601282276</v>
      </c>
      <c r="AI8">
        <v>4528.8198137383442</v>
      </c>
      <c r="AJ8">
        <v>4701.7552238178196</v>
      </c>
      <c r="AK8">
        <v>4882.7152190421684</v>
      </c>
      <c r="AL8">
        <v>5064.5969714253997</v>
      </c>
      <c r="AM8">
        <v>5255.2161522385559</v>
      </c>
      <c r="AN8">
        <v>5456.48192519246</v>
      </c>
    </row>
    <row r="9" spans="1:40" x14ac:dyDescent="0.25">
      <c r="A9" s="96" t="s">
        <v>939</v>
      </c>
      <c r="B9">
        <v>69.817113338467323</v>
      </c>
      <c r="C9">
        <v>73.084480424576626</v>
      </c>
      <c r="D9">
        <v>76.060676127209433</v>
      </c>
      <c r="E9">
        <v>75.095213857792942</v>
      </c>
      <c r="F9">
        <v>74.32443052603638</v>
      </c>
      <c r="G9">
        <v>76.981595074100639</v>
      </c>
      <c r="H9">
        <v>75.912064316315679</v>
      </c>
      <c r="I9">
        <v>74.93874408103558</v>
      </c>
      <c r="J9">
        <v>72.199760992954197</v>
      </c>
      <c r="K9">
        <v>74.262195161314494</v>
      </c>
      <c r="L9">
        <v>76.454916232656373</v>
      </c>
      <c r="M9">
        <v>78.324372214520864</v>
      </c>
      <c r="N9">
        <v>80.252573177983649</v>
      </c>
      <c r="O9">
        <v>82.340504243764826</v>
      </c>
      <c r="P9">
        <v>84.324295543975609</v>
      </c>
      <c r="Q9">
        <v>86.397304044071518</v>
      </c>
      <c r="R9">
        <v>88.553249109774768</v>
      </c>
      <c r="S9">
        <v>90.849106064885376</v>
      </c>
      <c r="T9">
        <v>92.985005290268816</v>
      </c>
      <c r="U9">
        <v>95.567894594286869</v>
      </c>
      <c r="V9">
        <v>98.143054695078334</v>
      </c>
      <c r="W9">
        <v>100.78968499064639</v>
      </c>
      <c r="X9">
        <v>103.3676460422374</v>
      </c>
      <c r="Y9">
        <v>105.69857709113154</v>
      </c>
      <c r="Z9">
        <v>108.06498680458466</v>
      </c>
      <c r="AA9">
        <v>110.82085151773352</v>
      </c>
      <c r="AB9">
        <v>113.64613533289335</v>
      </c>
      <c r="AC9">
        <v>116.40835599388147</v>
      </c>
      <c r="AD9">
        <v>119.20050119210929</v>
      </c>
      <c r="AE9">
        <v>122.09364455385212</v>
      </c>
      <c r="AF9">
        <v>125.15873042388755</v>
      </c>
      <c r="AG9">
        <v>128.42383545753725</v>
      </c>
      <c r="AH9">
        <v>131.87155347992663</v>
      </c>
      <c r="AI9">
        <v>135.5815508818408</v>
      </c>
      <c r="AJ9">
        <v>139.45016683255761</v>
      </c>
      <c r="AK9">
        <v>143.50387909959593</v>
      </c>
      <c r="AL9">
        <v>147.49639884279702</v>
      </c>
      <c r="AM9">
        <v>151.68828933947444</v>
      </c>
      <c r="AN9">
        <v>156.08594275651879</v>
      </c>
    </row>
    <row r="10" spans="1:40" x14ac:dyDescent="0.25">
      <c r="A10" s="96" t="s">
        <v>897</v>
      </c>
      <c r="B10">
        <v>205.44872804460732</v>
      </c>
      <c r="C10">
        <v>210.61281256670321</v>
      </c>
      <c r="D10">
        <v>211.70750493899612</v>
      </c>
      <c r="E10">
        <v>218.60577499146555</v>
      </c>
      <c r="F10">
        <v>215.77004518003611</v>
      </c>
      <c r="G10">
        <v>222.72586914473621</v>
      </c>
      <c r="H10">
        <v>221.7679335149987</v>
      </c>
      <c r="I10">
        <v>219.34505497339092</v>
      </c>
      <c r="J10">
        <v>201.43204275056564</v>
      </c>
      <c r="K10">
        <v>205.12156795560611</v>
      </c>
      <c r="L10">
        <v>208.52881484331886</v>
      </c>
      <c r="M10">
        <v>211.91903344407552</v>
      </c>
      <c r="N10">
        <v>215.60191233311463</v>
      </c>
      <c r="O10">
        <v>219.88070216155137</v>
      </c>
      <c r="P10">
        <v>224.24452899596602</v>
      </c>
      <c r="Q10">
        <v>229.08586976690393</v>
      </c>
      <c r="R10">
        <v>234.05543741670951</v>
      </c>
      <c r="S10">
        <v>240.19709210954707</v>
      </c>
      <c r="T10">
        <v>246.54129746653683</v>
      </c>
      <c r="U10">
        <v>254.23031592337315</v>
      </c>
      <c r="V10">
        <v>262.30312124686742</v>
      </c>
      <c r="W10">
        <v>270.64717295004556</v>
      </c>
      <c r="X10">
        <v>278.89822848806216</v>
      </c>
      <c r="Y10">
        <v>287.79674020157353</v>
      </c>
      <c r="Z10">
        <v>296.10316397240098</v>
      </c>
      <c r="AA10">
        <v>305.36398764170661</v>
      </c>
      <c r="AB10">
        <v>314.80229729206815</v>
      </c>
      <c r="AC10">
        <v>323.9832920892415</v>
      </c>
      <c r="AD10">
        <v>333.23874536037681</v>
      </c>
      <c r="AE10">
        <v>342.01240943821756</v>
      </c>
      <c r="AF10">
        <v>350.87200952770536</v>
      </c>
      <c r="AG10">
        <v>359.97973902036449</v>
      </c>
      <c r="AH10">
        <v>369.33822180417951</v>
      </c>
      <c r="AI10">
        <v>379.20479808287877</v>
      </c>
      <c r="AJ10">
        <v>389.90512456094967</v>
      </c>
      <c r="AK10">
        <v>401.0566200042087</v>
      </c>
      <c r="AL10">
        <v>412.06701706417687</v>
      </c>
      <c r="AM10">
        <v>423.55415913624751</v>
      </c>
      <c r="AN10">
        <v>435.72207092916807</v>
      </c>
    </row>
    <row r="11" spans="1:40" x14ac:dyDescent="0.25">
      <c r="A11" s="96" t="s">
        <v>894</v>
      </c>
      <c r="B11">
        <v>93.096909428331088</v>
      </c>
      <c r="C11">
        <v>96.52134964498326</v>
      </c>
      <c r="D11">
        <v>99.101861504407253</v>
      </c>
      <c r="E11">
        <v>100.4373768571746</v>
      </c>
      <c r="F11">
        <v>102.6419500185586</v>
      </c>
      <c r="G11">
        <v>103.87370264797701</v>
      </c>
      <c r="H11">
        <v>105.52158971568019</v>
      </c>
      <c r="I11">
        <v>105.56346208082664</v>
      </c>
      <c r="J11">
        <v>100.57878381742515</v>
      </c>
      <c r="K11">
        <v>103.87705117123676</v>
      </c>
      <c r="L11">
        <v>107.18275950031797</v>
      </c>
      <c r="M11">
        <v>110.1467392717541</v>
      </c>
      <c r="N11">
        <v>113.22394289374884</v>
      </c>
      <c r="O11">
        <v>116.53252942544383</v>
      </c>
      <c r="P11">
        <v>119.75386870201805</v>
      </c>
      <c r="Q11">
        <v>123.073979502951</v>
      </c>
      <c r="R11">
        <v>126.52567006132332</v>
      </c>
      <c r="S11">
        <v>130.27837653447804</v>
      </c>
      <c r="T11">
        <v>133.9336846257743</v>
      </c>
      <c r="U11">
        <v>138.25883692486642</v>
      </c>
      <c r="V11">
        <v>142.59881695064649</v>
      </c>
      <c r="W11">
        <v>146.92231681887546</v>
      </c>
      <c r="X11">
        <v>151.12818184343766</v>
      </c>
      <c r="Y11">
        <v>155.02671889130161</v>
      </c>
      <c r="Z11">
        <v>158.98550536901809</v>
      </c>
      <c r="AA11">
        <v>163.40301841850373</v>
      </c>
      <c r="AB11">
        <v>167.94695377565608</v>
      </c>
      <c r="AC11">
        <v>172.44416644311656</v>
      </c>
      <c r="AD11">
        <v>176.98850838493854</v>
      </c>
      <c r="AE11">
        <v>181.49983009814909</v>
      </c>
      <c r="AF11">
        <v>186.14987117629119</v>
      </c>
      <c r="AG11">
        <v>190.98942523314366</v>
      </c>
      <c r="AH11">
        <v>196.04152336153729</v>
      </c>
      <c r="AI11">
        <v>201.42149089085058</v>
      </c>
      <c r="AJ11">
        <v>207.24338937597673</v>
      </c>
      <c r="AK11">
        <v>213.44101697064485</v>
      </c>
      <c r="AL11">
        <v>219.63052931354702</v>
      </c>
      <c r="AM11">
        <v>226.1041591590145</v>
      </c>
      <c r="AN11">
        <v>232.92062503644783</v>
      </c>
    </row>
    <row r="12" spans="1:40" x14ac:dyDescent="0.25">
      <c r="A12" s="96" t="s">
        <v>900</v>
      </c>
      <c r="B12">
        <v>235.49802282756184</v>
      </c>
      <c r="C12">
        <v>242.04421938442479</v>
      </c>
      <c r="D12">
        <v>246.69366563508726</v>
      </c>
      <c r="E12">
        <v>250.52630099573656</v>
      </c>
      <c r="F12">
        <v>253.61962588772877</v>
      </c>
      <c r="G12">
        <v>255.99318213717211</v>
      </c>
      <c r="H12">
        <v>259.55322914888359</v>
      </c>
      <c r="I12">
        <v>260.88718905845354</v>
      </c>
      <c r="J12">
        <v>236.42202378465205</v>
      </c>
      <c r="K12">
        <v>243.65244224988027</v>
      </c>
      <c r="L12">
        <v>250.84332358704251</v>
      </c>
      <c r="M12">
        <v>258.07452374258935</v>
      </c>
      <c r="N12">
        <v>265.76866821864007</v>
      </c>
      <c r="O12">
        <v>274.27038459114988</v>
      </c>
      <c r="P12">
        <v>282.95529243211615</v>
      </c>
      <c r="Q12">
        <v>292.09072311195877</v>
      </c>
      <c r="R12">
        <v>301.72935872489529</v>
      </c>
      <c r="S12">
        <v>312.17949495879429</v>
      </c>
      <c r="T12">
        <v>322.57544880249293</v>
      </c>
      <c r="U12">
        <v>334.6617701782119</v>
      </c>
      <c r="V12">
        <v>347.11324192349014</v>
      </c>
      <c r="W12">
        <v>359.88099376485246</v>
      </c>
      <c r="X12">
        <v>372.87735276547494</v>
      </c>
      <c r="Y12">
        <v>385.11901803787725</v>
      </c>
      <c r="Z12">
        <v>397.99170682620502</v>
      </c>
      <c r="AA12">
        <v>411.98501981831845</v>
      </c>
      <c r="AB12">
        <v>426.54986761601765</v>
      </c>
      <c r="AC12">
        <v>440.8765729689369</v>
      </c>
      <c r="AD12">
        <v>455.44867628753343</v>
      </c>
      <c r="AE12">
        <v>470.48608474174785</v>
      </c>
      <c r="AF12">
        <v>486.30806080202467</v>
      </c>
      <c r="AG12">
        <v>503.06546280842292</v>
      </c>
      <c r="AH12">
        <v>520.7037499422247</v>
      </c>
      <c r="AI12">
        <v>539.57103677157158</v>
      </c>
      <c r="AJ12">
        <v>559.12942638402103</v>
      </c>
      <c r="AK12">
        <v>579.49495417730884</v>
      </c>
      <c r="AL12">
        <v>599.83506117619447</v>
      </c>
      <c r="AM12">
        <v>621.17316030771497</v>
      </c>
      <c r="AN12">
        <v>643.78633366296458</v>
      </c>
    </row>
    <row r="13" spans="1:40" x14ac:dyDescent="0.25">
      <c r="A13" s="96" t="s">
        <v>902</v>
      </c>
      <c r="B13">
        <v>17.781500762507129</v>
      </c>
      <c r="C13">
        <v>18.230679864401097</v>
      </c>
      <c r="D13">
        <v>18.620745990406459</v>
      </c>
      <c r="E13">
        <v>18.863319860921262</v>
      </c>
      <c r="F13">
        <v>19.24403614945922</v>
      </c>
      <c r="G13">
        <v>19.406686030012519</v>
      </c>
      <c r="H13">
        <v>19.767374103881625</v>
      </c>
      <c r="I13">
        <v>19.868875674778952</v>
      </c>
      <c r="J13">
        <v>18.45629419626356</v>
      </c>
      <c r="K13">
        <v>19.008665900908106</v>
      </c>
      <c r="L13">
        <v>19.549066421815269</v>
      </c>
      <c r="M13">
        <v>20.105091802490492</v>
      </c>
      <c r="N13">
        <v>20.727539591308005</v>
      </c>
      <c r="O13">
        <v>21.401167456708759</v>
      </c>
      <c r="P13">
        <v>22.049400027289948</v>
      </c>
      <c r="Q13">
        <v>22.724684170449411</v>
      </c>
      <c r="R13">
        <v>23.430870159432523</v>
      </c>
      <c r="S13">
        <v>24.228627317830554</v>
      </c>
      <c r="T13">
        <v>25.017822959373287</v>
      </c>
      <c r="U13">
        <v>25.92159362222489</v>
      </c>
      <c r="V13">
        <v>26.838731408307467</v>
      </c>
      <c r="W13">
        <v>27.74898511226478</v>
      </c>
      <c r="X13">
        <v>28.66213120220841</v>
      </c>
      <c r="Y13">
        <v>29.090433202619071</v>
      </c>
      <c r="Z13">
        <v>30.000295730928304</v>
      </c>
      <c r="AA13">
        <v>30.933135732239847</v>
      </c>
      <c r="AB13">
        <v>31.872157653750634</v>
      </c>
      <c r="AC13">
        <v>32.779918101661558</v>
      </c>
      <c r="AD13">
        <v>33.694530661513326</v>
      </c>
      <c r="AE13">
        <v>34.626485828339781</v>
      </c>
      <c r="AF13">
        <v>35.604431438877839</v>
      </c>
      <c r="AG13">
        <v>36.639896955028867</v>
      </c>
      <c r="AH13">
        <v>37.726061761847184</v>
      </c>
      <c r="AI13">
        <v>38.88639142384212</v>
      </c>
      <c r="AJ13">
        <v>40.113033765246485</v>
      </c>
      <c r="AK13">
        <v>41.39910267311236</v>
      </c>
      <c r="AL13">
        <v>42.671065160849608</v>
      </c>
      <c r="AM13">
        <v>44.001445150996531</v>
      </c>
      <c r="AN13">
        <v>45.4097824977393</v>
      </c>
    </row>
    <row r="14" spans="1:40" x14ac:dyDescent="0.25">
      <c r="A14" s="96" t="s">
        <v>892</v>
      </c>
      <c r="B14">
        <v>52.810230956689566</v>
      </c>
      <c r="C14">
        <v>54.389696552232927</v>
      </c>
      <c r="D14">
        <v>55.518868926042344</v>
      </c>
      <c r="E14">
        <v>56.228647108080331</v>
      </c>
      <c r="F14">
        <v>56.936067540679339</v>
      </c>
      <c r="G14">
        <v>57.508691300535972</v>
      </c>
      <c r="H14">
        <v>58.307206771775654</v>
      </c>
      <c r="I14">
        <v>58.508494598193465</v>
      </c>
      <c r="J14">
        <v>53.897268260656901</v>
      </c>
      <c r="K14">
        <v>55.439455941140118</v>
      </c>
      <c r="L14">
        <v>56.986178905808046</v>
      </c>
      <c r="M14">
        <v>58.496257080494217</v>
      </c>
      <c r="N14">
        <v>60.112064545227966</v>
      </c>
      <c r="O14">
        <v>61.901855542417152</v>
      </c>
      <c r="P14">
        <v>63.697952868187862</v>
      </c>
      <c r="Q14">
        <v>65.582486399109939</v>
      </c>
      <c r="R14">
        <v>67.564075706680683</v>
      </c>
      <c r="S14">
        <v>69.780162937426681</v>
      </c>
      <c r="T14">
        <v>71.993414855202232</v>
      </c>
      <c r="U14">
        <v>74.538724693673657</v>
      </c>
      <c r="V14">
        <v>77.140185899694416</v>
      </c>
      <c r="W14">
        <v>79.77818380599642</v>
      </c>
      <c r="X14">
        <v>82.473458506284402</v>
      </c>
      <c r="Y14">
        <v>84.994153728938713</v>
      </c>
      <c r="Z14">
        <v>87.638708742913366</v>
      </c>
      <c r="AA14">
        <v>90.453473748907754</v>
      </c>
      <c r="AB14">
        <v>93.363422162220886</v>
      </c>
      <c r="AC14">
        <v>96.213748507616373</v>
      </c>
      <c r="AD14">
        <v>99.087982289313061</v>
      </c>
      <c r="AE14">
        <v>101.99030118260373</v>
      </c>
      <c r="AF14">
        <v>105.04496993053019</v>
      </c>
      <c r="AG14">
        <v>108.27677399863572</v>
      </c>
      <c r="AH14">
        <v>111.68203585245382</v>
      </c>
      <c r="AI14">
        <v>115.33389759819801</v>
      </c>
      <c r="AJ14">
        <v>119.21169437808291</v>
      </c>
      <c r="AK14">
        <v>123.26273304993197</v>
      </c>
      <c r="AL14">
        <v>127.31382437355464</v>
      </c>
      <c r="AM14">
        <v>131.552718887564</v>
      </c>
      <c r="AN14">
        <v>136.02667232078124</v>
      </c>
    </row>
    <row r="15" spans="1:40" x14ac:dyDescent="0.25">
      <c r="A15" s="96" t="s">
        <v>899</v>
      </c>
      <c r="B15">
        <v>14.113350558119546</v>
      </c>
      <c r="C15">
        <v>14.4973039925594</v>
      </c>
      <c r="D15">
        <v>14.764484422894107</v>
      </c>
      <c r="E15">
        <v>15.027432532803822</v>
      </c>
      <c r="F15">
        <v>15.234428045263627</v>
      </c>
      <c r="G15">
        <v>15.436705778313303</v>
      </c>
      <c r="H15">
        <v>15.690028978612197</v>
      </c>
      <c r="I15">
        <v>15.804345502481191</v>
      </c>
      <c r="J15">
        <v>14.509771145862679</v>
      </c>
      <c r="K15">
        <v>14.936979689550272</v>
      </c>
      <c r="L15">
        <v>15.363990326187183</v>
      </c>
      <c r="M15">
        <v>15.802631908548436</v>
      </c>
      <c r="N15">
        <v>16.26769907837458</v>
      </c>
      <c r="O15">
        <v>16.781001954080619</v>
      </c>
      <c r="P15">
        <v>17.312441940082039</v>
      </c>
      <c r="Q15">
        <v>17.873685675383886</v>
      </c>
      <c r="R15">
        <v>18.466907222768572</v>
      </c>
      <c r="S15">
        <v>19.106518057770515</v>
      </c>
      <c r="T15">
        <v>19.741631752637431</v>
      </c>
      <c r="U15">
        <v>20.470179594736521</v>
      </c>
      <c r="V15">
        <v>21.220355392149436</v>
      </c>
      <c r="W15">
        <v>21.990559892575099</v>
      </c>
      <c r="X15">
        <v>22.779890322810154</v>
      </c>
      <c r="Y15">
        <v>23.524065564898521</v>
      </c>
      <c r="Z15">
        <v>24.309715936291852</v>
      </c>
      <c r="AA15">
        <v>25.15240292242899</v>
      </c>
      <c r="AB15">
        <v>26.034183412667467</v>
      </c>
      <c r="AC15">
        <v>26.890593523313974</v>
      </c>
      <c r="AD15">
        <v>27.75829113406926</v>
      </c>
      <c r="AE15">
        <v>28.668651136451121</v>
      </c>
      <c r="AF15">
        <v>29.626029981741898</v>
      </c>
      <c r="AG15">
        <v>30.63930687467731</v>
      </c>
      <c r="AH15">
        <v>31.703374175813796</v>
      </c>
      <c r="AI15">
        <v>32.838642780379615</v>
      </c>
      <c r="AJ15">
        <v>34.024750137022572</v>
      </c>
      <c r="AK15">
        <v>35.262771250497536</v>
      </c>
      <c r="AL15">
        <v>36.491476795856208</v>
      </c>
      <c r="AM15">
        <v>37.779760030997522</v>
      </c>
      <c r="AN15">
        <v>39.145133140956979</v>
      </c>
    </row>
    <row r="16" spans="1:40" x14ac:dyDescent="0.25">
      <c r="A16" s="96" t="s">
        <v>896</v>
      </c>
      <c r="B16">
        <v>13.345629432701704</v>
      </c>
      <c r="C16">
        <v>13.746272140460379</v>
      </c>
      <c r="D16">
        <v>14.002163841152896</v>
      </c>
      <c r="E16">
        <v>14.367219169022873</v>
      </c>
      <c r="F16">
        <v>14.441912575836975</v>
      </c>
      <c r="G16">
        <v>14.571746850954311</v>
      </c>
      <c r="H16">
        <v>14.606237167941147</v>
      </c>
      <c r="I16">
        <v>14.519363027078018</v>
      </c>
      <c r="J16">
        <v>12.699153542714553</v>
      </c>
      <c r="K16">
        <v>13.082339992353877</v>
      </c>
      <c r="L16">
        <v>13.380575096573789</v>
      </c>
      <c r="M16">
        <v>13.676038416408201</v>
      </c>
      <c r="N16">
        <v>13.983082144037049</v>
      </c>
      <c r="O16">
        <v>14.361995129405205</v>
      </c>
      <c r="P16">
        <v>14.712097758105955</v>
      </c>
      <c r="Q16">
        <v>15.061208272976247</v>
      </c>
      <c r="R16">
        <v>15.419998777657817</v>
      </c>
      <c r="S16">
        <v>15.865862922438147</v>
      </c>
      <c r="T16">
        <v>16.310968723373318</v>
      </c>
      <c r="U16">
        <v>16.838443799387289</v>
      </c>
      <c r="V16">
        <v>17.366666080531502</v>
      </c>
      <c r="W16">
        <v>17.887429908712249</v>
      </c>
      <c r="X16">
        <v>18.397482801852465</v>
      </c>
      <c r="Y16">
        <v>18.9120383262898</v>
      </c>
      <c r="Z16">
        <v>19.422740131945694</v>
      </c>
      <c r="AA16">
        <v>20.068222182028972</v>
      </c>
      <c r="AB16">
        <v>20.562758143649969</v>
      </c>
      <c r="AC16">
        <v>21.037470717380785</v>
      </c>
      <c r="AD16">
        <v>21.509769958271988</v>
      </c>
      <c r="AE16">
        <v>21.990629152680238</v>
      </c>
      <c r="AF16">
        <v>22.492830735375804</v>
      </c>
      <c r="AG16">
        <v>23.021701730539565</v>
      </c>
      <c r="AH16">
        <v>23.575453811663436</v>
      </c>
      <c r="AI16">
        <v>24.168242354611895</v>
      </c>
      <c r="AJ16">
        <v>24.841314994574866</v>
      </c>
      <c r="AK16">
        <v>25.532261156768048</v>
      </c>
      <c r="AL16">
        <v>26.213663906036107</v>
      </c>
      <c r="AM16">
        <v>26.922803601437806</v>
      </c>
      <c r="AN16">
        <v>27.674625817161434</v>
      </c>
    </row>
    <row r="17" spans="1:40" x14ac:dyDescent="0.25">
      <c r="A17" s="96" t="s">
        <v>898</v>
      </c>
      <c r="B17">
        <v>10.112362730184632</v>
      </c>
      <c r="C17">
        <v>8.5814345617734524</v>
      </c>
      <c r="D17">
        <v>7.8779078102465103</v>
      </c>
      <c r="E17">
        <v>7.9983082464445703</v>
      </c>
      <c r="F17">
        <v>7.7914797700632246</v>
      </c>
      <c r="G17">
        <v>7.5055445981011131</v>
      </c>
      <c r="H17">
        <v>7.3684473227227132</v>
      </c>
      <c r="I17">
        <v>7.0807229868951467</v>
      </c>
      <c r="J17">
        <v>5.7930072313737062</v>
      </c>
      <c r="K17">
        <v>5.9622635576410898</v>
      </c>
      <c r="L17">
        <v>6.0410013908713172</v>
      </c>
      <c r="M17">
        <v>6.1156609747798258</v>
      </c>
      <c r="N17">
        <v>6.2189401837671667</v>
      </c>
      <c r="O17">
        <v>6.3867609959805378</v>
      </c>
      <c r="P17">
        <v>6.5356545313801728</v>
      </c>
      <c r="Q17">
        <v>6.6912378240891179</v>
      </c>
      <c r="R17">
        <v>6.854196114678162</v>
      </c>
      <c r="S17">
        <v>7.1171748939434716</v>
      </c>
      <c r="T17">
        <v>7.4023616437782023</v>
      </c>
      <c r="U17">
        <v>7.7680882133469691</v>
      </c>
      <c r="V17">
        <v>8.1447115613847672</v>
      </c>
      <c r="W17">
        <v>8.5255606105354342</v>
      </c>
      <c r="X17">
        <v>8.8827761906097447</v>
      </c>
      <c r="Y17">
        <v>9.2437387505180499</v>
      </c>
      <c r="Z17">
        <v>9.5932808101279594</v>
      </c>
      <c r="AA17">
        <v>10.007027114086064</v>
      </c>
      <c r="AB17">
        <v>10.416518779902555</v>
      </c>
      <c r="AC17">
        <v>10.802317725007505</v>
      </c>
      <c r="AD17">
        <v>11.174538441461179</v>
      </c>
      <c r="AE17">
        <v>11.471190286891675</v>
      </c>
      <c r="AF17">
        <v>11.732907445697849</v>
      </c>
      <c r="AG17">
        <v>11.967208807111785</v>
      </c>
      <c r="AH17">
        <v>12.175116508754638</v>
      </c>
      <c r="AI17">
        <v>12.367950514957293</v>
      </c>
      <c r="AJ17">
        <v>12.616210914912417</v>
      </c>
      <c r="AK17">
        <v>12.868723618234821</v>
      </c>
      <c r="AL17">
        <v>13.103749131382632</v>
      </c>
      <c r="AM17">
        <v>13.337409610731969</v>
      </c>
      <c r="AN17">
        <v>13.579242734957676</v>
      </c>
    </row>
    <row r="18" spans="1:40" x14ac:dyDescent="0.25">
      <c r="A18" s="96" t="s">
        <v>895</v>
      </c>
      <c r="B18">
        <v>1.2396211872289537E-4</v>
      </c>
      <c r="C18">
        <v>1.3616767728296143E-4</v>
      </c>
      <c r="D18">
        <v>1.5155614799422181E-4</v>
      </c>
      <c r="E18">
        <v>1.5092792928034172E-4</v>
      </c>
      <c r="F18">
        <v>1.5081018534921452E-4</v>
      </c>
      <c r="G18">
        <v>1.5005900166841188E-4</v>
      </c>
      <c r="H18">
        <v>1.585286364130975E-4</v>
      </c>
      <c r="I18">
        <v>1.6050200188120949E-4</v>
      </c>
      <c r="J18">
        <v>1.2845210117933838E-4</v>
      </c>
      <c r="K18">
        <v>1.4025157623158378E-4</v>
      </c>
      <c r="L18">
        <v>1.4471834495777017E-4</v>
      </c>
      <c r="M18">
        <v>1.481211709388517E-4</v>
      </c>
      <c r="N18">
        <v>1.5213011216246841E-4</v>
      </c>
      <c r="O18">
        <v>1.6004911591521577E-4</v>
      </c>
      <c r="P18">
        <v>1.629505946524531E-4</v>
      </c>
      <c r="Q18">
        <v>1.6477685667834816E-4</v>
      </c>
      <c r="R18">
        <v>1.6586532646650171E-4</v>
      </c>
      <c r="S18">
        <v>1.2377734615598245E-4</v>
      </c>
      <c r="T18">
        <v>1.2377734615598245E-4</v>
      </c>
      <c r="U18">
        <v>1.2377734615598248E-4</v>
      </c>
      <c r="V18">
        <v>1.2377734615598248E-4</v>
      </c>
      <c r="W18">
        <v>1.2377734615598248E-4</v>
      </c>
      <c r="X18">
        <v>1.237773461559825E-4</v>
      </c>
      <c r="Y18">
        <v>1.237773461559825E-4</v>
      </c>
      <c r="Z18">
        <v>1.2377734615598256E-4</v>
      </c>
      <c r="AA18">
        <v>1.2377734615598259E-4</v>
      </c>
      <c r="AB18">
        <v>1.2377734615598261E-4</v>
      </c>
      <c r="AC18">
        <v>1.2377734615598259E-4</v>
      </c>
      <c r="AD18">
        <v>1.2377734615598267E-4</v>
      </c>
      <c r="AE18">
        <v>1.2377734615598269E-4</v>
      </c>
      <c r="AF18">
        <v>1.2377734615598272E-4</v>
      </c>
      <c r="AG18">
        <v>1.2377734615598277E-4</v>
      </c>
      <c r="AH18">
        <v>1.2377734615598277E-4</v>
      </c>
      <c r="AI18">
        <v>1.2377734615598277E-4</v>
      </c>
      <c r="AJ18">
        <v>1.2377734615598275E-4</v>
      </c>
      <c r="AK18">
        <v>1.2377734615598275E-4</v>
      </c>
      <c r="AL18">
        <v>1.2377734615598275E-4</v>
      </c>
      <c r="AM18">
        <v>1.2377734615598272E-4</v>
      </c>
      <c r="AN18">
        <v>1.2377734615598272E-4</v>
      </c>
    </row>
    <row r="19" spans="1:40" x14ac:dyDescent="0.25">
      <c r="A19" s="96" t="s">
        <v>893</v>
      </c>
      <c r="B19">
        <v>84.250557323843182</v>
      </c>
      <c r="C19">
        <v>82.973171498028421</v>
      </c>
      <c r="D19">
        <v>81.238648480550239</v>
      </c>
      <c r="E19">
        <v>79.502720204964291</v>
      </c>
      <c r="F19">
        <v>77.911419155575942</v>
      </c>
      <c r="G19">
        <v>77.817545441461931</v>
      </c>
      <c r="H19">
        <v>77.787941253975433</v>
      </c>
      <c r="I19">
        <v>77.719406642128604</v>
      </c>
      <c r="J19">
        <v>71.34878895111288</v>
      </c>
      <c r="K19">
        <v>74.38897749405514</v>
      </c>
      <c r="L19">
        <v>74.300623693292934</v>
      </c>
      <c r="M19">
        <v>75.302311665386057</v>
      </c>
      <c r="N19">
        <v>76.046234069047244</v>
      </c>
      <c r="O19">
        <v>77.319531582464208</v>
      </c>
      <c r="P19">
        <v>78.294359188460035</v>
      </c>
      <c r="Q19">
        <v>79.494893915394741</v>
      </c>
      <c r="R19">
        <v>80.634295399845527</v>
      </c>
      <c r="S19">
        <v>82.328722087286394</v>
      </c>
      <c r="T19">
        <v>84.071571867626474</v>
      </c>
      <c r="U19">
        <v>85.883542052139902</v>
      </c>
      <c r="V19">
        <v>87.805480071419069</v>
      </c>
      <c r="W19">
        <v>89.77891514784676</v>
      </c>
      <c r="X19">
        <v>91.167331916088742</v>
      </c>
      <c r="Y19">
        <v>90.930090268100329</v>
      </c>
      <c r="Z19">
        <v>92.234885440660605</v>
      </c>
      <c r="AA19">
        <v>93.369267165699142</v>
      </c>
      <c r="AB19">
        <v>95.720012804652782</v>
      </c>
      <c r="AC19">
        <v>97.925116331823332</v>
      </c>
      <c r="AD19">
        <v>100.04606705672991</v>
      </c>
      <c r="AE19">
        <v>101.84039213198916</v>
      </c>
      <c r="AF19">
        <v>103.4413456097474</v>
      </c>
      <c r="AG19">
        <v>105.006091264971</v>
      </c>
      <c r="AH19">
        <v>106.51648889419367</v>
      </c>
      <c r="AI19">
        <v>107.99809537856773</v>
      </c>
      <c r="AJ19">
        <v>109.95952106806421</v>
      </c>
      <c r="AK19">
        <v>111.97297437171306</v>
      </c>
      <c r="AL19">
        <v>114.087664392958</v>
      </c>
      <c r="AM19">
        <v>116.31528255595855</v>
      </c>
      <c r="AN19">
        <v>118.67257480391855</v>
      </c>
    </row>
    <row r="20" spans="1:40" x14ac:dyDescent="0.25">
      <c r="A20" s="96" t="s">
        <v>905</v>
      </c>
      <c r="B20">
        <v>21.151207305916333</v>
      </c>
      <c r="C20">
        <v>22.474872468554796</v>
      </c>
      <c r="D20">
        <v>24.134343065458062</v>
      </c>
      <c r="E20">
        <v>25.329594018654007</v>
      </c>
      <c r="F20">
        <v>26.141460752383807</v>
      </c>
      <c r="G20">
        <v>28.039437646332885</v>
      </c>
      <c r="H20">
        <v>30.209664632638855</v>
      </c>
      <c r="I20">
        <v>31.656947966794412</v>
      </c>
      <c r="J20">
        <v>30.395635529684586</v>
      </c>
      <c r="K20">
        <v>31.783937578580176</v>
      </c>
      <c r="L20">
        <v>33.273234464528961</v>
      </c>
      <c r="M20">
        <v>34.877778410442943</v>
      </c>
      <c r="N20">
        <v>36.639762822297882</v>
      </c>
      <c r="O20">
        <v>38.614911303366796</v>
      </c>
      <c r="P20">
        <v>40.686514254109952</v>
      </c>
      <c r="Q20">
        <v>42.946600830965096</v>
      </c>
      <c r="R20">
        <v>45.400474779190695</v>
      </c>
      <c r="S20">
        <v>48.140371705792901</v>
      </c>
      <c r="T20">
        <v>50.943651368033223</v>
      </c>
      <c r="U20">
        <v>54.206791552825791</v>
      </c>
      <c r="V20">
        <v>57.694134418760221</v>
      </c>
      <c r="W20">
        <v>61.35328122445209</v>
      </c>
      <c r="X20">
        <v>65.119259800287693</v>
      </c>
      <c r="Y20">
        <v>69.04101907883171</v>
      </c>
      <c r="Z20">
        <v>73.07227284711206</v>
      </c>
      <c r="AA20">
        <v>77.576595687856482</v>
      </c>
      <c r="AB20">
        <v>82.676323638955409</v>
      </c>
      <c r="AC20">
        <v>88.017054196321894</v>
      </c>
      <c r="AD20">
        <v>93.809900171879192</v>
      </c>
      <c r="AE20">
        <v>99.7411056055616</v>
      </c>
      <c r="AF20">
        <v>105.92038935927812</v>
      </c>
      <c r="AG20">
        <v>112.40944549633242</v>
      </c>
      <c r="AH20">
        <v>119.18980270223302</v>
      </c>
      <c r="AI20">
        <v>126.3555927406142</v>
      </c>
      <c r="AJ20">
        <v>133.79830651228588</v>
      </c>
      <c r="AK20">
        <v>141.50551351538138</v>
      </c>
      <c r="AL20">
        <v>149.06904458653099</v>
      </c>
      <c r="AM20">
        <v>156.91547054112689</v>
      </c>
      <c r="AN20">
        <v>165.10820448781701</v>
      </c>
    </row>
    <row r="21" spans="1:40" x14ac:dyDescent="0.25">
      <c r="A21" s="96" t="s">
        <v>904</v>
      </c>
      <c r="B21">
        <v>135.95535691221744</v>
      </c>
      <c r="C21">
        <v>140.06329989998395</v>
      </c>
      <c r="D21">
        <v>143.40022192598263</v>
      </c>
      <c r="E21">
        <v>145.36629238778605</v>
      </c>
      <c r="F21">
        <v>146.85825994638719</v>
      </c>
      <c r="G21">
        <v>149.26894536798196</v>
      </c>
      <c r="H21">
        <v>151.61468192385649</v>
      </c>
      <c r="I21">
        <v>152.96669483426552</v>
      </c>
      <c r="J21">
        <v>141.97210393216901</v>
      </c>
      <c r="K21">
        <v>145.53826899254591</v>
      </c>
      <c r="L21">
        <v>149.20624265153637</v>
      </c>
      <c r="M21">
        <v>152.95787193120884</v>
      </c>
      <c r="N21">
        <v>157.02322129666706</v>
      </c>
      <c r="O21">
        <v>161.41835887524965</v>
      </c>
      <c r="P21">
        <v>165.94179378909251</v>
      </c>
      <c r="Q21">
        <v>170.75804572788257</v>
      </c>
      <c r="R21">
        <v>175.93386383299401</v>
      </c>
      <c r="S21">
        <v>181.49635373653857</v>
      </c>
      <c r="T21">
        <v>186.94357053047105</v>
      </c>
      <c r="U21">
        <v>193.13224182976796</v>
      </c>
      <c r="V21">
        <v>199.51212449307255</v>
      </c>
      <c r="W21">
        <v>206.06868172174052</v>
      </c>
      <c r="X21">
        <v>212.95919135142842</v>
      </c>
      <c r="Y21">
        <v>219.52659081714262</v>
      </c>
      <c r="Z21">
        <v>226.23608647160307</v>
      </c>
      <c r="AA21">
        <v>233.20444806545197</v>
      </c>
      <c r="AB21">
        <v>240.40312194631832</v>
      </c>
      <c r="AC21">
        <v>247.44611814322653</v>
      </c>
      <c r="AD21">
        <v>254.62644951713858</v>
      </c>
      <c r="AE21">
        <v>262.37150117371198</v>
      </c>
      <c r="AF21">
        <v>270.55806436938843</v>
      </c>
      <c r="AG21">
        <v>279.25820083737051</v>
      </c>
      <c r="AH21">
        <v>288.43585961093089</v>
      </c>
      <c r="AI21">
        <v>298.28011096982084</v>
      </c>
      <c r="AJ21">
        <v>308.43410357709894</v>
      </c>
      <c r="AK21">
        <v>319.03403542707667</v>
      </c>
      <c r="AL21">
        <v>329.58023973570789</v>
      </c>
      <c r="AM21">
        <v>340.66148850509501</v>
      </c>
      <c r="AN21">
        <v>352.4075048234493</v>
      </c>
    </row>
    <row r="22" spans="1:40" x14ac:dyDescent="0.25">
      <c r="A22" s="96" t="s">
        <v>903</v>
      </c>
      <c r="B22">
        <v>11.263564724197561</v>
      </c>
      <c r="C22">
        <v>11.608937939172707</v>
      </c>
      <c r="D22">
        <v>12.005224900352937</v>
      </c>
      <c r="E22">
        <v>12.277410835819509</v>
      </c>
      <c r="F22">
        <v>12.406616502312138</v>
      </c>
      <c r="G22">
        <v>12.618999402617231</v>
      </c>
      <c r="H22">
        <v>12.956116789267172</v>
      </c>
      <c r="I22">
        <v>13.169065682457543</v>
      </c>
      <c r="J22">
        <v>12.402292845474859</v>
      </c>
      <c r="K22">
        <v>12.787396584544551</v>
      </c>
      <c r="L22">
        <v>13.11656795287303</v>
      </c>
      <c r="M22">
        <v>13.411791134085631</v>
      </c>
      <c r="N22">
        <v>13.713195789796403</v>
      </c>
      <c r="O22">
        <v>14.015043502204927</v>
      </c>
      <c r="P22">
        <v>14.318974941383377</v>
      </c>
      <c r="Q22">
        <v>14.62705415243982</v>
      </c>
      <c r="R22">
        <v>14.958573567536622</v>
      </c>
      <c r="S22">
        <v>15.320225078969555</v>
      </c>
      <c r="T22">
        <v>15.715359582745956</v>
      </c>
      <c r="U22">
        <v>16.207331142493196</v>
      </c>
      <c r="V22">
        <v>16.659373678644059</v>
      </c>
      <c r="W22">
        <v>17.117382298233675</v>
      </c>
      <c r="X22">
        <v>17.575025566383285</v>
      </c>
      <c r="Y22">
        <v>17.980207829428647</v>
      </c>
      <c r="Z22">
        <v>18.405072220623591</v>
      </c>
      <c r="AA22">
        <v>18.834508673791763</v>
      </c>
      <c r="AB22">
        <v>19.291937964920493</v>
      </c>
      <c r="AC22">
        <v>19.735204858396305</v>
      </c>
      <c r="AD22">
        <v>20.169464795936182</v>
      </c>
      <c r="AE22">
        <v>20.634391054596815</v>
      </c>
      <c r="AF22">
        <v>21.106176240125418</v>
      </c>
      <c r="AG22">
        <v>21.611615139906363</v>
      </c>
      <c r="AH22">
        <v>22.143378337618653</v>
      </c>
      <c r="AI22">
        <v>22.723108495101943</v>
      </c>
      <c r="AJ22">
        <v>23.336574236110941</v>
      </c>
      <c r="AK22">
        <v>23.984176841133113</v>
      </c>
      <c r="AL22">
        <v>24.633405085808906</v>
      </c>
      <c r="AM22">
        <v>25.310895202648179</v>
      </c>
      <c r="AN22">
        <v>26.039408122097857</v>
      </c>
    </row>
    <row r="23" spans="1:40" x14ac:dyDescent="0.25">
      <c r="A23" s="96" t="s">
        <v>906</v>
      </c>
      <c r="B23">
        <v>1.1351531206547483</v>
      </c>
      <c r="C23">
        <v>1.1530787690577808</v>
      </c>
      <c r="D23">
        <v>1.1356352438244446</v>
      </c>
      <c r="E23">
        <v>1.1248055927648213</v>
      </c>
      <c r="F23">
        <v>1.1405249284965648</v>
      </c>
      <c r="G23">
        <v>1.1519287579497512</v>
      </c>
      <c r="H23">
        <v>1.1222880552863821</v>
      </c>
      <c r="I23">
        <v>1.1044727522711122</v>
      </c>
      <c r="J23">
        <v>0.99508346643309675</v>
      </c>
      <c r="K23">
        <v>0.99865904049118392</v>
      </c>
      <c r="L23">
        <v>1.0193920189012553</v>
      </c>
      <c r="M23">
        <v>1.0486519945220141</v>
      </c>
      <c r="N23">
        <v>1.0839121957764972</v>
      </c>
      <c r="O23">
        <v>1.1269175535389682</v>
      </c>
      <c r="P23">
        <v>1.174541094565217</v>
      </c>
      <c r="Q23">
        <v>1.2290402484798888</v>
      </c>
      <c r="R23">
        <v>1.2863330824261585</v>
      </c>
      <c r="S23">
        <v>1.3518155491189159</v>
      </c>
      <c r="T23">
        <v>1.4064346048796734</v>
      </c>
      <c r="U23">
        <v>1.4576197177963408</v>
      </c>
      <c r="V23">
        <v>1.5261510626714803</v>
      </c>
      <c r="W23">
        <v>1.5996743252240759</v>
      </c>
      <c r="X23">
        <v>1.6843001809525007</v>
      </c>
      <c r="Y23">
        <v>1.7718553570961246</v>
      </c>
      <c r="Z23">
        <v>1.859405830827717</v>
      </c>
      <c r="AA23">
        <v>1.9542391025763637</v>
      </c>
      <c r="AB23">
        <v>2.0457356678493301</v>
      </c>
      <c r="AC23">
        <v>2.1371775364198178</v>
      </c>
      <c r="AD23">
        <v>2.2352666219279484</v>
      </c>
      <c r="AE23">
        <v>2.3401400965456594</v>
      </c>
      <c r="AF23">
        <v>2.4562171137623454</v>
      </c>
      <c r="AG23">
        <v>2.5780111987688725</v>
      </c>
      <c r="AH23">
        <v>2.7069007690794624</v>
      </c>
      <c r="AI23">
        <v>2.84231688594617</v>
      </c>
      <c r="AJ23">
        <v>2.9823216465330766</v>
      </c>
      <c r="AK23">
        <v>3.1265284843222996</v>
      </c>
      <c r="AL23">
        <v>3.2693983914372051</v>
      </c>
      <c r="AM23">
        <v>3.4206749017531783</v>
      </c>
      <c r="AN23">
        <v>3.5771757832538245</v>
      </c>
    </row>
    <row r="24" spans="1:40" x14ac:dyDescent="0.25">
      <c r="A24" s="96" t="s">
        <v>901</v>
      </c>
      <c r="B24">
        <v>27.516308224731564</v>
      </c>
      <c r="C24">
        <v>26.898173113557782</v>
      </c>
      <c r="D24">
        <v>26.286696289554076</v>
      </c>
      <c r="E24">
        <v>25.675457862771214</v>
      </c>
      <c r="F24">
        <v>25.675457862771207</v>
      </c>
      <c r="G24">
        <v>25.675457862771196</v>
      </c>
      <c r="H24">
        <v>25.664411652714378</v>
      </c>
      <c r="I24">
        <v>25.660580060899118</v>
      </c>
      <c r="J24">
        <v>25.664270637042698</v>
      </c>
      <c r="K24">
        <v>25.664270637042701</v>
      </c>
      <c r="L24">
        <v>25.664270637042701</v>
      </c>
      <c r="M24">
        <v>25.664270637042698</v>
      </c>
      <c r="N24">
        <v>25.664270637042691</v>
      </c>
      <c r="O24">
        <v>25.107552344607392</v>
      </c>
      <c r="P24">
        <v>25.107552344607399</v>
      </c>
      <c r="Q24">
        <v>25.107552344607392</v>
      </c>
      <c r="R24">
        <v>25.1337355628905</v>
      </c>
      <c r="S24">
        <v>25.1337355628905</v>
      </c>
      <c r="T24">
        <v>25.107552344607388</v>
      </c>
      <c r="U24">
        <v>24.45737052959317</v>
      </c>
      <c r="V24">
        <v>23.958608438659212</v>
      </c>
      <c r="W24">
        <v>23.744356258249528</v>
      </c>
      <c r="X24">
        <v>24.64713743952786</v>
      </c>
      <c r="Y24">
        <v>25.527668731235732</v>
      </c>
      <c r="Z24">
        <v>26.064995380629977</v>
      </c>
      <c r="AA24">
        <v>25.02013010859562</v>
      </c>
      <c r="AB24">
        <v>23.857155594948157</v>
      </c>
      <c r="AC24">
        <v>22.69418108130068</v>
      </c>
      <c r="AD24">
        <v>21.531206567653225</v>
      </c>
      <c r="AE24">
        <v>21.141082613778835</v>
      </c>
      <c r="AF24">
        <v>20.750958659904445</v>
      </c>
      <c r="AG24">
        <v>20.360834706030058</v>
      </c>
      <c r="AH24">
        <v>19.970710752155661</v>
      </c>
      <c r="AI24">
        <v>19.580586798281264</v>
      </c>
      <c r="AJ24">
        <v>19.444635717808442</v>
      </c>
      <c r="AK24">
        <v>19.308684637335617</v>
      </c>
      <c r="AL24">
        <v>19.172733556862809</v>
      </c>
      <c r="AM24">
        <v>19.036782476389988</v>
      </c>
      <c r="AN24">
        <v>18.900831395917177</v>
      </c>
    </row>
    <row r="25" spans="1:40" x14ac:dyDescent="0.25">
      <c r="A25" s="96" t="s">
        <v>890</v>
      </c>
      <c r="B25">
        <v>66.420365481469858</v>
      </c>
      <c r="C25">
        <v>67.342949992944455</v>
      </c>
      <c r="D25">
        <v>64.265354801411135</v>
      </c>
      <c r="E25">
        <v>61.189370658915763</v>
      </c>
      <c r="F25">
        <v>61.082613447033651</v>
      </c>
      <c r="G25">
        <v>60.964697457113175</v>
      </c>
      <c r="H25">
        <v>60.231519841428494</v>
      </c>
      <c r="I25">
        <v>60.005252386067589</v>
      </c>
      <c r="J25">
        <v>58.40854734958279</v>
      </c>
      <c r="K25">
        <v>58.703632695379973</v>
      </c>
      <c r="L25">
        <v>58.763824834064053</v>
      </c>
      <c r="M25">
        <v>59.055109843099167</v>
      </c>
      <c r="N25">
        <v>59.616665209887252</v>
      </c>
      <c r="O25">
        <v>59.93788233149882</v>
      </c>
      <c r="P25">
        <v>59.931236058384648</v>
      </c>
      <c r="Q25">
        <v>59.571405004856871</v>
      </c>
      <c r="R25">
        <v>60.045179311217531</v>
      </c>
      <c r="S25">
        <v>60.52647873691631</v>
      </c>
      <c r="T25">
        <v>60.695258767200663</v>
      </c>
      <c r="U25">
        <v>60.591018199301246</v>
      </c>
      <c r="V25">
        <v>60.486508265503588</v>
      </c>
      <c r="W25">
        <v>60.196146443187324</v>
      </c>
      <c r="X25">
        <v>59.986317238144956</v>
      </c>
      <c r="Y25">
        <v>59.068905015828115</v>
      </c>
      <c r="Z25">
        <v>58.861531266134193</v>
      </c>
      <c r="AA25">
        <v>58.211244558920235</v>
      </c>
      <c r="AB25">
        <v>56.973608737396653</v>
      </c>
      <c r="AC25">
        <v>55.735972915873056</v>
      </c>
      <c r="AD25">
        <v>54.498337094349509</v>
      </c>
      <c r="AE25">
        <v>53.494457854127127</v>
      </c>
      <c r="AF25">
        <v>52.490578613904781</v>
      </c>
      <c r="AG25">
        <v>51.486699373682413</v>
      </c>
      <c r="AH25">
        <v>50.482820133460031</v>
      </c>
      <c r="AI25">
        <v>49.478940893237649</v>
      </c>
      <c r="AJ25">
        <v>49.233410760821236</v>
      </c>
      <c r="AK25">
        <v>48.987880628404831</v>
      </c>
      <c r="AL25">
        <v>48.742350495988411</v>
      </c>
      <c r="AM25">
        <v>48.49682036357202</v>
      </c>
      <c r="AN25">
        <v>48.251290231155622</v>
      </c>
    </row>
    <row r="26" spans="1:40" x14ac:dyDescent="0.25">
      <c r="A26" s="96" t="s">
        <v>979</v>
      </c>
      <c r="B26">
        <v>13.345629432701704</v>
      </c>
      <c r="C26">
        <v>13.746272140460379</v>
      </c>
      <c r="D26">
        <v>14.002163841152896</v>
      </c>
      <c r="E26">
        <v>14.367219169022873</v>
      </c>
      <c r="F26">
        <v>14.441912575836975</v>
      </c>
      <c r="G26">
        <v>14.571746850954311</v>
      </c>
      <c r="H26">
        <v>14.606237167941147</v>
      </c>
      <c r="I26">
        <v>14.519363027078018</v>
      </c>
      <c r="J26">
        <v>12.699153542714553</v>
      </c>
      <c r="K26">
        <v>13.082339992353877</v>
      </c>
      <c r="L26">
        <v>13.380575096573789</v>
      </c>
      <c r="M26">
        <v>13.676038416408201</v>
      </c>
      <c r="N26">
        <v>13.983082144037049</v>
      </c>
      <c r="O26">
        <v>14.361995129405205</v>
      </c>
      <c r="P26">
        <v>14.712097758105955</v>
      </c>
      <c r="Q26">
        <v>15.061208272976247</v>
      </c>
      <c r="R26">
        <v>15.419998777657817</v>
      </c>
      <c r="S26">
        <v>15.865862922438147</v>
      </c>
      <c r="T26">
        <v>16.310968723373318</v>
      </c>
      <c r="U26">
        <v>16.838443799387289</v>
      </c>
      <c r="V26">
        <v>17.366666080531502</v>
      </c>
      <c r="W26">
        <v>17.887429908712249</v>
      </c>
      <c r="X26">
        <v>18.397482801852465</v>
      </c>
      <c r="Y26">
        <v>18.9120383262898</v>
      </c>
      <c r="Z26">
        <v>19.422740131945694</v>
      </c>
      <c r="AA26">
        <v>20.068222182028972</v>
      </c>
      <c r="AB26">
        <v>20.562758143649969</v>
      </c>
      <c r="AC26">
        <v>21.037470717380785</v>
      </c>
      <c r="AD26">
        <v>21.509769958271988</v>
      </c>
      <c r="AE26">
        <v>21.990629152680238</v>
      </c>
      <c r="AF26">
        <v>22.492830735375804</v>
      </c>
      <c r="AG26">
        <v>23.021701730539565</v>
      </c>
      <c r="AH26">
        <v>23.575453811663436</v>
      </c>
      <c r="AI26">
        <v>24.168242354611895</v>
      </c>
      <c r="AJ26">
        <v>24.841314994574866</v>
      </c>
      <c r="AK26">
        <v>25.532261156768048</v>
      </c>
      <c r="AL26">
        <v>26.213663906036107</v>
      </c>
      <c r="AM26">
        <v>26.922803601437806</v>
      </c>
      <c r="AN26">
        <v>27.674625817161434</v>
      </c>
    </row>
    <row r="27" spans="1:40" x14ac:dyDescent="0.25">
      <c r="A27" s="96" t="s">
        <v>980</v>
      </c>
      <c r="B27">
        <v>10.112362730184632</v>
      </c>
      <c r="C27">
        <v>8.5814345617734524</v>
      </c>
      <c r="D27">
        <v>7.8779078102465103</v>
      </c>
      <c r="E27">
        <v>7.9983082464445703</v>
      </c>
      <c r="F27">
        <v>7.7914797700632246</v>
      </c>
      <c r="G27">
        <v>7.5055445981011131</v>
      </c>
      <c r="H27">
        <v>7.3684473227227132</v>
      </c>
      <c r="I27">
        <v>7.0807229868951467</v>
      </c>
      <c r="J27">
        <v>5.7930072313737062</v>
      </c>
      <c r="K27">
        <v>5.9622635576410898</v>
      </c>
      <c r="L27">
        <v>6.0410013908713172</v>
      </c>
      <c r="M27">
        <v>6.1156609747798258</v>
      </c>
      <c r="N27">
        <v>6.2189401837671667</v>
      </c>
      <c r="O27">
        <v>6.3867609959805378</v>
      </c>
      <c r="P27">
        <v>6.5356545313801728</v>
      </c>
      <c r="Q27">
        <v>6.6912378240891179</v>
      </c>
      <c r="R27">
        <v>6.854196114678162</v>
      </c>
      <c r="S27">
        <v>7.1171748939434716</v>
      </c>
      <c r="T27">
        <v>7.4023616437782023</v>
      </c>
      <c r="U27">
        <v>7.7680882133469691</v>
      </c>
      <c r="V27">
        <v>8.1447115613847672</v>
      </c>
      <c r="W27">
        <v>8.5255606105354342</v>
      </c>
      <c r="X27">
        <v>8.8827761906097447</v>
      </c>
      <c r="Y27">
        <v>9.2437387505180499</v>
      </c>
      <c r="Z27">
        <v>9.5932808101279594</v>
      </c>
      <c r="AA27">
        <v>10.007027114086064</v>
      </c>
      <c r="AB27">
        <v>10.416518779902555</v>
      </c>
      <c r="AC27">
        <v>10.802317725007505</v>
      </c>
      <c r="AD27">
        <v>11.174538441461179</v>
      </c>
      <c r="AE27">
        <v>11.471190286891675</v>
      </c>
      <c r="AF27">
        <v>11.732907445697849</v>
      </c>
      <c r="AG27">
        <v>11.967208807111785</v>
      </c>
      <c r="AH27">
        <v>12.175116508754638</v>
      </c>
      <c r="AI27">
        <v>12.367950514957293</v>
      </c>
      <c r="AJ27">
        <v>12.616210914912417</v>
      </c>
      <c r="AK27">
        <v>12.868723618234821</v>
      </c>
      <c r="AL27">
        <v>13.103749131382632</v>
      </c>
      <c r="AM27">
        <v>13.337409610731969</v>
      </c>
      <c r="AN27">
        <v>13.579242734957676</v>
      </c>
    </row>
    <row r="34" spans="1:39" x14ac:dyDescent="0.25">
      <c r="A34" s="96" t="s">
        <v>940</v>
      </c>
      <c r="B34" s="96" t="s">
        <v>941</v>
      </c>
      <c r="C34" s="96" t="s">
        <v>942</v>
      </c>
      <c r="D34" s="96" t="s">
        <v>943</v>
      </c>
      <c r="E34" s="96" t="s">
        <v>944</v>
      </c>
      <c r="F34" s="96" t="s">
        <v>945</v>
      </c>
      <c r="G34" s="96" t="s">
        <v>946</v>
      </c>
      <c r="H34" s="96" t="s">
        <v>947</v>
      </c>
      <c r="I34" s="96" t="s">
        <v>948</v>
      </c>
      <c r="J34" s="96" t="s">
        <v>949</v>
      </c>
      <c r="K34" s="96" t="s">
        <v>950</v>
      </c>
      <c r="L34" s="96" t="s">
        <v>951</v>
      </c>
      <c r="M34" s="96" t="s">
        <v>952</v>
      </c>
      <c r="N34" s="96" t="s">
        <v>953</v>
      </c>
      <c r="O34" s="96" t="s">
        <v>954</v>
      </c>
      <c r="P34" s="96" t="s">
        <v>955</v>
      </c>
      <c r="Q34" s="96" t="s">
        <v>956</v>
      </c>
      <c r="R34" s="96" t="s">
        <v>957</v>
      </c>
      <c r="S34" s="96" t="s">
        <v>958</v>
      </c>
      <c r="T34" s="96" t="s">
        <v>959</v>
      </c>
      <c r="U34" s="96" t="s">
        <v>960</v>
      </c>
      <c r="V34" s="96" t="s">
        <v>961</v>
      </c>
      <c r="W34" s="96" t="s">
        <v>962</v>
      </c>
      <c r="X34" s="96" t="s">
        <v>963</v>
      </c>
      <c r="Y34" s="96" t="s">
        <v>964</v>
      </c>
      <c r="Z34" s="96" t="s">
        <v>965</v>
      </c>
      <c r="AA34" s="96" t="s">
        <v>966</v>
      </c>
      <c r="AB34" s="96" t="s">
        <v>967</v>
      </c>
      <c r="AC34" s="96" t="s">
        <v>968</v>
      </c>
      <c r="AD34" s="96" t="s">
        <v>969</v>
      </c>
      <c r="AE34" s="96" t="s">
        <v>970</v>
      </c>
      <c r="AF34" s="96" t="s">
        <v>971</v>
      </c>
      <c r="AG34" s="96" t="s">
        <v>972</v>
      </c>
      <c r="AH34" s="96" t="s">
        <v>973</v>
      </c>
      <c r="AI34" s="96" t="s">
        <v>974</v>
      </c>
      <c r="AJ34" s="96" t="s">
        <v>975</v>
      </c>
      <c r="AK34" s="96" t="s">
        <v>976</v>
      </c>
      <c r="AL34" s="96" t="s">
        <v>977</v>
      </c>
      <c r="AM34" s="96" t="s">
        <v>978</v>
      </c>
    </row>
    <row r="35" spans="1:39" x14ac:dyDescent="0.25">
      <c r="A35">
        <v>52325.432882070083</v>
      </c>
      <c r="B35">
        <v>53104.386458423345</v>
      </c>
      <c r="C35">
        <v>53912.365691429273</v>
      </c>
      <c r="D35">
        <v>54750.491457321114</v>
      </c>
      <c r="E35">
        <v>55619.940469824825</v>
      </c>
      <c r="F35">
        <v>56521.948041648095</v>
      </c>
      <c r="G35">
        <v>57436.000617299658</v>
      </c>
      <c r="H35">
        <v>58364.834921819442</v>
      </c>
      <c r="I35">
        <v>59308.69</v>
      </c>
      <c r="J35">
        <v>59991.580449204266</v>
      </c>
      <c r="K35">
        <v>60682.333816399376</v>
      </c>
      <c r="L35">
        <v>61381.040636574369</v>
      </c>
      <c r="M35">
        <v>62087.792487153696</v>
      </c>
      <c r="N35">
        <v>62802.682000000023</v>
      </c>
      <c r="O35">
        <v>63421.065342005146</v>
      </c>
      <c r="P35">
        <v>64045.537563425794</v>
      </c>
      <c r="Q35">
        <v>64676.158618096451</v>
      </c>
      <c r="R35">
        <v>65312.989050183925</v>
      </c>
      <c r="S35">
        <v>65956.09</v>
      </c>
      <c r="T35">
        <v>66518.97719068767</v>
      </c>
      <c r="U35">
        <v>67086.668213583107</v>
      </c>
      <c r="V35">
        <v>67659.20406589545</v>
      </c>
      <c r="W35">
        <v>68236.62609471516</v>
      </c>
      <c r="X35">
        <v>68818.97600000001</v>
      </c>
      <c r="Y35">
        <v>69322.810489383541</v>
      </c>
      <c r="Z35">
        <v>69830.333629884059</v>
      </c>
      <c r="AA35">
        <v>70341.572426693441</v>
      </c>
      <c r="AB35">
        <v>70856.554082712813</v>
      </c>
      <c r="AC35">
        <v>71375.305999999997</v>
      </c>
      <c r="AD35">
        <v>71818.612994947311</v>
      </c>
      <c r="AE35">
        <v>72264.673338395412</v>
      </c>
      <c r="AF35">
        <v>72713.504131197798</v>
      </c>
      <c r="AG35">
        <v>73165.122580420139</v>
      </c>
      <c r="AH35">
        <v>73619.545999999973</v>
      </c>
      <c r="AI35">
        <v>73995.362001779533</v>
      </c>
      <c r="AJ35">
        <v>74373.096484110356</v>
      </c>
      <c r="AK35">
        <v>74752.759240528656</v>
      </c>
      <c r="AL35">
        <v>75134.360114565105</v>
      </c>
      <c r="AM35">
        <v>75517.908999999985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6"/>
  </sheetPr>
  <dimension ref="A6:AP41"/>
  <sheetViews>
    <sheetView workbookViewId="0">
      <selection activeCell="A3" sqref="A3"/>
    </sheetView>
  </sheetViews>
  <sheetFormatPr defaultRowHeight="15" x14ac:dyDescent="0.25"/>
  <cols>
    <col min="1" max="1" width="46.42578125" customWidth="1"/>
  </cols>
  <sheetData>
    <row r="6" spans="1:42" x14ac:dyDescent="0.25">
      <c r="D6">
        <v>2012</v>
      </c>
      <c r="E6">
        <f>D6+1</f>
        <v>2013</v>
      </c>
      <c r="F6">
        <f t="shared" ref="F6:AP6" si="0">E6+1</f>
        <v>2014</v>
      </c>
      <c r="G6">
        <f t="shared" si="0"/>
        <v>2015</v>
      </c>
      <c r="H6">
        <f t="shared" si="0"/>
        <v>2016</v>
      </c>
      <c r="I6">
        <f t="shared" si="0"/>
        <v>2017</v>
      </c>
      <c r="J6">
        <f t="shared" si="0"/>
        <v>2018</v>
      </c>
      <c r="K6">
        <f t="shared" si="0"/>
        <v>2019</v>
      </c>
      <c r="L6">
        <f t="shared" si="0"/>
        <v>2020</v>
      </c>
      <c r="M6">
        <f t="shared" si="0"/>
        <v>2021</v>
      </c>
      <c r="N6">
        <f t="shared" si="0"/>
        <v>2022</v>
      </c>
      <c r="O6">
        <f t="shared" si="0"/>
        <v>2023</v>
      </c>
      <c r="P6">
        <f t="shared" si="0"/>
        <v>2024</v>
      </c>
      <c r="Q6">
        <f t="shared" si="0"/>
        <v>2025</v>
      </c>
      <c r="R6">
        <f t="shared" si="0"/>
        <v>2026</v>
      </c>
      <c r="S6">
        <f t="shared" si="0"/>
        <v>2027</v>
      </c>
      <c r="T6">
        <f t="shared" si="0"/>
        <v>2028</v>
      </c>
      <c r="U6">
        <f t="shared" si="0"/>
        <v>2029</v>
      </c>
      <c r="V6">
        <f t="shared" si="0"/>
        <v>2030</v>
      </c>
      <c r="W6">
        <f t="shared" si="0"/>
        <v>2031</v>
      </c>
      <c r="X6">
        <f t="shared" si="0"/>
        <v>2032</v>
      </c>
      <c r="Y6">
        <f t="shared" si="0"/>
        <v>2033</v>
      </c>
      <c r="Z6">
        <f t="shared" si="0"/>
        <v>2034</v>
      </c>
      <c r="AA6">
        <f t="shared" si="0"/>
        <v>2035</v>
      </c>
      <c r="AB6">
        <f t="shared" si="0"/>
        <v>2036</v>
      </c>
      <c r="AC6">
        <f t="shared" si="0"/>
        <v>2037</v>
      </c>
      <c r="AD6">
        <f t="shared" si="0"/>
        <v>2038</v>
      </c>
      <c r="AE6">
        <f t="shared" si="0"/>
        <v>2039</v>
      </c>
      <c r="AF6">
        <f t="shared" si="0"/>
        <v>2040</v>
      </c>
      <c r="AG6">
        <f t="shared" si="0"/>
        <v>2041</v>
      </c>
      <c r="AH6">
        <f t="shared" si="0"/>
        <v>2042</v>
      </c>
      <c r="AI6">
        <f t="shared" si="0"/>
        <v>2043</v>
      </c>
      <c r="AJ6">
        <f t="shared" si="0"/>
        <v>2044</v>
      </c>
      <c r="AK6">
        <f t="shared" si="0"/>
        <v>2045</v>
      </c>
      <c r="AL6">
        <f t="shared" si="0"/>
        <v>2046</v>
      </c>
      <c r="AM6">
        <f t="shared" si="0"/>
        <v>2047</v>
      </c>
      <c r="AN6">
        <f t="shared" si="0"/>
        <v>2048</v>
      </c>
      <c r="AO6">
        <f t="shared" si="0"/>
        <v>2049</v>
      </c>
      <c r="AP6">
        <f t="shared" si="0"/>
        <v>2050</v>
      </c>
    </row>
    <row r="7" spans="1:42" x14ac:dyDescent="0.25">
      <c r="A7" t="str">
        <f>'Emissions summary'!C5</f>
        <v>3A1a Cattle</v>
      </c>
      <c r="B7" t="str">
        <f>"A"&amp;LEFT(A7,4)</f>
        <v>A3A1a</v>
      </c>
      <c r="C7" t="str">
        <f>'Emissions summary'!D5</f>
        <v>CH4</v>
      </c>
      <c r="D7" s="94">
        <f>'Emissions summary'!AB5</f>
        <v>977.65114494348973</v>
      </c>
      <c r="E7" s="94">
        <f>'Emissions summary'!AC5</f>
        <v>977.38485398148987</v>
      </c>
      <c r="F7" s="94">
        <f>'Emissions summary'!AD5</f>
        <v>970.89570346364997</v>
      </c>
      <c r="G7" s="94">
        <f>'Emissions summary'!AE5</f>
        <v>960.018819285826</v>
      </c>
      <c r="H7" s="94">
        <f>'Emissions summary'!AF5</f>
        <v>944.74873962829656</v>
      </c>
      <c r="I7" s="94">
        <f>'Emissions summary'!AG5</f>
        <v>935.84607513360265</v>
      </c>
      <c r="J7" s="94">
        <f>'Emissions summary'!AH5</f>
        <v>925.86964582484973</v>
      </c>
      <c r="K7" s="94">
        <f>'Emissions summary'!AI5</f>
        <v>915.62865230855073</v>
      </c>
      <c r="L7" s="94">
        <f>'Emissions summary'!AJ5</f>
        <v>818.48733161457869</v>
      </c>
      <c r="M7" s="94">
        <f>'Emissions summary'!AK5</f>
        <v>828.64690817262112</v>
      </c>
      <c r="N7" s="94">
        <f>'Emissions summary'!AL5</f>
        <v>837.56006542938985</v>
      </c>
      <c r="O7" s="94">
        <f>'Emissions summary'!AM5</f>
        <v>846.74088169162985</v>
      </c>
      <c r="P7" s="94">
        <f>'Emissions summary'!AN5</f>
        <v>857.23481291226483</v>
      </c>
      <c r="Q7" s="94">
        <f>'Emissions summary'!AO5</f>
        <v>869.73933534201831</v>
      </c>
      <c r="R7" s="94">
        <f>'Emissions summary'!AP5</f>
        <v>882.70587813258351</v>
      </c>
      <c r="S7" s="94">
        <f>'Emissions summary'!AQ5</f>
        <v>896.86415079111532</v>
      </c>
      <c r="T7" s="94">
        <f>'Emissions summary'!AR5</f>
        <v>912.33533590153274</v>
      </c>
      <c r="U7" s="94">
        <f>'Emissions summary'!AS5</f>
        <v>930.58792131093708</v>
      </c>
      <c r="V7" s="94">
        <f>'Emissions summary'!AT5</f>
        <v>948.2118700497399</v>
      </c>
      <c r="W7" s="94">
        <f>'Emissions summary'!AU5</f>
        <v>963.85677020194316</v>
      </c>
      <c r="X7" s="94">
        <f>'Emissions summary'!AV5</f>
        <v>979.70792780946135</v>
      </c>
      <c r="Y7" s="94">
        <f>'Emissions summary'!AW5</f>
        <v>995.58141879967286</v>
      </c>
      <c r="Z7" s="94">
        <f>'Emissions summary'!AX5</f>
        <v>1011.2949964559782</v>
      </c>
      <c r="AA7" s="94">
        <f>'Emissions summary'!AY5</f>
        <v>1023.7273651193423</v>
      </c>
      <c r="AB7" s="94">
        <f>'Emissions summary'!AZ5</f>
        <v>1036.4814613741676</v>
      </c>
      <c r="AC7" s="94">
        <f>'Emissions summary'!BA5</f>
        <v>1050.4335076339169</v>
      </c>
      <c r="AD7" s="94">
        <f>'Emissions summary'!BB5</f>
        <v>1064.8942141992816</v>
      </c>
      <c r="AE7" s="94">
        <f>'Emissions summary'!BC5</f>
        <v>1077.6782332741689</v>
      </c>
      <c r="AF7" s="94">
        <f>'Emissions summary'!BD5</f>
        <v>1089.9764497657379</v>
      </c>
      <c r="AG7" s="94">
        <f>'Emissions summary'!BE5</f>
        <v>1106.4183260297266</v>
      </c>
      <c r="AH7" s="94">
        <f>'Emissions summary'!BF5</f>
        <v>1123.6080127423957</v>
      </c>
      <c r="AI7" s="94">
        <f>'Emissions summary'!BG5</f>
        <v>1141.8569479023288</v>
      </c>
      <c r="AJ7" s="94">
        <f>'Emissions summary'!BH5</f>
        <v>1160.9510360491192</v>
      </c>
      <c r="AK7" s="94">
        <f>'Emissions summary'!BI5</f>
        <v>1181.5803066029509</v>
      </c>
      <c r="AL7" s="94">
        <f>'Emissions summary'!BJ5</f>
        <v>1203.156123785182</v>
      </c>
      <c r="AM7" s="94">
        <f>'Emissions summary'!BK5</f>
        <v>1225.3631854731495</v>
      </c>
      <c r="AN7" s="94">
        <f>'Emissions summary'!BL5</f>
        <v>1246.3237958138957</v>
      </c>
      <c r="AO7" s="94">
        <f>'Emissions summary'!BM5</f>
        <v>1268.0016439463866</v>
      </c>
      <c r="AP7" s="94">
        <f>'Emissions summary'!BN5</f>
        <v>1290.7704272047688</v>
      </c>
    </row>
    <row r="8" spans="1:42" x14ac:dyDescent="0.25">
      <c r="A8" t="str">
        <f>'Emissions summary'!C6</f>
        <v>3A1c Sheep</v>
      </c>
      <c r="B8" t="str">
        <f t="shared" ref="B8:B36" si="1">"A"&amp;LEFT(A8,4)</f>
        <v>A3A1c</v>
      </c>
      <c r="C8" t="str">
        <f>'Emissions summary'!D6</f>
        <v>CH4</v>
      </c>
      <c r="D8" s="94">
        <f>'Emissions summary'!AB6</f>
        <v>146.9314686767658</v>
      </c>
      <c r="E8" s="94">
        <f>'Emissions summary'!AC6</f>
        <v>147.01108842658465</v>
      </c>
      <c r="F8" s="94">
        <f>'Emissions summary'!AD6</f>
        <v>147.19218851318541</v>
      </c>
      <c r="G8" s="94">
        <f>'Emissions summary'!AE6</f>
        <v>147.46952690235895</v>
      </c>
      <c r="H8" s="94">
        <f>'Emissions summary'!AF6</f>
        <v>147.83796601595333</v>
      </c>
      <c r="I8" s="94">
        <f>'Emissions summary'!AG6</f>
        <v>148.30144249104603</v>
      </c>
      <c r="J8" s="94">
        <f>'Emissions summary'!AH6</f>
        <v>148.81514343204375</v>
      </c>
      <c r="K8" s="94">
        <f>'Emissions summary'!AI6</f>
        <v>149.38043699964183</v>
      </c>
      <c r="L8" s="94">
        <f>'Emissions summary'!AJ6</f>
        <v>149.9254190391182</v>
      </c>
      <c r="M8" s="94">
        <f>'Emissions summary'!AK6</f>
        <v>150.14146098245581</v>
      </c>
      <c r="N8" s="94">
        <f>'Emissions summary'!AL6</f>
        <v>150.3937885471517</v>
      </c>
      <c r="O8" s="94">
        <f>'Emissions summary'!AM6</f>
        <v>150.68138153593463</v>
      </c>
      <c r="P8" s="94">
        <f>'Emissions summary'!AN6</f>
        <v>151.00315958418324</v>
      </c>
      <c r="Q8" s="94">
        <f>'Emissions summary'!AO6</f>
        <v>151.35802133939808</v>
      </c>
      <c r="R8" s="94">
        <f>'Emissions summary'!AP6</f>
        <v>151.57594353852053</v>
      </c>
      <c r="S8" s="94">
        <f>'Emissions summary'!AQ6</f>
        <v>151.82158295102406</v>
      </c>
      <c r="T8" s="94">
        <f>'Emissions summary'!AR6</f>
        <v>152.09378127172124</v>
      </c>
      <c r="U8" s="94">
        <f>'Emissions summary'!AS6</f>
        <v>152.39271698595812</v>
      </c>
      <c r="V8" s="94">
        <f>'Emissions summary'!AT6</f>
        <v>152.71436050709309</v>
      </c>
      <c r="W8" s="94">
        <f>'Emissions summary'!AU6</f>
        <v>152.92716762461603</v>
      </c>
      <c r="X8" s="94">
        <f>'Emissions summary'!AV6</f>
        <v>153.16079867488287</v>
      </c>
      <c r="Y8" s="94">
        <f>'Emissions summary'!AW6</f>
        <v>153.41428900528527</v>
      </c>
      <c r="Z8" s="94">
        <f>'Emissions summary'!AX6</f>
        <v>153.6867382396355</v>
      </c>
      <c r="AA8" s="94">
        <f>'Emissions summary'!AY6</f>
        <v>153.97439060314051</v>
      </c>
      <c r="AB8" s="94">
        <f>'Emissions summary'!AZ6</f>
        <v>154.15273714762395</v>
      </c>
      <c r="AC8" s="94">
        <f>'Emissions summary'!BA6</f>
        <v>154.34851605963584</v>
      </c>
      <c r="AD8" s="94">
        <f>'Emissions summary'!BB6</f>
        <v>154.56054461540123</v>
      </c>
      <c r="AE8" s="94">
        <f>'Emissions summary'!BC6</f>
        <v>154.7860304194601</v>
      </c>
      <c r="AF8" s="94">
        <f>'Emissions summary'!BD6</f>
        <v>155.02572569526308</v>
      </c>
      <c r="AG8" s="94">
        <f>'Emissions summary'!BE6</f>
        <v>155.16125253213596</v>
      </c>
      <c r="AH8" s="94">
        <f>'Emissions summary'!BF6</f>
        <v>155.31057873531276</v>
      </c>
      <c r="AI8" s="94">
        <f>'Emissions summary'!BG6</f>
        <v>155.47371706481002</v>
      </c>
      <c r="AJ8" s="94">
        <f>'Emissions summary'!BH6</f>
        <v>155.65012275648991</v>
      </c>
      <c r="AK8" s="94">
        <f>'Emissions summary'!BI6</f>
        <v>155.84033667514325</v>
      </c>
      <c r="AL8" s="94">
        <f>'Emissions summary'!BJ6</f>
        <v>155.92368302347549</v>
      </c>
      <c r="AM8" s="94">
        <f>'Emissions summary'!BK6</f>
        <v>156.01875702204657</v>
      </c>
      <c r="AN8" s="94">
        <f>'Emissions summary'!BL6</f>
        <v>156.12298630298801</v>
      </c>
      <c r="AO8" s="94">
        <f>'Emissions summary'!BM6</f>
        <v>156.23853145148288</v>
      </c>
      <c r="AP8" s="94">
        <f>'Emissions summary'!BN6</f>
        <v>156.36569020250772</v>
      </c>
    </row>
    <row r="9" spans="1:42" x14ac:dyDescent="0.25">
      <c r="A9" t="str">
        <f>'Emissions summary'!C7</f>
        <v>3A1d Goats</v>
      </c>
      <c r="B9" t="str">
        <f t="shared" si="1"/>
        <v>A3A1d</v>
      </c>
      <c r="C9" t="str">
        <f>'Emissions summary'!D7</f>
        <v>CH4</v>
      </c>
      <c r="D9" s="94">
        <f>'Emissions summary'!AB7</f>
        <v>37.493089009122393</v>
      </c>
      <c r="E9" s="94">
        <f>'Emissions summary'!AC7</f>
        <v>37.590685963501926</v>
      </c>
      <c r="F9" s="94">
        <f>'Emissions summary'!AD7</f>
        <v>37.721634418436523</v>
      </c>
      <c r="G9" s="94">
        <f>'Emissions summary'!AE7</f>
        <v>37.884400983282291</v>
      </c>
      <c r="H9" s="94">
        <f>'Emissions summary'!AF7</f>
        <v>38.07738533470701</v>
      </c>
      <c r="I9" s="94">
        <f>'Emissions summary'!AG7</f>
        <v>38.302525744758633</v>
      </c>
      <c r="J9" s="94">
        <f>'Emissions summary'!AH7</f>
        <v>38.542267902919008</v>
      </c>
      <c r="K9" s="94">
        <f>'Emissions summary'!AI7</f>
        <v>38.797507093298393</v>
      </c>
      <c r="L9" s="94">
        <f>'Emissions summary'!AJ7</f>
        <v>39.040083494744266</v>
      </c>
      <c r="M9" s="94">
        <f>'Emissions summary'!AK7</f>
        <v>39.148673968336169</v>
      </c>
      <c r="N9" s="94">
        <f>'Emissions summary'!AL7</f>
        <v>39.268355653425935</v>
      </c>
      <c r="O9" s="94">
        <f>'Emissions summary'!AM7</f>
        <v>39.398896358497794</v>
      </c>
      <c r="P9" s="94">
        <f>'Emissions summary'!AN7</f>
        <v>39.540016775185805</v>
      </c>
      <c r="Q9" s="94">
        <f>'Emissions summary'!AO7</f>
        <v>39.691410226675544</v>
      </c>
      <c r="R9" s="94">
        <f>'Emissions summary'!AP7</f>
        <v>39.786897979604738</v>
      </c>
      <c r="S9" s="94">
        <f>'Emissions summary'!AQ7</f>
        <v>39.891065929992138</v>
      </c>
      <c r="T9" s="94">
        <f>'Emissions summary'!AR7</f>
        <v>40.00354372839567</v>
      </c>
      <c r="U9" s="94">
        <f>'Emissions summary'!AS7</f>
        <v>40.124470463732635</v>
      </c>
      <c r="V9" s="94">
        <f>'Emissions summary'!AT7</f>
        <v>40.252347706590029</v>
      </c>
      <c r="W9" s="94">
        <f>'Emissions summary'!AU7</f>
        <v>40.336501240267793</v>
      </c>
      <c r="X9" s="94">
        <f>'Emissions summary'!AV7</f>
        <v>40.427197210463532</v>
      </c>
      <c r="Y9" s="94">
        <f>'Emissions summary'!AW7</f>
        <v>40.524107188902391</v>
      </c>
      <c r="Z9" s="94">
        <f>'Emissions summary'!AX7</f>
        <v>40.62692415009964</v>
      </c>
      <c r="AA9" s="94">
        <f>'Emissions summary'!AY7</f>
        <v>40.734245701300622</v>
      </c>
      <c r="AB9" s="94">
        <f>'Emissions summary'!AZ7</f>
        <v>40.798559821341527</v>
      </c>
      <c r="AC9" s="94">
        <f>'Emissions summary'!BA7</f>
        <v>40.868477629571203</v>
      </c>
      <c r="AD9" s="94">
        <f>'Emissions summary'!BB7</f>
        <v>40.943569134555332</v>
      </c>
      <c r="AE9" s="94">
        <f>'Emissions summary'!BC7</f>
        <v>41.022793031955544</v>
      </c>
      <c r="AF9" s="94">
        <f>'Emissions summary'!BD7</f>
        <v>41.106456455465029</v>
      </c>
      <c r="AG9" s="94">
        <f>'Emissions summary'!BE7</f>
        <v>41.149777851453351</v>
      </c>
      <c r="AH9" s="94">
        <f>'Emissions summary'!BF7</f>
        <v>41.197572643006495</v>
      </c>
      <c r="AI9" s="94">
        <f>'Emissions summary'!BG7</f>
        <v>41.24985585026829</v>
      </c>
      <c r="AJ9" s="94">
        <f>'Emissions summary'!BH7</f>
        <v>41.306430706938066</v>
      </c>
      <c r="AK9" s="94">
        <f>'Emissions summary'!BI7</f>
        <v>41.367508208470973</v>
      </c>
      <c r="AL9" s="94">
        <f>'Emissions summary'!BJ7</f>
        <v>41.387810912894921</v>
      </c>
      <c r="AM9" s="94">
        <f>'Emissions summary'!BK7</f>
        <v>41.411993819121079</v>
      </c>
      <c r="AN9" s="94">
        <f>'Emissions summary'!BL7</f>
        <v>41.439098219377314</v>
      </c>
      <c r="AO9" s="94">
        <f>'Emissions summary'!BM7</f>
        <v>41.469937899662852</v>
      </c>
      <c r="AP9" s="94">
        <f>'Emissions summary'!BN7</f>
        <v>41.504625935193275</v>
      </c>
    </row>
    <row r="10" spans="1:42" x14ac:dyDescent="0.25">
      <c r="A10" t="str">
        <f>'Emissions summary'!C8</f>
        <v>3A1f Horses</v>
      </c>
      <c r="B10" t="str">
        <f t="shared" si="1"/>
        <v>A3A1f</v>
      </c>
      <c r="C10" t="str">
        <f>'Emissions summary'!D8</f>
        <v>CH4</v>
      </c>
      <c r="D10" s="94">
        <f>'Emissions summary'!AB8</f>
        <v>5.5534419067588594</v>
      </c>
      <c r="E10" s="94">
        <f>'Emissions summary'!AC8</f>
        <v>5.5962060636308637</v>
      </c>
      <c r="F10" s="94">
        <f>'Emissions summary'!AD8</f>
        <v>5.6151982155681042</v>
      </c>
      <c r="G10" s="94">
        <f>'Emissions summary'!AE8</f>
        <v>5.6160403090109137</v>
      </c>
      <c r="H10" s="94">
        <f>'Emissions summary'!AF8</f>
        <v>5.598201774458702</v>
      </c>
      <c r="I10" s="94">
        <f>'Emissions summary'!AG8</f>
        <v>5.6001675407766198</v>
      </c>
      <c r="J10" s="94">
        <f>'Emissions summary'!AH8</f>
        <v>5.5970856594736391</v>
      </c>
      <c r="K10" s="94">
        <f>'Emissions summary'!AI8</f>
        <v>5.5917824263375895</v>
      </c>
      <c r="L10" s="94">
        <f>'Emissions summary'!AJ8</f>
        <v>5.2578528196991252</v>
      </c>
      <c r="M10" s="94">
        <f>'Emissions summary'!AK8</f>
        <v>5.3117614252067842</v>
      </c>
      <c r="N10" s="94">
        <f>'Emissions summary'!AL8</f>
        <v>5.3606434972398267</v>
      </c>
      <c r="O10" s="94">
        <f>'Emissions summary'!AM8</f>
        <v>5.4102582255642897</v>
      </c>
      <c r="P10" s="94">
        <f>'Emissions summary'!AN8</f>
        <v>5.4647048003186702</v>
      </c>
      <c r="Q10" s="94">
        <f>'Emissions summary'!AO8</f>
        <v>5.526822856355853</v>
      </c>
      <c r="R10" s="94">
        <f>'Emissions summary'!AP8</f>
        <v>5.5967116030899735</v>
      </c>
      <c r="S10" s="94">
        <f>'Emissions summary'!AQ8</f>
        <v>5.6715299466592279</v>
      </c>
      <c r="T10" s="94">
        <f>'Emissions summary'!AR8</f>
        <v>5.7518755563911768</v>
      </c>
      <c r="U10" s="94">
        <f>'Emissions summary'!AS8</f>
        <v>5.8437634262884881</v>
      </c>
      <c r="V10" s="94">
        <f>'Emissions summary'!AT8</f>
        <v>5.9336474262785659</v>
      </c>
      <c r="W10" s="94">
        <f>'Emissions summary'!AU8</f>
        <v>6.0460527170869591</v>
      </c>
      <c r="X10" s="94">
        <f>'Emissions summary'!AV8</f>
        <v>6.1619084857848518</v>
      </c>
      <c r="Y10" s="94">
        <f>'Emissions summary'!AW8</f>
        <v>6.2805768613460717</v>
      </c>
      <c r="Z10" s="94">
        <f>'Emissions summary'!AX8</f>
        <v>6.4013866628591822</v>
      </c>
      <c r="AA10" s="94">
        <f>'Emissions summary'!AY8</f>
        <v>6.5108195882130024</v>
      </c>
      <c r="AB10" s="94">
        <f>'Emissions summary'!AZ8</f>
        <v>6.6299643072029495</v>
      </c>
      <c r="AC10" s="94">
        <f>'Emissions summary'!BA8</f>
        <v>6.7575636376526669</v>
      </c>
      <c r="AD10" s="94">
        <f>'Emissions summary'!BB8</f>
        <v>6.8908626312046373</v>
      </c>
      <c r="AE10" s="94">
        <f>'Emissions summary'!BC8</f>
        <v>7.0199570857611988</v>
      </c>
      <c r="AF10" s="94">
        <f>'Emissions summary'!BD8</f>
        <v>7.1502448917901287</v>
      </c>
      <c r="AG10" s="94">
        <f>'Emissions summary'!BE8</f>
        <v>7.2905337713463378</v>
      </c>
      <c r="AH10" s="94">
        <f>'Emissions summary'!BF8</f>
        <v>7.4374434038921171</v>
      </c>
      <c r="AI10" s="94">
        <f>'Emissions summary'!BG8</f>
        <v>7.5927498831585547</v>
      </c>
      <c r="AJ10" s="94">
        <f>'Emissions summary'!BH8</f>
        <v>7.7556977871042676</v>
      </c>
      <c r="AK10" s="94">
        <f>'Emissions summary'!BI8</f>
        <v>7.9300611285489202</v>
      </c>
      <c r="AL10" s="94">
        <f>'Emissions summary'!BJ8</f>
        <v>8.120153407329564</v>
      </c>
      <c r="AM10" s="94">
        <f>'Emissions summary'!BK8</f>
        <v>8.3182028554598393</v>
      </c>
      <c r="AN10" s="94">
        <f>'Emissions summary'!BL8</f>
        <v>8.5145695802321519</v>
      </c>
      <c r="AO10" s="94">
        <f>'Emissions summary'!BM8</f>
        <v>8.7196661249741325</v>
      </c>
      <c r="AP10" s="94">
        <f>'Emissions summary'!BN8</f>
        <v>8.9358674687981328</v>
      </c>
    </row>
    <row r="11" spans="1:42" x14ac:dyDescent="0.25">
      <c r="A11" t="str">
        <f>'Emissions summary'!C9</f>
        <v>3A1g Mules &amp; asses</v>
      </c>
      <c r="B11" t="str">
        <f t="shared" si="1"/>
        <v>A3A1g</v>
      </c>
      <c r="C11" t="str">
        <f>'Emissions summary'!D9</f>
        <v>CH4</v>
      </c>
      <c r="D11" s="94">
        <f>'Emissions summary'!AB9</f>
        <v>1.67</v>
      </c>
      <c r="E11" s="94">
        <f>'Emissions summary'!AC9</f>
        <v>1.67</v>
      </c>
      <c r="F11" s="94">
        <f>'Emissions summary'!AD9</f>
        <v>1.67</v>
      </c>
      <c r="G11" s="94">
        <f>'Emissions summary'!AE9</f>
        <v>1.67</v>
      </c>
      <c r="H11" s="94">
        <f>'Emissions summary'!AF9</f>
        <v>1.67</v>
      </c>
      <c r="I11" s="94">
        <f>'Emissions summary'!AG9</f>
        <v>1.67</v>
      </c>
      <c r="J11" s="94">
        <f>'Emissions summary'!AH9</f>
        <v>1.67</v>
      </c>
      <c r="K11" s="94">
        <f>'Emissions summary'!AI9</f>
        <v>1.67</v>
      </c>
      <c r="L11" s="94">
        <f>'Emissions summary'!AJ9</f>
        <v>1.67</v>
      </c>
      <c r="M11" s="94">
        <f>'Emissions summary'!AK9</f>
        <v>1.67</v>
      </c>
      <c r="N11" s="94">
        <f>'Emissions summary'!AL9</f>
        <v>1.67</v>
      </c>
      <c r="O11" s="94">
        <f>'Emissions summary'!AM9</f>
        <v>1.67</v>
      </c>
      <c r="P11" s="94">
        <f>'Emissions summary'!AN9</f>
        <v>1.67</v>
      </c>
      <c r="Q11" s="94">
        <f>'Emissions summary'!AO9</f>
        <v>1.67</v>
      </c>
      <c r="R11" s="94">
        <f>'Emissions summary'!AP9</f>
        <v>1.67</v>
      </c>
      <c r="S11" s="94">
        <f>'Emissions summary'!AQ9</f>
        <v>1.67</v>
      </c>
      <c r="T11" s="94">
        <f>'Emissions summary'!AR9</f>
        <v>1.67</v>
      </c>
      <c r="U11" s="94">
        <f>'Emissions summary'!AS9</f>
        <v>1.67</v>
      </c>
      <c r="V11" s="94">
        <f>'Emissions summary'!AT9</f>
        <v>1.67</v>
      </c>
      <c r="W11" s="94">
        <f>'Emissions summary'!AU9</f>
        <v>1.67</v>
      </c>
      <c r="X11" s="94">
        <f>'Emissions summary'!AV9</f>
        <v>1.67</v>
      </c>
      <c r="Y11" s="94">
        <f>'Emissions summary'!AW9</f>
        <v>1.67</v>
      </c>
      <c r="Z11" s="94">
        <f>'Emissions summary'!AX9</f>
        <v>1.67</v>
      </c>
      <c r="AA11" s="94">
        <f>'Emissions summary'!AY9</f>
        <v>1.67</v>
      </c>
      <c r="AB11" s="94">
        <f>'Emissions summary'!AZ9</f>
        <v>1.67</v>
      </c>
      <c r="AC11" s="94">
        <f>'Emissions summary'!BA9</f>
        <v>1.67</v>
      </c>
      <c r="AD11" s="94">
        <f>'Emissions summary'!BB9</f>
        <v>1.67</v>
      </c>
      <c r="AE11" s="94">
        <f>'Emissions summary'!BC9</f>
        <v>1.67</v>
      </c>
      <c r="AF11" s="94">
        <f>'Emissions summary'!BD9</f>
        <v>1.67</v>
      </c>
      <c r="AG11" s="94">
        <f>'Emissions summary'!BE9</f>
        <v>1.67</v>
      </c>
      <c r="AH11" s="94">
        <f>'Emissions summary'!BF9</f>
        <v>1.67</v>
      </c>
      <c r="AI11" s="94">
        <f>'Emissions summary'!BG9</f>
        <v>1.67</v>
      </c>
      <c r="AJ11" s="94">
        <f>'Emissions summary'!BH9</f>
        <v>1.67</v>
      </c>
      <c r="AK11" s="94">
        <f>'Emissions summary'!BI9</f>
        <v>1.67</v>
      </c>
      <c r="AL11" s="94">
        <f>'Emissions summary'!BJ9</f>
        <v>1.67</v>
      </c>
      <c r="AM11" s="94">
        <f>'Emissions summary'!BK9</f>
        <v>1.67</v>
      </c>
      <c r="AN11" s="94">
        <f>'Emissions summary'!BL9</f>
        <v>1.67</v>
      </c>
      <c r="AO11" s="94">
        <f>'Emissions summary'!BM9</f>
        <v>1.67</v>
      </c>
      <c r="AP11" s="94">
        <f>'Emissions summary'!BN9</f>
        <v>1.67</v>
      </c>
    </row>
    <row r="12" spans="1:42" x14ac:dyDescent="0.25">
      <c r="A12" t="str">
        <f>'Emissions summary'!C10</f>
        <v>3A1h Swine</v>
      </c>
      <c r="B12" t="str">
        <f t="shared" si="1"/>
        <v>A3A1h</v>
      </c>
      <c r="C12" t="str">
        <f>'Emissions summary'!D10</f>
        <v>CH4</v>
      </c>
      <c r="D12" s="94">
        <f>'Emissions summary'!AB10</f>
        <v>2.0955907289788209</v>
      </c>
      <c r="E12" s="94">
        <f>'Emissions summary'!AC10</f>
        <v>2.0954329845010955</v>
      </c>
      <c r="F12" s="94">
        <f>'Emissions summary'!AD10</f>
        <v>2.0809551229267669</v>
      </c>
      <c r="G12" s="94">
        <f>'Emissions summary'!AE10</f>
        <v>2.0564047217495061</v>
      </c>
      <c r="H12" s="94">
        <f>'Emissions summary'!AF10</f>
        <v>2.0215785551737113</v>
      </c>
      <c r="I12" s="94">
        <f>'Emissions summary'!AG10</f>
        <v>2.0027107941536557</v>
      </c>
      <c r="J12" s="94">
        <f>'Emissions summary'!AH10</f>
        <v>1.9818097845229112</v>
      </c>
      <c r="K12" s="94">
        <f>'Emissions summary'!AI10</f>
        <v>1.9607778282130344</v>
      </c>
      <c r="L12" s="94">
        <f>'Emissions summary'!AJ10</f>
        <v>1.7233210637624217</v>
      </c>
      <c r="M12" s="94">
        <f>'Emissions summary'!AK10</f>
        <v>1.7375751398894104</v>
      </c>
      <c r="N12" s="94">
        <f>'Emissions summary'!AL10</f>
        <v>1.7487842269894645</v>
      </c>
      <c r="O12" s="94">
        <f>'Emissions summary'!AM10</f>
        <v>1.7607065441657741</v>
      </c>
      <c r="P12" s="94">
        <f>'Emissions summary'!AN10</f>
        <v>1.7758900481417739</v>
      </c>
      <c r="Q12" s="94">
        <f>'Emissions summary'!AO10</f>
        <v>1.7959931311554158</v>
      </c>
      <c r="R12" s="94">
        <f>'Emissions summary'!AP10</f>
        <v>1.8180605420574358</v>
      </c>
      <c r="S12" s="94">
        <f>'Emissions summary'!AQ10</f>
        <v>1.842948462341758</v>
      </c>
      <c r="T12" s="94">
        <f>'Emissions summary'!AR10</f>
        <v>1.8709120112985662</v>
      </c>
      <c r="U12" s="94">
        <f>'Emissions summary'!AS10</f>
        <v>1.905450845168561</v>
      </c>
      <c r="V12" s="94">
        <f>'Emissions summary'!AT10</f>
        <v>1.9382978295878224</v>
      </c>
      <c r="W12" s="94">
        <f>'Emissions summary'!AU10</f>
        <v>1.9814480854578569</v>
      </c>
      <c r="X12" s="94">
        <f>'Emissions summary'!AV10</f>
        <v>2.0257501159903244</v>
      </c>
      <c r="Y12" s="94">
        <f>'Emissions summary'!AW10</f>
        <v>2.0707863251036409</v>
      </c>
      <c r="Z12" s="94">
        <f>'Emissions summary'!AX10</f>
        <v>2.1161378023062558</v>
      </c>
      <c r="AA12" s="94">
        <f>'Emissions summary'!AY10</f>
        <v>2.1541828912005405</v>
      </c>
      <c r="AB12" s="94">
        <f>'Emissions summary'!AZ10</f>
        <v>2.1943125613880397</v>
      </c>
      <c r="AC12" s="94">
        <f>'Emissions summary'!BA10</f>
        <v>2.2381132634572807</v>
      </c>
      <c r="AD12" s="94">
        <f>'Emissions summary'!BB10</f>
        <v>2.2839427590807517</v>
      </c>
      <c r="AE12" s="94">
        <f>'Emissions summary'!BC10</f>
        <v>2.3263989485563097</v>
      </c>
      <c r="AF12" s="94">
        <f>'Emissions summary'!BD10</f>
        <v>2.3684365238757925</v>
      </c>
      <c r="AG12" s="94">
        <f>'Emissions summary'!BE10</f>
        <v>2.4120768139337381</v>
      </c>
      <c r="AH12" s="94">
        <f>'Emissions summary'!BF10</f>
        <v>2.4578828804841826</v>
      </c>
      <c r="AI12" s="94">
        <f>'Emissions summary'!BG10</f>
        <v>2.5066535527481606</v>
      </c>
      <c r="AJ12" s="94">
        <f>'Emissions summary'!BH10</f>
        <v>2.5578689297439041</v>
      </c>
      <c r="AK12" s="94">
        <f>'Emissions summary'!BI10</f>
        <v>2.6132885864715081</v>
      </c>
      <c r="AL12" s="94">
        <f>'Emissions summary'!BJ10</f>
        <v>2.6719770865927579</v>
      </c>
      <c r="AM12" s="94">
        <f>'Emissions summary'!BK10</f>
        <v>2.7326280372350031</v>
      </c>
      <c r="AN12" s="94">
        <f>'Emissions summary'!BL10</f>
        <v>2.7905017080708112</v>
      </c>
      <c r="AO12" s="94">
        <f>'Emissions summary'!BM10</f>
        <v>2.8505813591356852</v>
      </c>
      <c r="AP12" s="94">
        <f>'Emissions summary'!BN10</f>
        <v>2.9138400597540057</v>
      </c>
    </row>
    <row r="13" spans="1:42" x14ac:dyDescent="0.25">
      <c r="A13" t="str">
        <f>'Emissions summary'!C12</f>
        <v>3A2a Cattle</v>
      </c>
      <c r="B13" t="str">
        <f t="shared" si="1"/>
        <v>A3A2a</v>
      </c>
      <c r="C13" t="str">
        <f>'Emissions summary'!D12</f>
        <v>CH4</v>
      </c>
      <c r="D13" s="94">
        <f>'Emissions summary'!AB12</f>
        <v>10.51455320369605</v>
      </c>
      <c r="E13" s="94">
        <f>'Emissions summary'!AC12</f>
        <v>10.605036392061379</v>
      </c>
      <c r="F13" s="94">
        <f>'Emissions summary'!AD12</f>
        <v>10.672857054262847</v>
      </c>
      <c r="G13" s="94">
        <f>'Emissions summary'!AE12</f>
        <v>10.724475918371688</v>
      </c>
      <c r="H13" s="94">
        <f>'Emissions summary'!AF12</f>
        <v>10.758274290570695</v>
      </c>
      <c r="I13" s="94">
        <f>'Emissions summary'!AG12</f>
        <v>10.825724446737459</v>
      </c>
      <c r="J13" s="94">
        <f>'Emissions summary'!AH12</f>
        <v>10.890000896473522</v>
      </c>
      <c r="K13" s="94">
        <f>'Emissions summary'!AI12</f>
        <v>10.954984827234025</v>
      </c>
      <c r="L13" s="94">
        <f>'Emissions summary'!AJ12</f>
        <v>10.5614767621214</v>
      </c>
      <c r="M13" s="94">
        <f>'Emissions summary'!AK12</f>
        <v>10.673041155382279</v>
      </c>
      <c r="N13" s="94">
        <f>'Emissions summary'!AL12</f>
        <v>10.780981554825752</v>
      </c>
      <c r="O13" s="94">
        <f>'Emissions summary'!AM12</f>
        <v>10.893325347935118</v>
      </c>
      <c r="P13" s="94">
        <f>'Emissions summary'!AN12</f>
        <v>11.015933385736279</v>
      </c>
      <c r="Q13" s="94">
        <f>'Emissions summary'!AO12</f>
        <v>11.153014400025619</v>
      </c>
      <c r="R13" s="94">
        <f>'Emissions summary'!AP12</f>
        <v>11.289868970812183</v>
      </c>
      <c r="S13" s="94">
        <f>'Emissions summary'!AQ12</f>
        <v>11.437011550976594</v>
      </c>
      <c r="T13" s="94">
        <f>'Emissions summary'!AR12</f>
        <v>11.595416625932462</v>
      </c>
      <c r="U13" s="94">
        <f>'Emissions summary'!AS12</f>
        <v>11.774142699099219</v>
      </c>
      <c r="V13" s="94">
        <f>'Emissions summary'!AT12</f>
        <v>11.953233635328997</v>
      </c>
      <c r="W13" s="94">
        <f>'Emissions summary'!AU12</f>
        <v>12.157233897596223</v>
      </c>
      <c r="X13" s="94">
        <f>'Emissions summary'!AV12</f>
        <v>12.369697958257795</v>
      </c>
      <c r="Y13" s="94">
        <f>'Emissions summary'!AW12</f>
        <v>12.589748591749075</v>
      </c>
      <c r="Z13" s="94">
        <f>'Emissions summary'!AX12</f>
        <v>12.816444306215978</v>
      </c>
      <c r="AA13" s="94">
        <f>'Emissions summary'!AY12</f>
        <v>13.029127707450042</v>
      </c>
      <c r="AB13" s="94">
        <f>'Emissions summary'!AZ12</f>
        <v>13.246615304992556</v>
      </c>
      <c r="AC13" s="94">
        <f>'Emissions summary'!BA12</f>
        <v>13.480060387488347</v>
      </c>
      <c r="AD13" s="94">
        <f>'Emissions summary'!BB12</f>
        <v>13.725370122406343</v>
      </c>
      <c r="AE13" s="94">
        <f>'Emissions summary'!BC12</f>
        <v>13.967231712023558</v>
      </c>
      <c r="AF13" s="94">
        <f>'Emissions summary'!BD12</f>
        <v>14.214039527578075</v>
      </c>
      <c r="AG13" s="94">
        <f>'Emissions summary'!BE12</f>
        <v>14.465367432855166</v>
      </c>
      <c r="AH13" s="94">
        <f>'Emissions summary'!BF12</f>
        <v>14.72977471620491</v>
      </c>
      <c r="AI13" s="94">
        <f>'Emissions summary'!BG12</f>
        <v>15.010203265754127</v>
      </c>
      <c r="AJ13" s="94">
        <f>'Emissions summary'!BH12</f>
        <v>15.305617863591312</v>
      </c>
      <c r="AK13" s="94">
        <f>'Emissions summary'!BI12</f>
        <v>15.622196304028774</v>
      </c>
      <c r="AL13" s="94">
        <f>'Emissions summary'!BJ12</f>
        <v>15.951738577093824</v>
      </c>
      <c r="AM13" s="94">
        <f>'Emissions summary'!BK12</f>
        <v>16.296618983476975</v>
      </c>
      <c r="AN13" s="94">
        <f>'Emissions summary'!BL12</f>
        <v>16.641472086370889</v>
      </c>
      <c r="AO13" s="94">
        <f>'Emissions summary'!BM12</f>
        <v>17.003092844087924</v>
      </c>
      <c r="AP13" s="94">
        <f>'Emissions summary'!BN12</f>
        <v>17.385470104346993</v>
      </c>
    </row>
    <row r="14" spans="1:42" x14ac:dyDescent="0.25">
      <c r="A14" t="str">
        <f>'Emissions summary'!C13</f>
        <v>3A2c Sheep</v>
      </c>
      <c r="B14" t="str">
        <f t="shared" si="1"/>
        <v>A3A2c</v>
      </c>
      <c r="C14" t="str">
        <f>'Emissions summary'!D13</f>
        <v>CH4</v>
      </c>
      <c r="D14" s="94">
        <f>'Emissions summary'!AB13</f>
        <v>4.0164583669524509E-2</v>
      </c>
      <c r="E14" s="94">
        <f>'Emissions summary'!AC13</f>
        <v>4.0186348197791627E-2</v>
      </c>
      <c r="F14" s="94">
        <f>'Emissions summary'!AD13</f>
        <v>4.0235852974721598E-2</v>
      </c>
      <c r="G14" s="94">
        <f>'Emissions summary'!AE13</f>
        <v>4.0311665059342049E-2</v>
      </c>
      <c r="H14" s="94">
        <f>'Emissions summary'!AF13</f>
        <v>4.0412380064360084E-2</v>
      </c>
      <c r="I14" s="94">
        <f>'Emissions summary'!AG13</f>
        <v>4.0539074092741899E-2</v>
      </c>
      <c r="J14" s="94">
        <f>'Emissions summary'!AH13</f>
        <v>4.0679497275138629E-2</v>
      </c>
      <c r="K14" s="94">
        <f>'Emissions summary'!AI13</f>
        <v>4.083402360634672E-2</v>
      </c>
      <c r="L14" s="94">
        <f>'Emissions summary'!AJ13</f>
        <v>4.0982997661530837E-2</v>
      </c>
      <c r="M14" s="94">
        <f>'Emissions summary'!AK13</f>
        <v>4.1042054001111834E-2</v>
      </c>
      <c r="N14" s="94">
        <f>'Emissions summary'!AL13</f>
        <v>4.1111029229329625E-2</v>
      </c>
      <c r="O14" s="94">
        <f>'Emissions summary'!AM13</f>
        <v>4.1189644469242268E-2</v>
      </c>
      <c r="P14" s="94">
        <f>'Emissions summary'!AN13</f>
        <v>4.1277604396807749E-2</v>
      </c>
      <c r="Q14" s="94">
        <f>'Emissions summary'!AO13</f>
        <v>4.1374607950823775E-2</v>
      </c>
      <c r="R14" s="94">
        <f>'Emissions summary'!AP13</f>
        <v>4.1434178269414659E-2</v>
      </c>
      <c r="S14" s="94">
        <f>'Emissions summary'!AQ13</f>
        <v>4.1501325251779166E-2</v>
      </c>
      <c r="T14" s="94">
        <f>'Emissions summary'!AR13</f>
        <v>4.157573226836183E-2</v>
      </c>
      <c r="U14" s="94">
        <f>'Emissions summary'!AS13</f>
        <v>4.16574481091848E-2</v>
      </c>
      <c r="V14" s="94">
        <f>'Emissions summary'!AT13</f>
        <v>4.1745371262970225E-2</v>
      </c>
      <c r="W14" s="94">
        <f>'Emissions summary'!AU13</f>
        <v>4.1803543343833474E-2</v>
      </c>
      <c r="X14" s="94">
        <f>'Emissions summary'!AV13</f>
        <v>4.18674077695467E-2</v>
      </c>
      <c r="Y14" s="94">
        <f>'Emissions summary'!AW13</f>
        <v>4.1936700846629184E-2</v>
      </c>
      <c r="Z14" s="94">
        <f>'Emissions summary'!AX13</f>
        <v>4.2011176451938977E-2</v>
      </c>
      <c r="AA14" s="94">
        <f>'Emissions summary'!AY13</f>
        <v>4.2089807922282126E-2</v>
      </c>
      <c r="AB14" s="94">
        <f>'Emissions summary'!AZ13</f>
        <v>4.2138560002231949E-2</v>
      </c>
      <c r="AC14" s="94">
        <f>'Emissions summary'!BA13</f>
        <v>4.2192077322674243E-2</v>
      </c>
      <c r="AD14" s="94">
        <f>'Emissions summary'!BB13</f>
        <v>4.2250036579088546E-2</v>
      </c>
      <c r="AE14" s="94">
        <f>'Emissions summary'!BC13</f>
        <v>4.2311674453704338E-2</v>
      </c>
      <c r="AF14" s="94">
        <f>'Emissions summary'!BD13</f>
        <v>4.2377196571238993E-2</v>
      </c>
      <c r="AG14" s="94">
        <f>'Emissions summary'!BE13</f>
        <v>4.2414243631532261E-2</v>
      </c>
      <c r="AH14" s="94">
        <f>'Emissions summary'!BF13</f>
        <v>4.2455062830003221E-2</v>
      </c>
      <c r="AI14" s="94">
        <f>'Emissions summary'!BG13</f>
        <v>4.2499657654677669E-2</v>
      </c>
      <c r="AJ14" s="94">
        <f>'Emissions summary'!BH13</f>
        <v>4.2547879191065098E-2</v>
      </c>
      <c r="AK14" s="94">
        <f>'Emissions summary'!BI13</f>
        <v>4.259987528774653E-2</v>
      </c>
      <c r="AL14" s="94">
        <f>'Emissions summary'!BJ13</f>
        <v>4.2622658503699437E-2</v>
      </c>
      <c r="AM14" s="94">
        <f>'Emissions summary'!BK13</f>
        <v>4.2648647542023181E-2</v>
      </c>
      <c r="AN14" s="94">
        <f>'Emissions summary'!BL13</f>
        <v>4.267713923078726E-2</v>
      </c>
      <c r="AO14" s="94">
        <f>'Emissions summary'!BM13</f>
        <v>4.2708724178696131E-2</v>
      </c>
      <c r="AP14" s="94">
        <f>'Emissions summary'!BN13</f>
        <v>4.2743483773361894E-2</v>
      </c>
    </row>
    <row r="15" spans="1:42" x14ac:dyDescent="0.25">
      <c r="A15" t="str">
        <f>'Emissions summary'!C14</f>
        <v>3A2d Goats</v>
      </c>
      <c r="B15" t="str">
        <f t="shared" si="1"/>
        <v>A3A2d</v>
      </c>
      <c r="C15" t="str">
        <f>'Emissions summary'!D14</f>
        <v>CH4</v>
      </c>
      <c r="D15" s="94">
        <f>'Emissions summary'!AB14</f>
        <v>4.2368978648407302E-2</v>
      </c>
      <c r="E15" s="94">
        <f>'Emissions summary'!AC14</f>
        <v>4.247926786131398E-2</v>
      </c>
      <c r="F15" s="94">
        <f>'Emissions summary'!AD14</f>
        <v>4.262724586040112E-2</v>
      </c>
      <c r="G15" s="94">
        <f>'Emissions summary'!AE14</f>
        <v>4.2811179841112795E-2</v>
      </c>
      <c r="H15" s="94">
        <f>'Emissions summary'!AF14</f>
        <v>4.3029261361763209E-2</v>
      </c>
      <c r="I15" s="94">
        <f>'Emissions summary'!AG14</f>
        <v>4.3283680762203902E-2</v>
      </c>
      <c r="J15" s="94">
        <f>'Emissions summary'!AH14</f>
        <v>4.3554600834373708E-2</v>
      </c>
      <c r="K15" s="94">
        <f>'Emissions summary'!AI14</f>
        <v>4.3843033292013833E-2</v>
      </c>
      <c r="L15" s="94">
        <f>'Emissions summary'!AJ14</f>
        <v>4.4117156194263006E-2</v>
      </c>
      <c r="M15" s="94">
        <f>'Emissions summary'!AK14</f>
        <v>4.423986860816724E-2</v>
      </c>
      <c r="N15" s="94">
        <f>'Emissions summary'!AL14</f>
        <v>4.4375114620010647E-2</v>
      </c>
      <c r="O15" s="94">
        <f>'Emissions summary'!AM14</f>
        <v>4.4522631842307057E-2</v>
      </c>
      <c r="P15" s="94">
        <f>'Emissions summary'!AN14</f>
        <v>4.4682104643282559E-2</v>
      </c>
      <c r="Q15" s="94">
        <f>'Emissions summary'!AO14</f>
        <v>4.485318646351126E-2</v>
      </c>
      <c r="R15" s="94">
        <f>'Emissions summary'!AP14</f>
        <v>4.4961092178189964E-2</v>
      </c>
      <c r="S15" s="94">
        <f>'Emissions summary'!AQ14</f>
        <v>4.5078806929960302E-2</v>
      </c>
      <c r="T15" s="94">
        <f>'Emissions summary'!AR14</f>
        <v>4.5205912206290555E-2</v>
      </c>
      <c r="U15" s="94">
        <f>'Emissions summary'!AS14</f>
        <v>4.5342565184290494E-2</v>
      </c>
      <c r="V15" s="94">
        <f>'Emissions summary'!AT14</f>
        <v>4.5487072567262428E-2</v>
      </c>
      <c r="W15" s="94">
        <f>'Emissions summary'!AU14</f>
        <v>4.5582170073651243E-2</v>
      </c>
      <c r="X15" s="94">
        <f>'Emissions summary'!AV14</f>
        <v>4.5684660845318116E-2</v>
      </c>
      <c r="Y15" s="94">
        <f>'Emissions summary'!AW14</f>
        <v>4.5794173742649533E-2</v>
      </c>
      <c r="Z15" s="94">
        <f>'Emissions summary'!AX14</f>
        <v>4.5910361812205508E-2</v>
      </c>
      <c r="AA15" s="94">
        <f>'Emissions summary'!AY14</f>
        <v>4.6031640283292333E-2</v>
      </c>
      <c r="AB15" s="94">
        <f>'Emissions summary'!AZ14</f>
        <v>4.6104318306117845E-2</v>
      </c>
      <c r="AC15" s="94">
        <f>'Emissions summary'!BA14</f>
        <v>4.6183328763839959E-2</v>
      </c>
      <c r="AD15" s="94">
        <f>'Emissions summary'!BB14</f>
        <v>4.6268185745631324E-2</v>
      </c>
      <c r="AE15" s="94">
        <f>'Emissions summary'!BC14</f>
        <v>4.6357712527929168E-2</v>
      </c>
      <c r="AF15" s="94">
        <f>'Emissions summary'!BD14</f>
        <v>4.6452256186454169E-2</v>
      </c>
      <c r="AG15" s="94">
        <f>'Emissions summary'!BE14</f>
        <v>4.6501211429944567E-2</v>
      </c>
      <c r="AH15" s="94">
        <f>'Emissions summary'!BF14</f>
        <v>4.6555221823762136E-2</v>
      </c>
      <c r="AI15" s="94">
        <f>'Emissions summary'!BG14</f>
        <v>4.6614304341385755E-2</v>
      </c>
      <c r="AJ15" s="94">
        <f>'Emissions summary'!BH14</f>
        <v>4.6678236627511742E-2</v>
      </c>
      <c r="AK15" s="94">
        <f>'Emissions summary'!BI14</f>
        <v>4.6747257117066926E-2</v>
      </c>
      <c r="AL15" s="94">
        <f>'Emissions summary'!BJ14</f>
        <v>4.677020014131425E-2</v>
      </c>
      <c r="AM15" s="94">
        <f>'Emissions summary'!BK14</f>
        <v>4.6797527978647231E-2</v>
      </c>
      <c r="AN15" s="94">
        <f>'Emissions summary'!BL14</f>
        <v>4.6828157243562027E-2</v>
      </c>
      <c r="AO15" s="94">
        <f>'Emissions summary'!BM14</f>
        <v>4.6863007553047703E-2</v>
      </c>
      <c r="AP15" s="94">
        <f>'Emissions summary'!BN14</f>
        <v>4.6902206687490483E-2</v>
      </c>
    </row>
    <row r="16" spans="1:42" x14ac:dyDescent="0.25">
      <c r="A16" t="str">
        <f>'Emissions summary'!C15</f>
        <v>3A2f Horses</v>
      </c>
      <c r="B16" t="str">
        <f t="shared" si="1"/>
        <v>A3A2f</v>
      </c>
      <c r="C16" t="str">
        <f>'Emissions summary'!D15</f>
        <v>CH4</v>
      </c>
      <c r="D16" s="94">
        <f>'Emissions summary'!AB15</f>
        <v>4.1342289750315956E-3</v>
      </c>
      <c r="E16" s="94">
        <f>'Emissions summary'!AC15</f>
        <v>4.1660645140363098E-3</v>
      </c>
      <c r="F16" s="94">
        <f>'Emissions summary'!AD15</f>
        <v>4.1802031160340326E-3</v>
      </c>
      <c r="G16" s="94">
        <f>'Emissions summary'!AE15</f>
        <v>4.1808300078192357E-3</v>
      </c>
      <c r="H16" s="94">
        <f>'Emissions summary'!AF15</f>
        <v>4.1675502098748119E-3</v>
      </c>
      <c r="I16" s="94">
        <f>'Emissions summary'!AG15</f>
        <v>4.1690136136892609E-3</v>
      </c>
      <c r="J16" s="94">
        <f>'Emissions summary'!AH15</f>
        <v>4.1667193242748207E-3</v>
      </c>
      <c r="K16" s="94">
        <f>'Emissions summary'!AI15</f>
        <v>4.1627713618290945E-3</v>
      </c>
      <c r="L16" s="94">
        <f>'Emissions summary'!AJ15</f>
        <v>3.914179321331571E-3</v>
      </c>
      <c r="M16" s="94">
        <f>'Emissions summary'!AK15</f>
        <v>3.9543112832094943E-3</v>
      </c>
      <c r="N16" s="94">
        <f>'Emissions summary'!AL15</f>
        <v>3.9907012701674268E-3</v>
      </c>
      <c r="O16" s="94">
        <f>'Emissions summary'!AM15</f>
        <v>4.0276366790311935E-3</v>
      </c>
      <c r="P16" s="94">
        <f>'Emissions summary'!AN15</f>
        <v>4.0681691291261212E-3</v>
      </c>
      <c r="Q16" s="94">
        <f>'Emissions summary'!AO15</f>
        <v>4.1144125708426904E-3</v>
      </c>
      <c r="R16" s="94">
        <f>'Emissions summary'!AP15</f>
        <v>4.1664408600780916E-3</v>
      </c>
      <c r="S16" s="94">
        <f>'Emissions summary'!AQ15</f>
        <v>4.2221389602907578E-3</v>
      </c>
      <c r="T16" s="94">
        <f>'Emissions summary'!AR15</f>
        <v>4.281951803091209E-3</v>
      </c>
      <c r="U16" s="94">
        <f>'Emissions summary'!AS15</f>
        <v>4.350357217348097E-3</v>
      </c>
      <c r="V16" s="94">
        <f>'Emissions summary'!AT15</f>
        <v>4.4172708617851546E-3</v>
      </c>
      <c r="W16" s="94">
        <f>'Emissions summary'!AU15</f>
        <v>4.5009503560536259E-3</v>
      </c>
      <c r="X16" s="94">
        <f>'Emissions summary'!AV15</f>
        <v>4.5871985394176119E-3</v>
      </c>
      <c r="Y16" s="94">
        <f>'Emissions summary'!AW15</f>
        <v>4.6755405523354089E-3</v>
      </c>
      <c r="Z16" s="94">
        <f>'Emissions summary'!AX15</f>
        <v>4.7654767379062806E-3</v>
      </c>
      <c r="AA16" s="94">
        <f>'Emissions summary'!AY15</f>
        <v>4.8469434712252344E-3</v>
      </c>
      <c r="AB16" s="94">
        <f>'Emissions summary'!AZ15</f>
        <v>4.9356400953621971E-3</v>
      </c>
      <c r="AC16" s="94">
        <f>'Emissions summary'!BA15</f>
        <v>5.0306307080303187E-3</v>
      </c>
      <c r="AD16" s="94">
        <f>'Emissions summary'!BB15</f>
        <v>5.129864403230119E-3</v>
      </c>
      <c r="AE16" s="94">
        <f>'Emissions summary'!BC15</f>
        <v>5.225968052733336E-3</v>
      </c>
      <c r="AF16" s="94">
        <f>'Emissions summary'!BD15</f>
        <v>5.3229600861104294E-3</v>
      </c>
      <c r="AG16" s="94">
        <f>'Emissions summary'!BE15</f>
        <v>5.4273973631133845E-3</v>
      </c>
      <c r="AH16" s="94">
        <f>'Emissions summary'!BF15</f>
        <v>5.5367634228974654E-3</v>
      </c>
      <c r="AI16" s="94">
        <f>'Emissions summary'!BG15</f>
        <v>5.6523804685735908E-3</v>
      </c>
      <c r="AJ16" s="94">
        <f>'Emissions summary'!BH15</f>
        <v>5.7736861303998438E-3</v>
      </c>
      <c r="AK16" s="94">
        <f>'Emissions summary'!BI15</f>
        <v>5.9034899512530855E-3</v>
      </c>
      <c r="AL16" s="94">
        <f>'Emissions summary'!BJ15</f>
        <v>6.0450030921231201E-3</v>
      </c>
      <c r="AM16" s="94">
        <f>'Emissions summary'!BK15</f>
        <v>6.1924399035089917E-3</v>
      </c>
      <c r="AN16" s="94">
        <f>'Emissions summary'!BL15</f>
        <v>6.3386240208394909E-3</v>
      </c>
      <c r="AO16" s="94">
        <f>'Emissions summary'!BM15</f>
        <v>6.4913070041474107E-3</v>
      </c>
      <c r="AP16" s="94">
        <f>'Emissions summary'!BN15</f>
        <v>6.65225689343861E-3</v>
      </c>
    </row>
    <row r="17" spans="1:42" x14ac:dyDescent="0.25">
      <c r="A17" t="str">
        <f>'Emissions summary'!C16</f>
        <v>3A2g Mules &amp; asses</v>
      </c>
      <c r="B17" t="str">
        <f t="shared" si="1"/>
        <v>A3A2g</v>
      </c>
      <c r="C17" t="str">
        <f>'Emissions summary'!D16</f>
        <v>CH4</v>
      </c>
      <c r="D17" s="94">
        <f>'Emissions summary'!AB16</f>
        <v>7.515E-4</v>
      </c>
      <c r="E17" s="94">
        <f>'Emissions summary'!AC16</f>
        <v>7.515E-4</v>
      </c>
      <c r="F17" s="94">
        <f>'Emissions summary'!AD16</f>
        <v>7.515E-4</v>
      </c>
      <c r="G17" s="94">
        <f>'Emissions summary'!AE16</f>
        <v>7.515E-4</v>
      </c>
      <c r="H17" s="94">
        <f>'Emissions summary'!AF16</f>
        <v>7.515E-4</v>
      </c>
      <c r="I17" s="94">
        <f>'Emissions summary'!AG16</f>
        <v>7.515E-4</v>
      </c>
      <c r="J17" s="94">
        <f>'Emissions summary'!AH16</f>
        <v>7.515E-4</v>
      </c>
      <c r="K17" s="94">
        <f>'Emissions summary'!AI16</f>
        <v>7.515E-4</v>
      </c>
      <c r="L17" s="94">
        <f>'Emissions summary'!AJ16</f>
        <v>7.515E-4</v>
      </c>
      <c r="M17" s="94">
        <f>'Emissions summary'!AK16</f>
        <v>7.515E-4</v>
      </c>
      <c r="N17" s="94">
        <f>'Emissions summary'!AL16</f>
        <v>7.515E-4</v>
      </c>
      <c r="O17" s="94">
        <f>'Emissions summary'!AM16</f>
        <v>7.515E-4</v>
      </c>
      <c r="P17" s="94">
        <f>'Emissions summary'!AN16</f>
        <v>7.515E-4</v>
      </c>
      <c r="Q17" s="94">
        <f>'Emissions summary'!AO16</f>
        <v>7.515E-4</v>
      </c>
      <c r="R17" s="94">
        <f>'Emissions summary'!AP16</f>
        <v>7.515E-4</v>
      </c>
      <c r="S17" s="94">
        <f>'Emissions summary'!AQ16</f>
        <v>7.515E-4</v>
      </c>
      <c r="T17" s="94">
        <f>'Emissions summary'!AR16</f>
        <v>7.515E-4</v>
      </c>
      <c r="U17" s="94">
        <f>'Emissions summary'!AS16</f>
        <v>7.515E-4</v>
      </c>
      <c r="V17" s="94">
        <f>'Emissions summary'!AT16</f>
        <v>7.515E-4</v>
      </c>
      <c r="W17" s="94">
        <f>'Emissions summary'!AU16</f>
        <v>7.515E-4</v>
      </c>
      <c r="X17" s="94">
        <f>'Emissions summary'!AV16</f>
        <v>7.515E-4</v>
      </c>
      <c r="Y17" s="94">
        <f>'Emissions summary'!AW16</f>
        <v>7.515E-4</v>
      </c>
      <c r="Z17" s="94">
        <f>'Emissions summary'!AX16</f>
        <v>7.515E-4</v>
      </c>
      <c r="AA17" s="94">
        <f>'Emissions summary'!AY16</f>
        <v>7.515E-4</v>
      </c>
      <c r="AB17" s="94">
        <f>'Emissions summary'!AZ16</f>
        <v>7.515E-4</v>
      </c>
      <c r="AC17" s="94">
        <f>'Emissions summary'!BA16</f>
        <v>7.515E-4</v>
      </c>
      <c r="AD17" s="94">
        <f>'Emissions summary'!BB16</f>
        <v>7.515E-4</v>
      </c>
      <c r="AE17" s="94">
        <f>'Emissions summary'!BC16</f>
        <v>7.515E-4</v>
      </c>
      <c r="AF17" s="94">
        <f>'Emissions summary'!BD16</f>
        <v>7.515E-4</v>
      </c>
      <c r="AG17" s="94">
        <f>'Emissions summary'!BE16</f>
        <v>7.515E-4</v>
      </c>
      <c r="AH17" s="94">
        <f>'Emissions summary'!BF16</f>
        <v>7.515E-4</v>
      </c>
      <c r="AI17" s="94">
        <f>'Emissions summary'!BG16</f>
        <v>7.515E-4</v>
      </c>
      <c r="AJ17" s="94">
        <f>'Emissions summary'!BH16</f>
        <v>7.515E-4</v>
      </c>
      <c r="AK17" s="94">
        <f>'Emissions summary'!BI16</f>
        <v>7.515E-4</v>
      </c>
      <c r="AL17" s="94">
        <f>'Emissions summary'!BJ16</f>
        <v>7.515E-4</v>
      </c>
      <c r="AM17" s="94">
        <f>'Emissions summary'!BK16</f>
        <v>7.515E-4</v>
      </c>
      <c r="AN17" s="94">
        <f>'Emissions summary'!BL16</f>
        <v>7.515E-4</v>
      </c>
      <c r="AO17" s="94">
        <f>'Emissions summary'!BM16</f>
        <v>7.515E-4</v>
      </c>
      <c r="AP17" s="94">
        <f>'Emissions summary'!BN16</f>
        <v>7.515E-4</v>
      </c>
    </row>
    <row r="18" spans="1:42" x14ac:dyDescent="0.25">
      <c r="A18" t="str">
        <f>'Emissions summary'!C17</f>
        <v>3A2h Swine</v>
      </c>
      <c r="B18" t="str">
        <f t="shared" si="1"/>
        <v>A3A2h</v>
      </c>
      <c r="C18" t="str">
        <f>'Emissions summary'!D17</f>
        <v>CH4</v>
      </c>
      <c r="D18" s="94">
        <f>'Emissions summary'!AB17</f>
        <v>23.362836589496716</v>
      </c>
      <c r="E18" s="94">
        <f>'Emissions summary'!AC17</f>
        <v>23.361077964396383</v>
      </c>
      <c r="F18" s="94">
        <f>'Emissions summary'!AD17</f>
        <v>23.199670534286593</v>
      </c>
      <c r="G18" s="94">
        <f>'Emissions summary'!AE17</f>
        <v>22.925968707408192</v>
      </c>
      <c r="H18" s="94">
        <f>'Emissions summary'!AF17</f>
        <v>22.537706807077413</v>
      </c>
      <c r="I18" s="94">
        <f>'Emissions summary'!AG17</f>
        <v>22.327358282708801</v>
      </c>
      <c r="J18" s="94">
        <f>'Emissions summary'!AH17</f>
        <v>22.094341947120927</v>
      </c>
      <c r="K18" s="94">
        <f>'Emissions summary'!AI17</f>
        <v>21.859865743523414</v>
      </c>
      <c r="L18" s="94">
        <f>'Emissions summary'!AJ17</f>
        <v>19.212562761975274</v>
      </c>
      <c r="M18" s="94">
        <f>'Emissions summary'!AK17</f>
        <v>19.37147530471751</v>
      </c>
      <c r="N18" s="94">
        <f>'Emissions summary'!AL17</f>
        <v>19.496440579002538</v>
      </c>
      <c r="O18" s="94">
        <f>'Emissions summary'!AM17</f>
        <v>19.629357347580726</v>
      </c>
      <c r="P18" s="94">
        <f>'Emissions summary'!AN17</f>
        <v>19.79863168027455</v>
      </c>
      <c r="Q18" s="94">
        <f>'Emissions summary'!AO17</f>
        <v>20.02275227639003</v>
      </c>
      <c r="R18" s="94">
        <f>'Emissions summary'!AP17</f>
        <v>20.268772316337618</v>
      </c>
      <c r="S18" s="94">
        <f>'Emissions summary'!AQ17</f>
        <v>20.546236998068856</v>
      </c>
      <c r="T18" s="94">
        <f>'Emissions summary'!AR17</f>
        <v>20.857990536441619</v>
      </c>
      <c r="U18" s="94">
        <f>'Emissions summary'!AS17</f>
        <v>21.243049088446988</v>
      </c>
      <c r="V18" s="94">
        <f>'Emissions summary'!AT17</f>
        <v>21.609245941121031</v>
      </c>
      <c r="W18" s="94">
        <f>'Emissions summary'!AU17</f>
        <v>22.090309520352381</v>
      </c>
      <c r="X18" s="94">
        <f>'Emissions summary'!AV17</f>
        <v>22.58421373819424</v>
      </c>
      <c r="Y18" s="94">
        <f>'Emissions summary'!AW17</f>
        <v>23.086302996165688</v>
      </c>
      <c r="Z18" s="94">
        <f>'Emissions summary'!AX17</f>
        <v>23.591907041996375</v>
      </c>
      <c r="AA18" s="94">
        <f>'Emissions summary'!AY17</f>
        <v>24.01605531798306</v>
      </c>
      <c r="AB18" s="94">
        <f>'Emissions summary'!AZ17</f>
        <v>24.463443691111536</v>
      </c>
      <c r="AC18" s="94">
        <f>'Emissions summary'!BA17</f>
        <v>24.951758814288073</v>
      </c>
      <c r="AD18" s="94">
        <f>'Emissions summary'!BB17</f>
        <v>25.462692081182212</v>
      </c>
      <c r="AE18" s="94">
        <f>'Emissions summary'!BC17</f>
        <v>25.936017813737593</v>
      </c>
      <c r="AF18" s="94">
        <f>'Emissions summary'!BD17</f>
        <v>26.404676597738945</v>
      </c>
      <c r="AG18" s="94">
        <f>'Emissions summary'!BE17</f>
        <v>26.891203356634687</v>
      </c>
      <c r="AH18" s="94">
        <f>'Emissions summary'!BF17</f>
        <v>27.401875422905533</v>
      </c>
      <c r="AI18" s="94">
        <f>'Emissions summary'!BG17</f>
        <v>27.945598598765574</v>
      </c>
      <c r="AJ18" s="94">
        <f>'Emissions summary'!BH17</f>
        <v>28.516576732556086</v>
      </c>
      <c r="AK18" s="94">
        <f>'Emissions summary'!BI17</f>
        <v>29.134426566528177</v>
      </c>
      <c r="AL18" s="94">
        <f>'Emissions summary'!BJ17</f>
        <v>29.788719324677359</v>
      </c>
      <c r="AM18" s="94">
        <f>'Emissions summary'!BK17</f>
        <v>30.464890596699977</v>
      </c>
      <c r="AN18" s="94">
        <f>'Emissions summary'!BL17</f>
        <v>31.110099174822562</v>
      </c>
      <c r="AO18" s="94">
        <f>'Emissions summary'!BM17</f>
        <v>31.779901274427491</v>
      </c>
      <c r="AP18" s="94">
        <f>'Emissions summary'!BN17</f>
        <v>32.485145225439766</v>
      </c>
    </row>
    <row r="19" spans="1:42" x14ac:dyDescent="0.25">
      <c r="A19" t="str">
        <f>'Emissions summary'!C18</f>
        <v>3A2i Poultry</v>
      </c>
      <c r="B19" t="str">
        <f t="shared" si="1"/>
        <v>A3A2i</v>
      </c>
      <c r="C19" t="str">
        <f>'Emissions summary'!D18</f>
        <v>CH4</v>
      </c>
      <c r="D19" s="94">
        <f>'Emissions summary'!AB18</f>
        <v>2.8823931054630663</v>
      </c>
      <c r="E19" s="94">
        <f>'Emissions summary'!AC18</f>
        <v>2.9445111672302775</v>
      </c>
      <c r="F19" s="94">
        <f>'Emissions summary'!AD18</f>
        <v>2.9794426750756866</v>
      </c>
      <c r="G19" s="94">
        <f>'Emissions summary'!AE18</f>
        <v>2.9939418170131735</v>
      </c>
      <c r="H19" s="94">
        <f>'Emissions summary'!AF18</f>
        <v>2.9869204202639166</v>
      </c>
      <c r="I19" s="94">
        <f>'Emissions summary'!AG18</f>
        <v>3.007356208961145</v>
      </c>
      <c r="J19" s="94">
        <f>'Emissions summary'!AH18</f>
        <v>3.0224297020606832</v>
      </c>
      <c r="K19" s="94">
        <f>'Emissions summary'!AI18</f>
        <v>3.0357426774791221</v>
      </c>
      <c r="L19" s="94">
        <f>'Emissions summary'!AJ18</f>
        <v>2.6188342701721696</v>
      </c>
      <c r="M19" s="94">
        <f>'Emissions summary'!AK18</f>
        <v>2.6979191949647388</v>
      </c>
      <c r="N19" s="94">
        <f>'Emissions summary'!AL18</f>
        <v>2.7715274523117719</v>
      </c>
      <c r="O19" s="94">
        <f>'Emissions summary'!AM18</f>
        <v>2.847236314352187</v>
      </c>
      <c r="P19" s="94">
        <f>'Emissions summary'!AN18</f>
        <v>2.9305168430739048</v>
      </c>
      <c r="Q19" s="94">
        <f>'Emissions summary'!AO18</f>
        <v>3.0252452230190672</v>
      </c>
      <c r="R19" s="94">
        <f>'Emissions summary'!AP18</f>
        <v>3.1269198568307646</v>
      </c>
      <c r="S19" s="94">
        <f>'Emissions summary'!AQ18</f>
        <v>3.2362778150093141</v>
      </c>
      <c r="T19" s="94">
        <f>'Emissions summary'!AR18</f>
        <v>3.3542037723071929</v>
      </c>
      <c r="U19" s="94">
        <f>'Emissions summary'!AS18</f>
        <v>3.4889046743535732</v>
      </c>
      <c r="V19" s="94">
        <f>'Emissions summary'!AT18</f>
        <v>3.6222323854161558</v>
      </c>
      <c r="W19" s="94">
        <f>'Emissions summary'!AU18</f>
        <v>3.782858006842984</v>
      </c>
      <c r="X19" s="94">
        <f>'Emissions summary'!AV18</f>
        <v>3.9493441211288056</v>
      </c>
      <c r="Y19" s="94">
        <f>'Emissions summary'!AW18</f>
        <v>4.1208984278924543</v>
      </c>
      <c r="Z19" s="94">
        <f>'Emissions summary'!AX18</f>
        <v>4.2966769840205714</v>
      </c>
      <c r="AA19" s="94">
        <f>'Emissions summary'!AY18</f>
        <v>4.4582512571589934</v>
      </c>
      <c r="AB19" s="94">
        <f>'Emissions summary'!AZ18</f>
        <v>4.6291571127576612</v>
      </c>
      <c r="AC19" s="94">
        <f>'Emissions summary'!BA18</f>
        <v>4.8126731744860702</v>
      </c>
      <c r="AD19" s="94">
        <f>'Emissions summary'!BB18</f>
        <v>5.0051064511897279</v>
      </c>
      <c r="AE19" s="94">
        <f>'Emissions summary'!BC18</f>
        <v>5.1928993637122982</v>
      </c>
      <c r="AF19" s="94">
        <f>'Emissions summary'!BD18</f>
        <v>5.3835053196437084</v>
      </c>
      <c r="AG19" s="94">
        <f>'Emissions summary'!BE18</f>
        <v>5.5832160774762789</v>
      </c>
      <c r="AH19" s="94">
        <f>'Emissions summary'!BF18</f>
        <v>5.7929264101989757</v>
      </c>
      <c r="AI19" s="94">
        <f>'Emissions summary'!BG18</f>
        <v>6.0151566967421282</v>
      </c>
      <c r="AJ19" s="94">
        <f>'Emissions summary'!BH18</f>
        <v>6.2489356649073331</v>
      </c>
      <c r="AK19" s="94">
        <f>'Emissions summary'!BI18</f>
        <v>6.4995722395821813</v>
      </c>
      <c r="AL19" s="94">
        <f>'Emissions summary'!BJ18</f>
        <v>6.765933960180301</v>
      </c>
      <c r="AM19" s="94">
        <f>'Emissions summary'!BK18</f>
        <v>7.0439439406247324</v>
      </c>
      <c r="AN19" s="94">
        <f>'Emissions summary'!BL18</f>
        <v>7.320277027112966</v>
      </c>
      <c r="AO19" s="94">
        <f>'Emissions summary'!BM18</f>
        <v>7.6094280816972528</v>
      </c>
      <c r="AP19" s="94">
        <f>'Emissions summary'!BN18</f>
        <v>7.9147528578908588</v>
      </c>
    </row>
    <row r="20" spans="1:42" x14ac:dyDescent="0.25">
      <c r="A20" t="str">
        <f>'Emissions summary'!C20</f>
        <v>3A2a Cattle</v>
      </c>
      <c r="B20" t="str">
        <f t="shared" si="1"/>
        <v>A3A2a</v>
      </c>
      <c r="C20" t="str">
        <f>'Emissions summary'!D20</f>
        <v>N2O</v>
      </c>
      <c r="D20" s="94">
        <f>'Emissions summary'!AB20</f>
        <v>2.6407097131125199</v>
      </c>
      <c r="E20" s="94">
        <f>'Emissions summary'!AC20</f>
        <v>2.6770616625626991</v>
      </c>
      <c r="F20" s="94">
        <f>'Emissions summary'!AD20</f>
        <v>2.6963879386496155</v>
      </c>
      <c r="G20" s="94">
        <f>'Emissions summary'!AE20</f>
        <v>2.7032509218785998</v>
      </c>
      <c r="H20" s="94">
        <f>'Emissions summary'!AF20</f>
        <v>2.6970788113272977</v>
      </c>
      <c r="I20" s="94">
        <f>'Emissions summary'!AG20</f>
        <v>2.7095013860258663</v>
      </c>
      <c r="J20" s="94">
        <f>'Emissions summary'!AH20</f>
        <v>2.7188253155687896</v>
      </c>
      <c r="K20" s="94">
        <f>'Emissions summary'!AI20</f>
        <v>2.7274213456423841</v>
      </c>
      <c r="L20" s="94">
        <f>'Emissions summary'!AJ20</f>
        <v>2.4629719896260172</v>
      </c>
      <c r="M20" s="94">
        <f>'Emissions summary'!AK20</f>
        <v>2.5175267059677182</v>
      </c>
      <c r="N20" s="94">
        <f>'Emissions summary'!AL20</f>
        <v>2.5688190088334695</v>
      </c>
      <c r="O20" s="94">
        <f>'Emissions summary'!AM20</f>
        <v>2.621653897075527</v>
      </c>
      <c r="P20" s="94">
        <f>'Emissions summary'!AN20</f>
        <v>2.6794963255847009</v>
      </c>
      <c r="Q20" s="94">
        <f>'Emissions summary'!AO20</f>
        <v>2.7447973452705909</v>
      </c>
      <c r="R20" s="94">
        <f>'Emissions summary'!AP20</f>
        <v>2.8127414272266531</v>
      </c>
      <c r="S20" s="94">
        <f>'Emissions summary'!AQ20</f>
        <v>2.8857317675275449</v>
      </c>
      <c r="T20" s="94">
        <f>'Emissions summary'!AR20</f>
        <v>2.9643227565444645</v>
      </c>
      <c r="U20" s="94">
        <f>'Emissions summary'!AS20</f>
        <v>3.0537149904991039</v>
      </c>
      <c r="V20" s="94">
        <f>'Emissions summary'!AT20</f>
        <v>3.1423898723934331</v>
      </c>
      <c r="W20" s="94">
        <f>'Emissions summary'!AU20</f>
        <v>3.2407819673380698</v>
      </c>
      <c r="X20" s="94">
        <f>'Emissions summary'!AV20</f>
        <v>3.3427305355775898</v>
      </c>
      <c r="Y20" s="94">
        <f>'Emissions summary'!AW20</f>
        <v>3.4477234003729591</v>
      </c>
      <c r="Z20" s="94">
        <f>'Emissions summary'!AX20</f>
        <v>3.5552216743451361</v>
      </c>
      <c r="AA20" s="94">
        <f>'Emissions summary'!AY20</f>
        <v>3.6536536536482487</v>
      </c>
      <c r="AB20" s="94">
        <f>'Emissions summary'!AZ20</f>
        <v>3.7564118957671266</v>
      </c>
      <c r="AC20" s="94">
        <f>'Emissions summary'!BA20</f>
        <v>3.8669459239031836</v>
      </c>
      <c r="AD20" s="94">
        <f>'Emissions summary'!BB20</f>
        <v>3.9829198228080624</v>
      </c>
      <c r="AE20" s="94">
        <f>'Emissions summary'!BC20</f>
        <v>4.0958698439636265</v>
      </c>
      <c r="AF20" s="94">
        <f>'Emissions summary'!BD20</f>
        <v>4.2104622051333003</v>
      </c>
      <c r="AG20" s="94">
        <f>'Emissions summary'!BE20</f>
        <v>4.3331767195070867</v>
      </c>
      <c r="AH20" s="94">
        <f>'Emissions summary'!BF20</f>
        <v>4.4621547184017922</v>
      </c>
      <c r="AI20" s="94">
        <f>'Emissions summary'!BG20</f>
        <v>4.5989584072840373</v>
      </c>
      <c r="AJ20" s="94">
        <f>'Emissions summary'!BH20</f>
        <v>4.7429813506462075</v>
      </c>
      <c r="AK20" s="94">
        <f>'Emissions summary'!BI20</f>
        <v>4.8975144775546937</v>
      </c>
      <c r="AL20" s="94">
        <f>'Emissions summary'!BJ20</f>
        <v>5.060569083761985</v>
      </c>
      <c r="AM20" s="94">
        <f>'Emissions summary'!BK20</f>
        <v>5.230902894776186</v>
      </c>
      <c r="AN20" s="94">
        <f>'Emissions summary'!BL20</f>
        <v>5.4002697142968703</v>
      </c>
      <c r="AO20" s="94">
        <f>'Emissions summary'!BM20</f>
        <v>5.5776562500128435</v>
      </c>
      <c r="AP20" s="94">
        <f>'Emissions summary'!BN20</f>
        <v>5.7651438181463863</v>
      </c>
    </row>
    <row r="21" spans="1:42" x14ac:dyDescent="0.25">
      <c r="A21" t="str">
        <f>'Emissions summary'!C21</f>
        <v>3A2c Sheep</v>
      </c>
      <c r="B21" t="str">
        <f t="shared" si="1"/>
        <v>A3A2c</v>
      </c>
      <c r="C21" t="str">
        <f>'Emissions summary'!D21</f>
        <v>N2O</v>
      </c>
      <c r="D21" s="94">
        <f>'Emissions summary'!AB21</f>
        <v>0.17981926270793053</v>
      </c>
      <c r="E21" s="94">
        <f>'Emissions summary'!AC21</f>
        <v>0.17991670381321825</v>
      </c>
      <c r="F21" s="94">
        <f>'Emissions summary'!AD21</f>
        <v>0.18013833968429593</v>
      </c>
      <c r="G21" s="94">
        <f>'Emissions summary'!AE21</f>
        <v>0.18047775495803489</v>
      </c>
      <c r="H21" s="94">
        <f>'Emissions summary'!AF21</f>
        <v>0.18092866210785075</v>
      </c>
      <c r="I21" s="94">
        <f>'Emissions summary'!AG21</f>
        <v>0.18149587891160424</v>
      </c>
      <c r="J21" s="94">
        <f>'Emissions summary'!AH21</f>
        <v>0.18212456196564622</v>
      </c>
      <c r="K21" s="94">
        <f>'Emissions summary'!AI21</f>
        <v>0.18281638566722946</v>
      </c>
      <c r="L21" s="94">
        <f>'Emissions summary'!AJ21</f>
        <v>0.18348335149429329</v>
      </c>
      <c r="M21" s="94">
        <f>'Emissions summary'!AK21</f>
        <v>0.18374775028724633</v>
      </c>
      <c r="N21" s="94">
        <f>'Emissions summary'!AL21</f>
        <v>0.18405655654266001</v>
      </c>
      <c r="O21" s="94">
        <f>'Emissions summary'!AM21</f>
        <v>0.18440852171165104</v>
      </c>
      <c r="P21" s="94">
        <f>'Emissions summary'!AN21</f>
        <v>0.18480232361067755</v>
      </c>
      <c r="Q21" s="94">
        <f>'Emissions summary'!AO21</f>
        <v>0.18523661437058514</v>
      </c>
      <c r="R21" s="94">
        <f>'Emissions summary'!AP21</f>
        <v>0.18550331427855443</v>
      </c>
      <c r="S21" s="94">
        <f>'Emissions summary'!AQ21</f>
        <v>0.18580393536705364</v>
      </c>
      <c r="T21" s="94">
        <f>'Emissions summary'!AR21</f>
        <v>0.1861370600664724</v>
      </c>
      <c r="U21" s="94">
        <f>'Emissions summary'!AS21</f>
        <v>0.18650290681268172</v>
      </c>
      <c r="V21" s="94">
        <f>'Emissions summary'!AT21</f>
        <v>0.18689654407327772</v>
      </c>
      <c r="W21" s="94">
        <f>'Emissions summary'!AU21</f>
        <v>0.18715698398663727</v>
      </c>
      <c r="X21" s="94">
        <f>'Emissions summary'!AV21</f>
        <v>0.18744290887109541</v>
      </c>
      <c r="Y21" s="94">
        <f>'Emissions summary'!AW21</f>
        <v>0.18775313815504022</v>
      </c>
      <c r="Z21" s="94">
        <f>'Emissions summary'!AX21</f>
        <v>0.18808656993032569</v>
      </c>
      <c r="AA21" s="94">
        <f>'Emissions summary'!AY21</f>
        <v>0.18843860776393273</v>
      </c>
      <c r="AB21" s="94">
        <f>'Emissions summary'!AZ21</f>
        <v>0.1886568737652484</v>
      </c>
      <c r="AC21" s="94">
        <f>'Emissions summary'!BA21</f>
        <v>0.18889647403555665</v>
      </c>
      <c r="AD21" s="94">
        <f>'Emissions summary'!BB21</f>
        <v>0.18915596112102662</v>
      </c>
      <c r="AE21" s="94">
        <f>'Emissions summary'!BC21</f>
        <v>0.18943191760197742</v>
      </c>
      <c r="AF21" s="94">
        <f>'Emissions summary'!BD21</f>
        <v>0.18972526407266627</v>
      </c>
      <c r="AG21" s="94">
        <f>'Emissions summary'!BE21</f>
        <v>0.18989112599525573</v>
      </c>
      <c r="AH21" s="94">
        <f>'Emissions summary'!BF21</f>
        <v>0.19007387600789805</v>
      </c>
      <c r="AI21" s="94">
        <f>'Emissions summary'!BG21</f>
        <v>0.19027352972669487</v>
      </c>
      <c r="AJ21" s="94">
        <f>'Emissions summary'!BH21</f>
        <v>0.19048942045249395</v>
      </c>
      <c r="AK21" s="94">
        <f>'Emissions summary'!BI21</f>
        <v>0.19072221011230661</v>
      </c>
      <c r="AL21" s="94">
        <f>'Emissions summary'!BJ21</f>
        <v>0.19082421194378274</v>
      </c>
      <c r="AM21" s="94">
        <f>'Emissions summary'!BK21</f>
        <v>0.19094056643529977</v>
      </c>
      <c r="AN21" s="94">
        <f>'Emissions summary'!BL21</f>
        <v>0.19106812544372914</v>
      </c>
      <c r="AO21" s="94">
        <f>'Emissions summary'!BM21</f>
        <v>0.19120953315984973</v>
      </c>
      <c r="AP21" s="94">
        <f>'Emissions summary'!BN21</f>
        <v>0.19136515396090797</v>
      </c>
    </row>
    <row r="22" spans="1:42" x14ac:dyDescent="0.25">
      <c r="A22" t="str">
        <f>'Emissions summary'!C22</f>
        <v>3A2d Goats</v>
      </c>
      <c r="B22" t="str">
        <f t="shared" si="1"/>
        <v>A3A2d</v>
      </c>
      <c r="C22" t="str">
        <f>'Emissions summary'!D22</f>
        <v>N2O</v>
      </c>
      <c r="D22" s="94">
        <f>'Emissions summary'!AB22</f>
        <v>0.12929112097248238</v>
      </c>
      <c r="E22" s="94">
        <f>'Emissions summary'!AC22</f>
        <v>0.1296276741871871</v>
      </c>
      <c r="F22" s="94">
        <f>'Emissions summary'!AD22</f>
        <v>0.13007923667444946</v>
      </c>
      <c r="G22" s="94">
        <f>'Emissions summary'!AE22</f>
        <v>0.13064052069190207</v>
      </c>
      <c r="H22" s="94">
        <f>'Emissions summary'!AF22</f>
        <v>0.13130600768657943</v>
      </c>
      <c r="I22" s="94">
        <f>'Emissions summary'!AG22</f>
        <v>0.13208238159337315</v>
      </c>
      <c r="J22" s="94">
        <f>'Emissions summary'!AH22</f>
        <v>0.13290910814997606</v>
      </c>
      <c r="K22" s="94">
        <f>'Emissions summary'!AI22</f>
        <v>0.13378927465298759</v>
      </c>
      <c r="L22" s="94">
        <f>'Emissions summary'!AJ22</f>
        <v>0.13462577481057067</v>
      </c>
      <c r="M22" s="94">
        <f>'Emissions summary'!AK22</f>
        <v>0.13500023806309738</v>
      </c>
      <c r="N22" s="94">
        <f>'Emissions summary'!AL22</f>
        <v>0.13541294823540054</v>
      </c>
      <c r="O22" s="94">
        <f>'Emissions summary'!AM22</f>
        <v>0.13586310463854917</v>
      </c>
      <c r="P22" s="94">
        <f>'Emissions summary'!AN22</f>
        <v>0.1363497441059256</v>
      </c>
      <c r="Q22" s="94">
        <f>'Emissions summary'!AO22</f>
        <v>0.13687180909358876</v>
      </c>
      <c r="R22" s="94">
        <f>'Emissions summary'!AP22</f>
        <v>0.13720108894066554</v>
      </c>
      <c r="S22" s="94">
        <f>'Emissions summary'!AQ22</f>
        <v>0.13756030156973739</v>
      </c>
      <c r="T22" s="94">
        <f>'Emissions summary'!AR22</f>
        <v>0.13794816986825431</v>
      </c>
      <c r="U22" s="94">
        <f>'Emissions summary'!AS22</f>
        <v>0.13836517347026356</v>
      </c>
      <c r="V22" s="94">
        <f>'Emissions summary'!AT22</f>
        <v>0.13880614519366249</v>
      </c>
      <c r="W22" s="94">
        <f>'Emissions summary'!AU22</f>
        <v>0.13909634013333116</v>
      </c>
      <c r="X22" s="94">
        <f>'Emissions summary'!AV22</f>
        <v>0.13940909600285797</v>
      </c>
      <c r="Y22" s="94">
        <f>'Emissions summary'!AW22</f>
        <v>0.13974328025059307</v>
      </c>
      <c r="Z22" s="94">
        <f>'Emissions summary'!AX22</f>
        <v>0.14009783413024121</v>
      </c>
      <c r="AA22" s="94">
        <f>'Emissions summary'!AY22</f>
        <v>0.14046792163239138</v>
      </c>
      <c r="AB22" s="94">
        <f>'Emissions summary'!AZ22</f>
        <v>0.14068970236303283</v>
      </c>
      <c r="AC22" s="94">
        <f>'Emissions summary'!BA22</f>
        <v>0.14093080684497494</v>
      </c>
      <c r="AD22" s="94">
        <f>'Emissions summary'!BB22</f>
        <v>0.14118975229629652</v>
      </c>
      <c r="AE22" s="94">
        <f>'Emissions summary'!BC22</f>
        <v>0.1414629478844272</v>
      </c>
      <c r="AF22" s="94">
        <f>'Emissions summary'!BD22</f>
        <v>0.14175145272880812</v>
      </c>
      <c r="AG22" s="94">
        <f>'Emissions summary'!BE22</f>
        <v>0.14190084217623566</v>
      </c>
      <c r="AH22" s="94">
        <f>'Emissions summary'!BF22</f>
        <v>0.1420656576753013</v>
      </c>
      <c r="AI22" s="94">
        <f>'Emissions summary'!BG22</f>
        <v>0.14224595102145024</v>
      </c>
      <c r="AJ22" s="94">
        <f>'Emissions summary'!BH22</f>
        <v>0.1424410436860187</v>
      </c>
      <c r="AK22" s="94">
        <f>'Emissions summary'!BI22</f>
        <v>0.14265166326546885</v>
      </c>
      <c r="AL22" s="94">
        <f>'Emissions summary'!BJ22</f>
        <v>0.14272167508586342</v>
      </c>
      <c r="AM22" s="94">
        <f>'Emissions summary'!BK22</f>
        <v>0.1428050673892714</v>
      </c>
      <c r="AN22" s="94">
        <f>'Emissions summary'!BL22</f>
        <v>0.14289853416901752</v>
      </c>
      <c r="AO22" s="94">
        <f>'Emissions summary'!BM22</f>
        <v>0.14300488168371764</v>
      </c>
      <c r="AP22" s="94">
        <f>'Emissions summary'!BN22</f>
        <v>0.14312449986180295</v>
      </c>
    </row>
    <row r="23" spans="1:42" x14ac:dyDescent="0.25">
      <c r="A23" t="str">
        <f>'Emissions summary'!C25</f>
        <v>3A2h Swine</v>
      </c>
      <c r="B23" t="str">
        <f t="shared" si="1"/>
        <v>A3A2h</v>
      </c>
      <c r="C23" t="str">
        <f>'Emissions summary'!D25</f>
        <v>N2O</v>
      </c>
      <c r="D23" s="94">
        <f>'Emissions summary'!AB25</f>
        <v>0.1356319193591361</v>
      </c>
      <c r="E23" s="94">
        <f>'Emissions summary'!AC25</f>
        <v>0.13562170973853305</v>
      </c>
      <c r="F23" s="94">
        <f>'Emissions summary'!AD25</f>
        <v>0.13468466600838686</v>
      </c>
      <c r="G23" s="94">
        <f>'Emissions summary'!AE25</f>
        <v>0.13309570210113986</v>
      </c>
      <c r="H23" s="94">
        <f>'Emissions summary'!AF25</f>
        <v>0.13084166473054235</v>
      </c>
      <c r="I23" s="94">
        <f>'Emissions summary'!AG25</f>
        <v>0.12962049563212458</v>
      </c>
      <c r="J23" s="94">
        <f>'Emissions summary'!AH25</f>
        <v>0.12826772955353868</v>
      </c>
      <c r="K23" s="94">
        <f>'Emissions summary'!AI25</f>
        <v>0.12690648827548809</v>
      </c>
      <c r="L23" s="94">
        <f>'Emissions summary'!AJ25</f>
        <v>0.11153768735368733</v>
      </c>
      <c r="M23" s="94">
        <f>'Emissions summary'!AK25</f>
        <v>0.11246024712504915</v>
      </c>
      <c r="N23" s="94">
        <f>'Emissions summary'!AL25</f>
        <v>0.11318572752378378</v>
      </c>
      <c r="O23" s="94">
        <f>'Emissions summary'!AM25</f>
        <v>0.11395736997260261</v>
      </c>
      <c r="P23" s="94">
        <f>'Emissions summary'!AN25</f>
        <v>0.1149400846593895</v>
      </c>
      <c r="Q23" s="94">
        <f>'Emissions summary'!AO25</f>
        <v>0.11624120691406989</v>
      </c>
      <c r="R23" s="94">
        <f>'Emissions summary'!AP25</f>
        <v>0.11766946542587683</v>
      </c>
      <c r="S23" s="94">
        <f>'Emissions summary'!AQ25</f>
        <v>0.11928027442132641</v>
      </c>
      <c r="T23" s="94">
        <f>'Emissions summary'!AR25</f>
        <v>0.12109014586457012</v>
      </c>
      <c r="U23" s="94">
        <f>'Emissions summary'!AS25</f>
        <v>0.12332558633747988</v>
      </c>
      <c r="V23" s="94">
        <f>'Emissions summary'!AT25</f>
        <v>0.12545152604523716</v>
      </c>
      <c r="W23" s="94">
        <f>'Emissions summary'!AU25</f>
        <v>0.12824431947744641</v>
      </c>
      <c r="X23" s="94">
        <f>'Emissions summary'!AV25</f>
        <v>0.13111165867184801</v>
      </c>
      <c r="Y23" s="94">
        <f>'Emissions summary'!AW25</f>
        <v>0.13402651575640628</v>
      </c>
      <c r="Z23" s="94">
        <f>'Emissions summary'!AX25</f>
        <v>0.13696177778715604</v>
      </c>
      <c r="AA23" s="94">
        <f>'Emissions summary'!AY25</f>
        <v>0.13942415193186097</v>
      </c>
      <c r="AB23" s="94">
        <f>'Emissions summary'!AZ25</f>
        <v>0.14202144543746448</v>
      </c>
      <c r="AC23" s="94">
        <f>'Emissions summary'!BA25</f>
        <v>0.14485633738882547</v>
      </c>
      <c r="AD23" s="94">
        <f>'Emissions summary'!BB25</f>
        <v>0.14782253797786016</v>
      </c>
      <c r="AE23" s="94">
        <f>'Emissions summary'!BC25</f>
        <v>0.15057040968182173</v>
      </c>
      <c r="AF23" s="94">
        <f>'Emissions summary'!BD25</f>
        <v>0.15329118762139773</v>
      </c>
      <c r="AG23" s="94">
        <f>'Emissions summary'!BE25</f>
        <v>0.15611569730265257</v>
      </c>
      <c r="AH23" s="94">
        <f>'Emissions summary'!BF25</f>
        <v>0.15908038150296711</v>
      </c>
      <c r="AI23" s="94">
        <f>'Emissions summary'!BG25</f>
        <v>0.16223694246505063</v>
      </c>
      <c r="AJ23" s="94">
        <f>'Emissions summary'!BH25</f>
        <v>0.16555173088560232</v>
      </c>
      <c r="AK23" s="94">
        <f>'Emissions summary'!BI25</f>
        <v>0.16913863089820746</v>
      </c>
      <c r="AL23" s="94">
        <f>'Emissions summary'!BJ25</f>
        <v>0.17293709870285984</v>
      </c>
      <c r="AM23" s="94">
        <f>'Emissions summary'!BK25</f>
        <v>0.17686258125668494</v>
      </c>
      <c r="AN23" s="94">
        <f>'Emissions summary'!BL25</f>
        <v>0.18060831125408977</v>
      </c>
      <c r="AO23" s="94">
        <f>'Emissions summary'!BM25</f>
        <v>0.18449681785782293</v>
      </c>
      <c r="AP23" s="94">
        <f>'Emissions summary'!BN25</f>
        <v>0.18859108056970689</v>
      </c>
    </row>
    <row r="24" spans="1:42" x14ac:dyDescent="0.25">
      <c r="A24" t="str">
        <f>'Emissions summary'!C26</f>
        <v>3A2i Poultry</v>
      </c>
      <c r="B24" t="str">
        <f t="shared" si="1"/>
        <v>A3A2i</v>
      </c>
      <c r="C24" t="str">
        <f>'Emissions summary'!D26</f>
        <v>N2O</v>
      </c>
      <c r="D24" s="94">
        <f>'Emissions summary'!AB26</f>
        <v>2.1150849586845268</v>
      </c>
      <c r="E24" s="94">
        <f>'Emissions summary'!AC26</f>
        <v>2.1604772859343337</v>
      </c>
      <c r="F24" s="94">
        <f>'Emissions summary'!AD26</f>
        <v>2.1853342424643807</v>
      </c>
      <c r="G24" s="94">
        <f>'Emissions summary'!AE26</f>
        <v>2.1947593661481322</v>
      </c>
      <c r="H24" s="94">
        <f>'Emissions summary'!AF26</f>
        <v>2.1879406753364132</v>
      </c>
      <c r="I24" s="94">
        <f>'Emissions summary'!AG26</f>
        <v>2.2017875661902608</v>
      </c>
      <c r="J24" s="94">
        <f>'Emissions summary'!AH26</f>
        <v>2.2115888787426754</v>
      </c>
      <c r="K24" s="94">
        <f>'Emissions summary'!AI26</f>
        <v>2.2200554737946887</v>
      </c>
      <c r="L24" s="94">
        <f>'Emissions summary'!AJ26</f>
        <v>1.9045724059434201</v>
      </c>
      <c r="M24" s="94">
        <f>'Emissions summary'!AK26</f>
        <v>1.9629375675381664</v>
      </c>
      <c r="N24" s="94">
        <f>'Emissions summary'!AL26</f>
        <v>2.017157547364647</v>
      </c>
      <c r="O24" s="94">
        <f>'Emissions summary'!AM26</f>
        <v>2.0729368841580342</v>
      </c>
      <c r="P24" s="94">
        <f>'Emissions summary'!AN26</f>
        <v>2.1343911237869682</v>
      </c>
      <c r="Q24" s="94">
        <f>'Emissions summary'!AO26</f>
        <v>2.2044331306533422</v>
      </c>
      <c r="R24" s="94">
        <f>'Emissions summary'!AP26</f>
        <v>2.2798012987393026</v>
      </c>
      <c r="S24" s="94">
        <f>'Emissions summary'!AQ26</f>
        <v>2.3609213575943135</v>
      </c>
      <c r="T24" s="94">
        <f>'Emissions summary'!AR26</f>
        <v>2.4484557968058831</v>
      </c>
      <c r="U24" s="94">
        <f>'Emissions summary'!AS26</f>
        <v>2.5485711861977767</v>
      </c>
      <c r="V24" s="94">
        <f>'Emissions summary'!AT26</f>
        <v>2.6476212502432763</v>
      </c>
      <c r="W24" s="94">
        <f>'Emissions summary'!AU26</f>
        <v>2.7672589452584675</v>
      </c>
      <c r="X24" s="94">
        <f>'Emissions summary'!AV26</f>
        <v>2.8912633012585678</v>
      </c>
      <c r="Y24" s="94">
        <f>'Emissions summary'!AW26</f>
        <v>3.0190375755866512</v>
      </c>
      <c r="Z24" s="94">
        <f>'Emissions summary'!AX26</f>
        <v>3.149946628850484</v>
      </c>
      <c r="AA24" s="94">
        <f>'Emissions summary'!AY26</f>
        <v>3.2701491582161486</v>
      </c>
      <c r="AB24" s="94">
        <f>'Emissions summary'!AZ26</f>
        <v>3.3974257177401794</v>
      </c>
      <c r="AC24" s="94">
        <f>'Emissions summary'!BA26</f>
        <v>3.534134988686354</v>
      </c>
      <c r="AD24" s="94">
        <f>'Emissions summary'!BB26</f>
        <v>3.6775009844425517</v>
      </c>
      <c r="AE24" s="94">
        <f>'Emissions summary'!BC26</f>
        <v>3.8173451035686092</v>
      </c>
      <c r="AF24" s="94">
        <f>'Emissions summary'!BD26</f>
        <v>3.9592629995294604</v>
      </c>
      <c r="AG24" s="94">
        <f>'Emissions summary'!BE26</f>
        <v>4.1080717241734961</v>
      </c>
      <c r="AH24" s="94">
        <f>'Emissions summary'!BF26</f>
        <v>4.2643451409249993</v>
      </c>
      <c r="AI24" s="94">
        <f>'Emissions summary'!BG26</f>
        <v>4.4299713766486661</v>
      </c>
      <c r="AJ24" s="94">
        <f>'Emissions summary'!BH26</f>
        <v>4.6042185874470363</v>
      </c>
      <c r="AK24" s="94">
        <f>'Emissions summary'!BI26</f>
        <v>4.791065371599398</v>
      </c>
      <c r="AL24" s="94">
        <f>'Emissions summary'!BJ26</f>
        <v>4.9897566535385431</v>
      </c>
      <c r="AM24" s="94">
        <f>'Emissions summary'!BK26</f>
        <v>5.1971339846344273</v>
      </c>
      <c r="AN24" s="94">
        <f>'Emissions summary'!BL26</f>
        <v>5.4032049337986443</v>
      </c>
      <c r="AO24" s="94">
        <f>'Emissions summary'!BM26</f>
        <v>5.6188357136459279</v>
      </c>
      <c r="AP24" s="94">
        <f>'Emissions summary'!BN26</f>
        <v>5.8465383404871583</v>
      </c>
    </row>
    <row r="25" spans="1:42" x14ac:dyDescent="0.25">
      <c r="A25" t="str">
        <f>'Emissions summary'!C28</f>
        <v>3C1a Biomass burning in forest land</v>
      </c>
      <c r="B25" t="str">
        <f t="shared" si="1"/>
        <v>A3C1a</v>
      </c>
      <c r="C25" t="str">
        <f>'Emissions summary'!D28</f>
        <v>CH4</v>
      </c>
      <c r="D25" s="94">
        <f>'Emissions summary'!AB28</f>
        <v>11.204575160010251</v>
      </c>
      <c r="E25" s="94">
        <f>'Emissions summary'!AC28</f>
        <v>13.05690518017699</v>
      </c>
      <c r="F25" s="94">
        <f>'Emissions summary'!AD28</f>
        <v>12.302133920343731</v>
      </c>
      <c r="G25" s="94">
        <f>'Emissions summary'!AE28</f>
        <v>11.592685700510469</v>
      </c>
      <c r="H25" s="94">
        <f>'Emissions summary'!AF28</f>
        <v>11.954566760677208</v>
      </c>
      <c r="I25" s="94">
        <f>'Emissions summary'!AG28</f>
        <v>12.263228780843946</v>
      </c>
      <c r="J25" s="94">
        <f>'Emissions summary'!AH28</f>
        <v>12.268210641010684</v>
      </c>
      <c r="K25" s="94">
        <f>'Emissions summary'!AI28</f>
        <v>12.23948849988569</v>
      </c>
      <c r="L25" s="94">
        <f>'Emissions summary'!AJ28</f>
        <v>12.210766358760694</v>
      </c>
      <c r="M25" s="94">
        <f>'Emissions summary'!AK28</f>
        <v>12.182044217635699</v>
      </c>
      <c r="N25" s="94">
        <f>'Emissions summary'!AL28</f>
        <v>12.153322076510703</v>
      </c>
      <c r="O25" s="94">
        <f>'Emissions summary'!AM28</f>
        <v>12.124599935385708</v>
      </c>
      <c r="P25" s="94">
        <f>'Emissions summary'!AN28</f>
        <v>12.095877794260716</v>
      </c>
      <c r="Q25" s="94">
        <f>'Emissions summary'!AO28</f>
        <v>12.067155653135719</v>
      </c>
      <c r="R25" s="94">
        <f>'Emissions summary'!AP28</f>
        <v>12.038433512010723</v>
      </c>
      <c r="S25" s="94">
        <f>'Emissions summary'!AQ28</f>
        <v>12.009711370885729</v>
      </c>
      <c r="T25" s="94">
        <f>'Emissions summary'!AR28</f>
        <v>11.980989229760732</v>
      </c>
      <c r="U25" s="94">
        <f>'Emissions summary'!AS28</f>
        <v>11.952267088635738</v>
      </c>
      <c r="V25" s="94">
        <f>'Emissions summary'!AT28</f>
        <v>11.923544947510743</v>
      </c>
      <c r="W25" s="94">
        <f>'Emissions summary'!AU28</f>
        <v>11.881226167028043</v>
      </c>
      <c r="X25" s="94">
        <f>'Emissions summary'!AV28</f>
        <v>11.838907386545339</v>
      </c>
      <c r="Y25" s="94">
        <f>'Emissions summary'!AW28</f>
        <v>11.796588606062636</v>
      </c>
      <c r="Z25" s="94">
        <f>'Emissions summary'!AX28</f>
        <v>11.754269825579936</v>
      </c>
      <c r="AA25" s="94">
        <f>'Emissions summary'!AY28</f>
        <v>11.711951045097234</v>
      </c>
      <c r="AB25" s="94">
        <f>'Emissions summary'!AZ28</f>
        <v>11.669632264614533</v>
      </c>
      <c r="AC25" s="94">
        <f>'Emissions summary'!BA28</f>
        <v>11.627313484131829</v>
      </c>
      <c r="AD25" s="94">
        <f>'Emissions summary'!BB28</f>
        <v>11.584994703649127</v>
      </c>
      <c r="AE25" s="94">
        <f>'Emissions summary'!BC28</f>
        <v>11.52907928380872</v>
      </c>
      <c r="AF25" s="94">
        <f>'Emissions summary'!BD28</f>
        <v>11.473163863968312</v>
      </c>
      <c r="AG25" s="94">
        <f>'Emissions summary'!BE28</f>
        <v>11.4172484441279</v>
      </c>
      <c r="AH25" s="94">
        <f>'Emissions summary'!BF28</f>
        <v>11.361333024287493</v>
      </c>
      <c r="AI25" s="94">
        <f>'Emissions summary'!BG28</f>
        <v>11.305417604447085</v>
      </c>
      <c r="AJ25" s="94">
        <f>'Emissions summary'!BH28</f>
        <v>11.249502184606676</v>
      </c>
      <c r="AK25" s="94">
        <f>'Emissions summary'!BI28</f>
        <v>11.193586764766268</v>
      </c>
      <c r="AL25" s="94">
        <f>'Emissions summary'!BJ28</f>
        <v>11.13767134492586</v>
      </c>
      <c r="AM25" s="94">
        <f>'Emissions summary'!BK28</f>
        <v>11.081755925085453</v>
      </c>
      <c r="AN25" s="94">
        <f>'Emissions summary'!BL28</f>
        <v>11.025840505245043</v>
      </c>
      <c r="AO25" s="94">
        <f>'Emissions summary'!BM28</f>
        <v>10.969925085404636</v>
      </c>
      <c r="AP25" s="94">
        <f>'Emissions summary'!BN28</f>
        <v>10.914009665564226</v>
      </c>
    </row>
    <row r="26" spans="1:42" x14ac:dyDescent="0.25">
      <c r="A26" t="str">
        <f>'Emissions summary'!C29</f>
        <v>3C1b Biomass burning in Croplands</v>
      </c>
      <c r="B26" t="str">
        <f t="shared" si="1"/>
        <v>A3C1b</v>
      </c>
      <c r="C26" t="str">
        <f>'Emissions summary'!D29</f>
        <v>CH4</v>
      </c>
      <c r="D26" s="94">
        <f>'Emissions summary'!AB29</f>
        <v>8.929388994926228</v>
      </c>
      <c r="E26" s="94">
        <f>'Emissions summary'!AC29</f>
        <v>8.9289309923184508</v>
      </c>
      <c r="F26" s="94">
        <f>'Emissions summary'!AD29</f>
        <v>8.9284729897106754</v>
      </c>
      <c r="G26" s="94">
        <f>'Emissions summary'!AE29</f>
        <v>8.9280149871028947</v>
      </c>
      <c r="H26" s="94">
        <f>'Emissions summary'!AF29</f>
        <v>8.9275569844951157</v>
      </c>
      <c r="I26" s="94">
        <f>'Emissions summary'!AG29</f>
        <v>8.9270989818873403</v>
      </c>
      <c r="J26" s="94">
        <f>'Emissions summary'!AH29</f>
        <v>8.9266409792795596</v>
      </c>
      <c r="K26" s="94">
        <f>'Emissions summary'!AI29</f>
        <v>8.926182976671786</v>
      </c>
      <c r="L26" s="94">
        <f>'Emissions summary'!AJ29</f>
        <v>8.925724974064007</v>
      </c>
      <c r="M26" s="94">
        <f>'Emissions summary'!AK29</f>
        <v>8.925266971456228</v>
      </c>
      <c r="N26" s="94">
        <f>'Emissions summary'!AL29</f>
        <v>8.9248089688484491</v>
      </c>
      <c r="O26" s="94">
        <f>'Emissions summary'!AM29</f>
        <v>8.9243509662406719</v>
      </c>
      <c r="P26" s="94">
        <f>'Emissions summary'!AN29</f>
        <v>8.9238929636328947</v>
      </c>
      <c r="Q26" s="94">
        <f>'Emissions summary'!AO29</f>
        <v>8.9234349610251176</v>
      </c>
      <c r="R26" s="94">
        <f>'Emissions summary'!AP29</f>
        <v>8.9229769584173386</v>
      </c>
      <c r="S26" s="94">
        <f>'Emissions summary'!AQ29</f>
        <v>8.9225189558095614</v>
      </c>
      <c r="T26" s="94">
        <f>'Emissions summary'!AR29</f>
        <v>8.9220609532017825</v>
      </c>
      <c r="U26" s="94">
        <f>'Emissions summary'!AS29</f>
        <v>8.9216029505940071</v>
      </c>
      <c r="V26" s="94">
        <f>'Emissions summary'!AT29</f>
        <v>8.9211449479862281</v>
      </c>
      <c r="W26" s="94">
        <f>'Emissions summary'!AU29</f>
        <v>8.9206869453784492</v>
      </c>
      <c r="X26" s="94">
        <f>'Emissions summary'!AV29</f>
        <v>8.920228942770672</v>
      </c>
      <c r="Y26" s="94">
        <f>'Emissions summary'!AW29</f>
        <v>8.9197709401628948</v>
      </c>
      <c r="Z26" s="94">
        <f>'Emissions summary'!AX29</f>
        <v>8.9193129375551177</v>
      </c>
      <c r="AA26" s="94">
        <f>'Emissions summary'!AY29</f>
        <v>8.9188549349473387</v>
      </c>
      <c r="AB26" s="94">
        <f>'Emissions summary'!AZ29</f>
        <v>8.9183969323395598</v>
      </c>
      <c r="AC26" s="94">
        <f>'Emissions summary'!BA29</f>
        <v>8.9179389297317826</v>
      </c>
      <c r="AD26" s="94">
        <f>'Emissions summary'!BB29</f>
        <v>8.9174809271240072</v>
      </c>
      <c r="AE26" s="94">
        <f>'Emissions summary'!BC29</f>
        <v>8.9170229245162282</v>
      </c>
      <c r="AF26" s="94">
        <f>'Emissions summary'!BD29</f>
        <v>8.9165649219084475</v>
      </c>
      <c r="AG26" s="94">
        <f>'Emissions summary'!BE29</f>
        <v>8.9161069193006721</v>
      </c>
      <c r="AH26" s="94">
        <f>'Emissions summary'!BF29</f>
        <v>8.9156489166928932</v>
      </c>
      <c r="AI26" s="94">
        <f>'Emissions summary'!BG29</f>
        <v>8.915190914085116</v>
      </c>
      <c r="AJ26" s="94">
        <f>'Emissions summary'!BH29</f>
        <v>8.9147329114773388</v>
      </c>
      <c r="AK26" s="94">
        <f>'Emissions summary'!BI29</f>
        <v>8.9142749088695599</v>
      </c>
      <c r="AL26" s="94">
        <f>'Emissions summary'!BJ29</f>
        <v>8.9138169062617827</v>
      </c>
      <c r="AM26" s="94">
        <f>'Emissions summary'!BK29</f>
        <v>8.9133589036540037</v>
      </c>
      <c r="AN26" s="94">
        <f>'Emissions summary'!BL29</f>
        <v>8.9129009010462266</v>
      </c>
      <c r="AO26" s="94">
        <f>'Emissions summary'!BM29</f>
        <v>8.9124428984384494</v>
      </c>
      <c r="AP26" s="94">
        <f>'Emissions summary'!BN29</f>
        <v>8.9119848958306704</v>
      </c>
    </row>
    <row r="27" spans="1:42" x14ac:dyDescent="0.25">
      <c r="A27" t="str">
        <f>'Emissions summary'!C30</f>
        <v>3C1c Biomass burning in Grasslands</v>
      </c>
      <c r="B27" t="str">
        <f t="shared" si="1"/>
        <v>A3C1c</v>
      </c>
      <c r="C27" t="str">
        <f>'Emissions summary'!D30</f>
        <v>CH4</v>
      </c>
      <c r="D27" s="94">
        <f>'Emissions summary'!AB30</f>
        <v>22.211168240472922</v>
      </c>
      <c r="E27" s="94">
        <f>'Emissions summary'!AC30</f>
        <v>22.3255420719256</v>
      </c>
      <c r="F27" s="94">
        <f>'Emissions summary'!AD30</f>
        <v>22.439915903378274</v>
      </c>
      <c r="G27" s="94">
        <f>'Emissions summary'!AE30</f>
        <v>22.554289734830945</v>
      </c>
      <c r="H27" s="94">
        <f>'Emissions summary'!AF30</f>
        <v>22.668663566283627</v>
      </c>
      <c r="I27" s="94">
        <f>'Emissions summary'!AG30</f>
        <v>22.783037397736297</v>
      </c>
      <c r="J27" s="94">
        <f>'Emissions summary'!AH30</f>
        <v>22.897411229188972</v>
      </c>
      <c r="K27" s="94">
        <f>'Emissions summary'!AI30</f>
        <v>23.095209192169019</v>
      </c>
      <c r="L27" s="94">
        <f>'Emissions summary'!AJ30</f>
        <v>23.293007155149056</v>
      </c>
      <c r="M27" s="94">
        <f>'Emissions summary'!AK30</f>
        <v>23.490805118129099</v>
      </c>
      <c r="N27" s="94">
        <f>'Emissions summary'!AL30</f>
        <v>23.688603081109136</v>
      </c>
      <c r="O27" s="94">
        <f>'Emissions summary'!AM30</f>
        <v>23.886401044089183</v>
      </c>
      <c r="P27" s="94">
        <f>'Emissions summary'!AN30</f>
        <v>24.08419900706922</v>
      </c>
      <c r="Q27" s="94">
        <f>'Emissions summary'!AO30</f>
        <v>24.281996970049263</v>
      </c>
      <c r="R27" s="94">
        <f>'Emissions summary'!AP30</f>
        <v>24.479794933029304</v>
      </c>
      <c r="S27" s="94">
        <f>'Emissions summary'!AQ30</f>
        <v>24.677592896009344</v>
      </c>
      <c r="T27" s="94">
        <f>'Emissions summary'!AR30</f>
        <v>24.875390858989384</v>
      </c>
      <c r="U27" s="94">
        <f>'Emissions summary'!AS30</f>
        <v>25.073188821969428</v>
      </c>
      <c r="V27" s="94">
        <f>'Emissions summary'!AT30</f>
        <v>25.270986784949468</v>
      </c>
      <c r="W27" s="94">
        <f>'Emissions summary'!AU30</f>
        <v>25.472302246869535</v>
      </c>
      <c r="X27" s="94">
        <f>'Emissions summary'!AV30</f>
        <v>25.6736177087896</v>
      </c>
      <c r="Y27" s="94">
        <f>'Emissions summary'!AW30</f>
        <v>25.874933170709671</v>
      </c>
      <c r="Z27" s="94">
        <f>'Emissions summary'!AX30</f>
        <v>26.076248632629738</v>
      </c>
      <c r="AA27" s="94">
        <f>'Emissions summary'!AY30</f>
        <v>26.277564094549799</v>
      </c>
      <c r="AB27" s="94">
        <f>'Emissions summary'!AZ30</f>
        <v>26.47887955646987</v>
      </c>
      <c r="AC27" s="94">
        <f>'Emissions summary'!BA30</f>
        <v>26.680195018389934</v>
      </c>
      <c r="AD27" s="94">
        <f>'Emissions summary'!BB30</f>
        <v>26.881510480309998</v>
      </c>
      <c r="AE27" s="94">
        <f>'Emissions summary'!BC30</f>
        <v>27.082825942230066</v>
      </c>
      <c r="AF27" s="94">
        <f>'Emissions summary'!BD30</f>
        <v>27.28414140415013</v>
      </c>
      <c r="AG27" s="94">
        <f>'Emissions summary'!BE30</f>
        <v>27.485456866070198</v>
      </c>
      <c r="AH27" s="94">
        <f>'Emissions summary'!BF30</f>
        <v>27.686772327990262</v>
      </c>
      <c r="AI27" s="94">
        <f>'Emissions summary'!BG30</f>
        <v>27.88808778991033</v>
      </c>
      <c r="AJ27" s="94">
        <f>'Emissions summary'!BH30</f>
        <v>28.089403251830397</v>
      </c>
      <c r="AK27" s="94">
        <f>'Emissions summary'!BI30</f>
        <v>28.290718713750465</v>
      </c>
      <c r="AL27" s="94">
        <f>'Emissions summary'!BJ30</f>
        <v>28.492034175670533</v>
      </c>
      <c r="AM27" s="94">
        <f>'Emissions summary'!BK30</f>
        <v>28.6933496375906</v>
      </c>
      <c r="AN27" s="94">
        <f>'Emissions summary'!BL30</f>
        <v>28.894665099510664</v>
      </c>
      <c r="AO27" s="94">
        <f>'Emissions summary'!BM30</f>
        <v>29.095980561430732</v>
      </c>
      <c r="AP27" s="94">
        <f>'Emissions summary'!BN30</f>
        <v>29.2972960233508</v>
      </c>
    </row>
    <row r="28" spans="1:42" x14ac:dyDescent="0.25">
      <c r="A28" t="str">
        <f>'Emissions summary'!C31</f>
        <v>3C1d Biomass burning in Wetlands</v>
      </c>
      <c r="B28" t="str">
        <f t="shared" si="1"/>
        <v>A3C1d</v>
      </c>
      <c r="C28" t="str">
        <f>'Emissions summary'!D31</f>
        <v>CH4</v>
      </c>
      <c r="D28" s="94">
        <f>'Emissions summary'!AB31</f>
        <v>0.86319492850198365</v>
      </c>
      <c r="E28" s="94">
        <f>'Emissions summary'!AC31</f>
        <v>0.86319492850198365</v>
      </c>
      <c r="F28" s="94">
        <f>'Emissions summary'!AD31</f>
        <v>0.86319492850198365</v>
      </c>
      <c r="G28" s="94">
        <f>'Emissions summary'!AE31</f>
        <v>0.86319492850198365</v>
      </c>
      <c r="H28" s="94">
        <f>'Emissions summary'!AF31</f>
        <v>0.86319492850198365</v>
      </c>
      <c r="I28" s="94">
        <f>'Emissions summary'!AG31</f>
        <v>0.86319492850198365</v>
      </c>
      <c r="J28" s="94">
        <f>'Emissions summary'!AH31</f>
        <v>0.86319492850198365</v>
      </c>
      <c r="K28" s="94">
        <f>'Emissions summary'!AI31</f>
        <v>0.86319492850198365</v>
      </c>
      <c r="L28" s="94">
        <f>'Emissions summary'!AJ31</f>
        <v>0.86319492850198365</v>
      </c>
      <c r="M28" s="94">
        <f>'Emissions summary'!AK31</f>
        <v>0.86319492850198365</v>
      </c>
      <c r="N28" s="94">
        <f>'Emissions summary'!AL31</f>
        <v>0.86319492850198365</v>
      </c>
      <c r="O28" s="94">
        <f>'Emissions summary'!AM31</f>
        <v>0.86319492850198365</v>
      </c>
      <c r="P28" s="94">
        <f>'Emissions summary'!AN31</f>
        <v>0.86319492850198365</v>
      </c>
      <c r="Q28" s="94">
        <f>'Emissions summary'!AO31</f>
        <v>0.86319492850198365</v>
      </c>
      <c r="R28" s="94">
        <f>'Emissions summary'!AP31</f>
        <v>0.86319492850198365</v>
      </c>
      <c r="S28" s="94">
        <f>'Emissions summary'!AQ31</f>
        <v>0.86319492850198365</v>
      </c>
      <c r="T28" s="94">
        <f>'Emissions summary'!AR31</f>
        <v>0.86319492850198365</v>
      </c>
      <c r="U28" s="94">
        <f>'Emissions summary'!AS31</f>
        <v>0.86319492850198365</v>
      </c>
      <c r="V28" s="94">
        <f>'Emissions summary'!AT31</f>
        <v>0.86319492850198365</v>
      </c>
      <c r="W28" s="94">
        <f>'Emissions summary'!AU31</f>
        <v>0.86319492850198365</v>
      </c>
      <c r="X28" s="94">
        <f>'Emissions summary'!AV31</f>
        <v>0.86319492850198365</v>
      </c>
      <c r="Y28" s="94">
        <f>'Emissions summary'!AW31</f>
        <v>0.86319492850198365</v>
      </c>
      <c r="Z28" s="94">
        <f>'Emissions summary'!AX31</f>
        <v>0.86319492850198365</v>
      </c>
      <c r="AA28" s="94">
        <f>'Emissions summary'!AY31</f>
        <v>0.86319492850198365</v>
      </c>
      <c r="AB28" s="94">
        <f>'Emissions summary'!AZ31</f>
        <v>0.86319492850198365</v>
      </c>
      <c r="AC28" s="94">
        <f>'Emissions summary'!BA31</f>
        <v>0.86319492850198365</v>
      </c>
      <c r="AD28" s="94">
        <f>'Emissions summary'!BB31</f>
        <v>0.86319492850198365</v>
      </c>
      <c r="AE28" s="94">
        <f>'Emissions summary'!BC31</f>
        <v>0.86319492850198365</v>
      </c>
      <c r="AF28" s="94">
        <f>'Emissions summary'!BD31</f>
        <v>0.86319492850198365</v>
      </c>
      <c r="AG28" s="94">
        <f>'Emissions summary'!BE31</f>
        <v>0.86319492850198365</v>
      </c>
      <c r="AH28" s="94">
        <f>'Emissions summary'!BF31</f>
        <v>0.86319492850198365</v>
      </c>
      <c r="AI28" s="94">
        <f>'Emissions summary'!BG31</f>
        <v>0.86319492850198365</v>
      </c>
      <c r="AJ28" s="94">
        <f>'Emissions summary'!BH31</f>
        <v>0.86319492850198365</v>
      </c>
      <c r="AK28" s="94">
        <f>'Emissions summary'!BI31</f>
        <v>0.86319492850198365</v>
      </c>
      <c r="AL28" s="94">
        <f>'Emissions summary'!BJ31</f>
        <v>0.86319492850198365</v>
      </c>
      <c r="AM28" s="94">
        <f>'Emissions summary'!BK31</f>
        <v>0.86319492850198365</v>
      </c>
      <c r="AN28" s="94">
        <f>'Emissions summary'!BL31</f>
        <v>0.86319492850198365</v>
      </c>
      <c r="AO28" s="94">
        <f>'Emissions summary'!BM31</f>
        <v>0.86319492850198365</v>
      </c>
      <c r="AP28" s="94">
        <f>'Emissions summary'!BN31</f>
        <v>0.86319492850198365</v>
      </c>
    </row>
    <row r="29" spans="1:42" x14ac:dyDescent="0.25">
      <c r="A29" t="str">
        <f>'Emissions summary'!C32</f>
        <v>3C1e Biomass burning in Settlements</v>
      </c>
      <c r="B29" t="str">
        <f t="shared" si="1"/>
        <v>A3C1e</v>
      </c>
      <c r="C29" t="str">
        <f>'Emissions summary'!D32</f>
        <v>CH4</v>
      </c>
      <c r="D29" s="94">
        <f>'Emissions summary'!AB32</f>
        <v>0.42972240374246135</v>
      </c>
      <c r="E29" s="94">
        <f>'Emissions summary'!AC32</f>
        <v>0.43063058922924524</v>
      </c>
      <c r="F29" s="94">
        <f>'Emissions summary'!AD32</f>
        <v>0.43153877471602919</v>
      </c>
      <c r="G29" s="94">
        <f>'Emissions summary'!AE32</f>
        <v>0.43244696020281326</v>
      </c>
      <c r="H29" s="94">
        <f>'Emissions summary'!AF32</f>
        <v>0.43335514568959721</v>
      </c>
      <c r="I29" s="94">
        <f>'Emissions summary'!AG32</f>
        <v>0.43426333117638116</v>
      </c>
      <c r="J29" s="94">
        <f>'Emissions summary'!AH32</f>
        <v>0.43517151666316517</v>
      </c>
      <c r="K29" s="94">
        <f>'Emissions summary'!AI32</f>
        <v>0.43607970214994918</v>
      </c>
      <c r="L29" s="94">
        <f>'Emissions summary'!AJ32</f>
        <v>0.43698788763673319</v>
      </c>
      <c r="M29" s="94">
        <f>'Emissions summary'!AK32</f>
        <v>0.43789607312351719</v>
      </c>
      <c r="N29" s="94">
        <f>'Emissions summary'!AL32</f>
        <v>0.4388042586103012</v>
      </c>
      <c r="O29" s="94">
        <f>'Emissions summary'!AM32</f>
        <v>0.43971244409708521</v>
      </c>
      <c r="P29" s="94">
        <f>'Emissions summary'!AN32</f>
        <v>0.44062062958386911</v>
      </c>
      <c r="Q29" s="94">
        <f>'Emissions summary'!AO32</f>
        <v>0.44152881507065311</v>
      </c>
      <c r="R29" s="94">
        <f>'Emissions summary'!AP32</f>
        <v>0.44243700055743712</v>
      </c>
      <c r="S29" s="94">
        <f>'Emissions summary'!AQ32</f>
        <v>0.44334518604422107</v>
      </c>
      <c r="T29" s="94">
        <f>'Emissions summary'!AR32</f>
        <v>0.44425337153100508</v>
      </c>
      <c r="U29" s="94">
        <f>'Emissions summary'!AS32</f>
        <v>0.44516155701778909</v>
      </c>
      <c r="V29" s="94">
        <f>'Emissions summary'!AT32</f>
        <v>0.44606974250457304</v>
      </c>
      <c r="W29" s="94">
        <f>'Emissions summary'!AU32</f>
        <v>0.44697792799135705</v>
      </c>
      <c r="X29" s="94">
        <f>'Emissions summary'!AV32</f>
        <v>0.44788611347814106</v>
      </c>
      <c r="Y29" s="94">
        <f>'Emissions summary'!AW32</f>
        <v>0.44879429896492501</v>
      </c>
      <c r="Z29" s="94">
        <f>'Emissions summary'!AX32</f>
        <v>0.44970248445170896</v>
      </c>
      <c r="AA29" s="94">
        <f>'Emissions summary'!AY32</f>
        <v>0.45061066993849297</v>
      </c>
      <c r="AB29" s="94">
        <f>'Emissions summary'!AZ32</f>
        <v>0.45151885542527692</v>
      </c>
      <c r="AC29" s="94">
        <f>'Emissions summary'!BA32</f>
        <v>0.45242704091206093</v>
      </c>
      <c r="AD29" s="94">
        <f>'Emissions summary'!BB32</f>
        <v>0.45333522639884494</v>
      </c>
      <c r="AE29" s="94">
        <f>'Emissions summary'!BC32</f>
        <v>0.454243411885629</v>
      </c>
      <c r="AF29" s="94">
        <f>'Emissions summary'!BD32</f>
        <v>0.45515159737241295</v>
      </c>
      <c r="AG29" s="94">
        <f>'Emissions summary'!BE32</f>
        <v>0.4560597828591969</v>
      </c>
      <c r="AH29" s="94">
        <f>'Emissions summary'!BF32</f>
        <v>0.45696796834598097</v>
      </c>
      <c r="AI29" s="94">
        <f>'Emissions summary'!BG32</f>
        <v>0.45787615383276492</v>
      </c>
      <c r="AJ29" s="94">
        <f>'Emissions summary'!BH32</f>
        <v>0.45878433931954882</v>
      </c>
      <c r="AK29" s="94">
        <f>'Emissions summary'!BI32</f>
        <v>0.45969252480633288</v>
      </c>
      <c r="AL29" s="94">
        <f>'Emissions summary'!BJ32</f>
        <v>0.46060071029311683</v>
      </c>
      <c r="AM29" s="94">
        <f>'Emissions summary'!BK32</f>
        <v>0.46150889577990084</v>
      </c>
      <c r="AN29" s="94">
        <f>'Emissions summary'!BL32</f>
        <v>0.46241708126668479</v>
      </c>
      <c r="AO29" s="94">
        <f>'Emissions summary'!BM32</f>
        <v>0.4633252667534688</v>
      </c>
      <c r="AP29" s="94">
        <f>'Emissions summary'!BN32</f>
        <v>0.46423345224025281</v>
      </c>
    </row>
    <row r="30" spans="1:42" x14ac:dyDescent="0.25">
      <c r="A30" t="str">
        <f>'Emissions summary'!C33</f>
        <v>3C1f Biomass burning in Other lands</v>
      </c>
      <c r="B30" t="str">
        <f t="shared" si="1"/>
        <v>A3C1f</v>
      </c>
      <c r="C30" t="str">
        <f>'Emissions summary'!D33</f>
        <v>CH4</v>
      </c>
      <c r="D30" s="94">
        <f>'Emissions summary'!AB33</f>
        <v>0</v>
      </c>
      <c r="E30" s="94">
        <f>'Emissions summary'!AC33</f>
        <v>0</v>
      </c>
      <c r="F30" s="94">
        <f>'Emissions summary'!AD33</f>
        <v>0</v>
      </c>
      <c r="G30" s="94">
        <f>'Emissions summary'!AE33</f>
        <v>0</v>
      </c>
      <c r="H30" s="94">
        <f>'Emissions summary'!AF33</f>
        <v>0</v>
      </c>
      <c r="I30" s="94">
        <f>'Emissions summary'!AG33</f>
        <v>0</v>
      </c>
      <c r="J30" s="94">
        <f>'Emissions summary'!AH33</f>
        <v>0</v>
      </c>
      <c r="K30" s="94">
        <f>'Emissions summary'!AI33</f>
        <v>0</v>
      </c>
      <c r="L30" s="94">
        <f>'Emissions summary'!AJ33</f>
        <v>0</v>
      </c>
      <c r="M30" s="94">
        <f>'Emissions summary'!AK33</f>
        <v>0</v>
      </c>
      <c r="N30" s="94">
        <f>'Emissions summary'!AL33</f>
        <v>0</v>
      </c>
      <c r="O30" s="94">
        <f>'Emissions summary'!AM33</f>
        <v>0</v>
      </c>
      <c r="P30" s="94">
        <f>'Emissions summary'!AN33</f>
        <v>0</v>
      </c>
      <c r="Q30" s="94">
        <f>'Emissions summary'!AO33</f>
        <v>0</v>
      </c>
      <c r="R30" s="94">
        <f>'Emissions summary'!AP33</f>
        <v>0</v>
      </c>
      <c r="S30" s="94">
        <f>'Emissions summary'!AQ33</f>
        <v>0</v>
      </c>
      <c r="T30" s="94">
        <f>'Emissions summary'!AR33</f>
        <v>0</v>
      </c>
      <c r="U30" s="94">
        <f>'Emissions summary'!AS33</f>
        <v>0</v>
      </c>
      <c r="V30" s="94">
        <f>'Emissions summary'!AT33</f>
        <v>0</v>
      </c>
      <c r="W30" s="94">
        <f>'Emissions summary'!AU33</f>
        <v>0</v>
      </c>
      <c r="X30" s="94">
        <f>'Emissions summary'!AV33</f>
        <v>0</v>
      </c>
      <c r="Y30" s="94">
        <f>'Emissions summary'!AW33</f>
        <v>0</v>
      </c>
      <c r="Z30" s="94">
        <f>'Emissions summary'!AX33</f>
        <v>0</v>
      </c>
      <c r="AA30" s="94">
        <f>'Emissions summary'!AY33</f>
        <v>0</v>
      </c>
      <c r="AB30" s="94">
        <f>'Emissions summary'!AZ33</f>
        <v>0</v>
      </c>
      <c r="AC30" s="94">
        <f>'Emissions summary'!BA33</f>
        <v>0</v>
      </c>
      <c r="AD30" s="94">
        <f>'Emissions summary'!BB33</f>
        <v>0</v>
      </c>
      <c r="AE30" s="94">
        <f>'Emissions summary'!BC33</f>
        <v>0</v>
      </c>
      <c r="AF30" s="94">
        <f>'Emissions summary'!BD33</f>
        <v>0</v>
      </c>
      <c r="AG30" s="94">
        <f>'Emissions summary'!BE33</f>
        <v>0</v>
      </c>
      <c r="AH30" s="94">
        <f>'Emissions summary'!BF33</f>
        <v>0</v>
      </c>
      <c r="AI30" s="94">
        <f>'Emissions summary'!BG33</f>
        <v>0</v>
      </c>
      <c r="AJ30" s="94">
        <f>'Emissions summary'!BH33</f>
        <v>0</v>
      </c>
      <c r="AK30" s="94">
        <f>'Emissions summary'!BI33</f>
        <v>0</v>
      </c>
      <c r="AL30" s="94">
        <f>'Emissions summary'!BJ33</f>
        <v>0</v>
      </c>
      <c r="AM30" s="94">
        <f>'Emissions summary'!BK33</f>
        <v>0</v>
      </c>
      <c r="AN30" s="94">
        <f>'Emissions summary'!BL33</f>
        <v>0</v>
      </c>
      <c r="AO30" s="94">
        <f>'Emissions summary'!BM33</f>
        <v>0</v>
      </c>
      <c r="AP30" s="94">
        <f>'Emissions summary'!BN33</f>
        <v>0</v>
      </c>
    </row>
    <row r="31" spans="1:42" x14ac:dyDescent="0.25">
      <c r="A31" t="str">
        <f>'Emissions summary'!C35</f>
        <v>3C1a Biomass burning in forest land</v>
      </c>
      <c r="B31" t="str">
        <f t="shared" si="1"/>
        <v>A3C1a</v>
      </c>
      <c r="C31" t="str">
        <f>'Emissions summary'!D35</f>
        <v>N2O</v>
      </c>
      <c r="D31" s="94">
        <f>'Emissions summary'!AB35</f>
        <v>0.81337835040550022</v>
      </c>
      <c r="E31" s="94">
        <f>'Emissions summary'!AC35</f>
        <v>0.91618667449117541</v>
      </c>
      <c r="F31" s="94">
        <f>'Emissions summary'!AD35</f>
        <v>0.87477237457685053</v>
      </c>
      <c r="G31" s="94">
        <f>'Emissions summary'!AE35</f>
        <v>0.83586530666252568</v>
      </c>
      <c r="H31" s="94">
        <f>'Emissions summary'!AF35</f>
        <v>0.85622326274820093</v>
      </c>
      <c r="I31" s="94">
        <f>'Emissions summary'!AG35</f>
        <v>0.87363718683387614</v>
      </c>
      <c r="J31" s="94">
        <f>'Emissions summary'!AH35</f>
        <v>0.87425178291955141</v>
      </c>
      <c r="K31" s="94">
        <f>'Emissions summary'!AI35</f>
        <v>0.87129977937663372</v>
      </c>
      <c r="L31" s="94">
        <f>'Emissions summary'!AJ35</f>
        <v>0.86834777583371592</v>
      </c>
      <c r="M31" s="94">
        <f>'Emissions summary'!AK35</f>
        <v>0.86539577229079812</v>
      </c>
      <c r="N31" s="94">
        <f>'Emissions summary'!AL35</f>
        <v>0.86244376874788042</v>
      </c>
      <c r="O31" s="94">
        <f>'Emissions summary'!AM35</f>
        <v>0.85949176520496295</v>
      </c>
      <c r="P31" s="94">
        <f>'Emissions summary'!AN35</f>
        <v>0.85653976166204526</v>
      </c>
      <c r="Q31" s="94">
        <f>'Emissions summary'!AO35</f>
        <v>0.85358775811912746</v>
      </c>
      <c r="R31" s="94">
        <f>'Emissions summary'!AP35</f>
        <v>0.85063575457620977</v>
      </c>
      <c r="S31" s="94">
        <f>'Emissions summary'!AQ35</f>
        <v>0.84768375103329197</v>
      </c>
      <c r="T31" s="94">
        <f>'Emissions summary'!AR35</f>
        <v>0.84473174749037416</v>
      </c>
      <c r="U31" s="94">
        <f>'Emissions summary'!AS35</f>
        <v>0.84177974394745669</v>
      </c>
      <c r="V31" s="94">
        <f>'Emissions summary'!AT35</f>
        <v>0.838827740404539</v>
      </c>
      <c r="W31" s="94">
        <f>'Emissions summary'!AU35</f>
        <v>0.83512358234396089</v>
      </c>
      <c r="X31" s="94">
        <f>'Emissions summary'!AV35</f>
        <v>0.83141942428338278</v>
      </c>
      <c r="Y31" s="94">
        <f>'Emissions summary'!AW35</f>
        <v>0.82771526622280467</v>
      </c>
      <c r="Z31" s="94">
        <f>'Emissions summary'!AX35</f>
        <v>0.82401110816222667</v>
      </c>
      <c r="AA31" s="94">
        <f>'Emissions summary'!AY35</f>
        <v>0.82030695010164856</v>
      </c>
      <c r="AB31" s="94">
        <f>'Emissions summary'!AZ35</f>
        <v>0.81660279204107056</v>
      </c>
      <c r="AC31" s="94">
        <f>'Emissions summary'!BA35</f>
        <v>0.81289863398049245</v>
      </c>
      <c r="AD31" s="94">
        <f>'Emissions summary'!BB35</f>
        <v>0.80919447591991434</v>
      </c>
      <c r="AE31" s="94">
        <f>'Emissions summary'!BC35</f>
        <v>0.80473816334167581</v>
      </c>
      <c r="AF31" s="94">
        <f>'Emissions summary'!BD35</f>
        <v>0.80028185076343727</v>
      </c>
      <c r="AG31" s="94">
        <f>'Emissions summary'!BE35</f>
        <v>0.79582553818519886</v>
      </c>
      <c r="AH31" s="94">
        <f>'Emissions summary'!BF35</f>
        <v>0.79136922560696055</v>
      </c>
      <c r="AI31" s="94">
        <f>'Emissions summary'!BG35</f>
        <v>0.78691291302872202</v>
      </c>
      <c r="AJ31" s="94">
        <f>'Emissions summary'!BH35</f>
        <v>0.7824566004504836</v>
      </c>
      <c r="AK31" s="94">
        <f>'Emissions summary'!BI35</f>
        <v>0.77800028787224518</v>
      </c>
      <c r="AL31" s="94">
        <f>'Emissions summary'!BJ35</f>
        <v>0.77354397529400676</v>
      </c>
      <c r="AM31" s="94">
        <f>'Emissions summary'!BK35</f>
        <v>0.76908766271576834</v>
      </c>
      <c r="AN31" s="94">
        <f>'Emissions summary'!BL35</f>
        <v>0.76463135013752992</v>
      </c>
      <c r="AO31" s="94">
        <f>'Emissions summary'!BM35</f>
        <v>0.76017503755929161</v>
      </c>
      <c r="AP31" s="94">
        <f>'Emissions summary'!BN35</f>
        <v>0.75571872498105297</v>
      </c>
    </row>
    <row r="32" spans="1:42" x14ac:dyDescent="0.25">
      <c r="A32" t="str">
        <f>'Emissions summary'!C36</f>
        <v>3C1b Biomass burning in Croplands</v>
      </c>
      <c r="B32" t="str">
        <f t="shared" si="1"/>
        <v>A3C1b</v>
      </c>
      <c r="C32" t="str">
        <f>'Emissions summary'!D36</f>
        <v>N2O</v>
      </c>
      <c r="D32" s="94">
        <f>'Emissions summary'!AB36</f>
        <v>0.23150267764623561</v>
      </c>
      <c r="E32" s="94">
        <f>'Emissions summary'!AC36</f>
        <v>0.23149080350455245</v>
      </c>
      <c r="F32" s="94">
        <f>'Emissions summary'!AD36</f>
        <v>0.23147892936286932</v>
      </c>
      <c r="G32" s="94">
        <f>'Emissions summary'!AE36</f>
        <v>0.23146705522118621</v>
      </c>
      <c r="H32" s="94">
        <f>'Emissions summary'!AF36</f>
        <v>0.23145518107950305</v>
      </c>
      <c r="I32" s="94">
        <f>'Emissions summary'!AG36</f>
        <v>0.23144330693781995</v>
      </c>
      <c r="J32" s="94">
        <f>'Emissions summary'!AH36</f>
        <v>0.23143143279613676</v>
      </c>
      <c r="K32" s="94">
        <f>'Emissions summary'!AI36</f>
        <v>0.23141955865445368</v>
      </c>
      <c r="L32" s="94">
        <f>'Emissions summary'!AJ36</f>
        <v>0.23140768451277055</v>
      </c>
      <c r="M32" s="94">
        <f>'Emissions summary'!AK36</f>
        <v>0.23139581037108745</v>
      </c>
      <c r="N32" s="94">
        <f>'Emissions summary'!AL36</f>
        <v>0.23138393622940429</v>
      </c>
      <c r="O32" s="94">
        <f>'Emissions summary'!AM36</f>
        <v>0.23137206208772113</v>
      </c>
      <c r="P32" s="94">
        <f>'Emissions summary'!AN36</f>
        <v>0.23136018794603802</v>
      </c>
      <c r="Q32" s="94">
        <f>'Emissions summary'!AO36</f>
        <v>0.23134831380435489</v>
      </c>
      <c r="R32" s="94">
        <f>'Emissions summary'!AP36</f>
        <v>0.23133643966267178</v>
      </c>
      <c r="S32" s="94">
        <f>'Emissions summary'!AQ36</f>
        <v>0.23132456552098865</v>
      </c>
      <c r="T32" s="94">
        <f>'Emissions summary'!AR36</f>
        <v>0.23131269137930549</v>
      </c>
      <c r="U32" s="94">
        <f>'Emissions summary'!AS36</f>
        <v>0.23130081723762241</v>
      </c>
      <c r="V32" s="94">
        <f>'Emissions summary'!AT36</f>
        <v>0.23128894309593925</v>
      </c>
      <c r="W32" s="94">
        <f>'Emissions summary'!AU36</f>
        <v>0.23127706895425609</v>
      </c>
      <c r="X32" s="94">
        <f>'Emissions summary'!AV36</f>
        <v>0.23126519481257302</v>
      </c>
      <c r="Y32" s="94">
        <f>'Emissions summary'!AW36</f>
        <v>0.23125332067088986</v>
      </c>
      <c r="Z32" s="94">
        <f>'Emissions summary'!AX36</f>
        <v>0.23124144652920675</v>
      </c>
      <c r="AA32" s="94">
        <f>'Emissions summary'!AY36</f>
        <v>0.23122957238752362</v>
      </c>
      <c r="AB32" s="94">
        <f>'Emissions summary'!AZ36</f>
        <v>0.23121769824584049</v>
      </c>
      <c r="AC32" s="94">
        <f>'Emissions summary'!BA36</f>
        <v>0.2312058241041573</v>
      </c>
      <c r="AD32" s="94">
        <f>'Emissions summary'!BB36</f>
        <v>0.23119394996247425</v>
      </c>
      <c r="AE32" s="94">
        <f>'Emissions summary'!BC36</f>
        <v>0.23118207582079112</v>
      </c>
      <c r="AF32" s="94">
        <f>'Emissions summary'!BD36</f>
        <v>0.23117020167910793</v>
      </c>
      <c r="AG32" s="94">
        <f>'Emissions summary'!BE36</f>
        <v>0.23115832753742488</v>
      </c>
      <c r="AH32" s="94">
        <f>'Emissions summary'!BF36</f>
        <v>0.23114645339574169</v>
      </c>
      <c r="AI32" s="94">
        <f>'Emissions summary'!BG36</f>
        <v>0.23113457925405859</v>
      </c>
      <c r="AJ32" s="94">
        <f>'Emissions summary'!BH36</f>
        <v>0.23112270511237543</v>
      </c>
      <c r="AK32" s="94">
        <f>'Emissions summary'!BI36</f>
        <v>0.23111083097069229</v>
      </c>
      <c r="AL32" s="94">
        <f>'Emissions summary'!BJ36</f>
        <v>0.23109895682900922</v>
      </c>
      <c r="AM32" s="94">
        <f>'Emissions summary'!BK36</f>
        <v>0.23108708268732603</v>
      </c>
      <c r="AN32" s="94">
        <f>'Emissions summary'!BL36</f>
        <v>0.23107520854564292</v>
      </c>
      <c r="AO32" s="94">
        <f>'Emissions summary'!BM36</f>
        <v>0.23106333440395979</v>
      </c>
      <c r="AP32" s="94">
        <f>'Emissions summary'!BN36</f>
        <v>0.23105146026227666</v>
      </c>
    </row>
    <row r="33" spans="1:42" x14ac:dyDescent="0.25">
      <c r="A33" t="str">
        <f>'Emissions summary'!C37</f>
        <v>3C1c Biomass burning in Grasslands</v>
      </c>
      <c r="B33" t="str">
        <f t="shared" si="1"/>
        <v>A3C1c</v>
      </c>
      <c r="C33" t="str">
        <f>'Emissions summary'!D37</f>
        <v>N2O</v>
      </c>
      <c r="D33" s="94">
        <f>'Emissions summary'!AB37</f>
        <v>1.9270838146967177</v>
      </c>
      <c r="E33" s="94">
        <f>'Emissions summary'!AC37</f>
        <v>1.9378298037617634</v>
      </c>
      <c r="F33" s="94">
        <f>'Emissions summary'!AD37</f>
        <v>1.9485757928268084</v>
      </c>
      <c r="G33" s="94">
        <f>'Emissions summary'!AE37</f>
        <v>1.9593217818918536</v>
      </c>
      <c r="H33" s="94">
        <f>'Emissions summary'!AF37</f>
        <v>1.9700677709568992</v>
      </c>
      <c r="I33" s="94">
        <f>'Emissions summary'!AG37</f>
        <v>1.9808137600219442</v>
      </c>
      <c r="J33" s="94">
        <f>'Emissions summary'!AH37</f>
        <v>1.9915597490869896</v>
      </c>
      <c r="K33" s="94">
        <f>'Emissions summary'!AI37</f>
        <v>2.0099227240740993</v>
      </c>
      <c r="L33" s="94">
        <f>'Emissions summary'!AJ37</f>
        <v>2.0282856990612084</v>
      </c>
      <c r="M33" s="94">
        <f>'Emissions summary'!AK37</f>
        <v>2.0466486740483179</v>
      </c>
      <c r="N33" s="94">
        <f>'Emissions summary'!AL37</f>
        <v>2.065011649035426</v>
      </c>
      <c r="O33" s="94">
        <f>'Emissions summary'!AM37</f>
        <v>2.0833746240225359</v>
      </c>
      <c r="P33" s="94">
        <f>'Emissions summary'!AN37</f>
        <v>2.101737599009645</v>
      </c>
      <c r="Q33" s="94">
        <f>'Emissions summary'!AO37</f>
        <v>2.120100573996754</v>
      </c>
      <c r="R33" s="94">
        <f>'Emissions summary'!AP37</f>
        <v>2.138463548983863</v>
      </c>
      <c r="S33" s="94">
        <f>'Emissions summary'!AQ37</f>
        <v>2.1568265239709721</v>
      </c>
      <c r="T33" s="94">
        <f>'Emissions summary'!AR37</f>
        <v>2.1751894989580816</v>
      </c>
      <c r="U33" s="94">
        <f>'Emissions summary'!AS37</f>
        <v>2.1935524739451906</v>
      </c>
      <c r="V33" s="94">
        <f>'Emissions summary'!AT37</f>
        <v>2.2119154489322996</v>
      </c>
      <c r="W33" s="94">
        <f>'Emissions summary'!AU37</f>
        <v>2.230599586866107</v>
      </c>
      <c r="X33" s="94">
        <f>'Emissions summary'!AV37</f>
        <v>2.2492837247999136</v>
      </c>
      <c r="Y33" s="94">
        <f>'Emissions summary'!AW37</f>
        <v>2.267967862733721</v>
      </c>
      <c r="Z33" s="94">
        <f>'Emissions summary'!AX37</f>
        <v>2.2866520006675284</v>
      </c>
      <c r="AA33" s="94">
        <f>'Emissions summary'!AY37</f>
        <v>2.3053361386013353</v>
      </c>
      <c r="AB33" s="94">
        <f>'Emissions summary'!AZ37</f>
        <v>2.3240202765351423</v>
      </c>
      <c r="AC33" s="94">
        <f>'Emissions summary'!BA37</f>
        <v>2.3427044144689493</v>
      </c>
      <c r="AD33" s="94">
        <f>'Emissions summary'!BB37</f>
        <v>2.3613885524027567</v>
      </c>
      <c r="AE33" s="94">
        <f>'Emissions summary'!BC37</f>
        <v>2.3800726903365637</v>
      </c>
      <c r="AF33" s="94">
        <f>'Emissions summary'!BD37</f>
        <v>2.3987568282703706</v>
      </c>
      <c r="AG33" s="94">
        <f>'Emissions summary'!BE37</f>
        <v>2.4174409662041776</v>
      </c>
      <c r="AH33" s="94">
        <f>'Emissions summary'!BF37</f>
        <v>2.436125104137985</v>
      </c>
      <c r="AI33" s="94">
        <f>'Emissions summary'!BG37</f>
        <v>2.454809242071792</v>
      </c>
      <c r="AJ33" s="94">
        <f>'Emissions summary'!BH37</f>
        <v>2.4734933800055994</v>
      </c>
      <c r="AK33" s="94">
        <f>'Emissions summary'!BI37</f>
        <v>2.4921775179394063</v>
      </c>
      <c r="AL33" s="94">
        <f>'Emissions summary'!BJ37</f>
        <v>2.5108616558732133</v>
      </c>
      <c r="AM33" s="94">
        <f>'Emissions summary'!BK37</f>
        <v>2.5295457938070207</v>
      </c>
      <c r="AN33" s="94">
        <f>'Emissions summary'!BL37</f>
        <v>2.5482299317408281</v>
      </c>
      <c r="AO33" s="94">
        <f>'Emissions summary'!BM37</f>
        <v>2.5669140696746346</v>
      </c>
      <c r="AP33" s="94">
        <f>'Emissions summary'!BN37</f>
        <v>2.5855982076084416</v>
      </c>
    </row>
    <row r="34" spans="1:42" x14ac:dyDescent="0.25">
      <c r="A34" t="str">
        <f>'Emissions summary'!C38</f>
        <v>3C1d Biomass burning in Wetlands</v>
      </c>
      <c r="B34" t="str">
        <f t="shared" si="1"/>
        <v>A3C1d</v>
      </c>
      <c r="C34" t="str">
        <f>'Emissions summary'!D38</f>
        <v>N2O</v>
      </c>
      <c r="D34" s="94">
        <f>'Emissions summary'!AB38</f>
        <v>7.8813449993659371E-2</v>
      </c>
      <c r="E34" s="94">
        <f>'Emissions summary'!AC38</f>
        <v>7.8813449993659371E-2</v>
      </c>
      <c r="F34" s="94">
        <f>'Emissions summary'!AD38</f>
        <v>7.8813449993659371E-2</v>
      </c>
      <c r="G34" s="94">
        <f>'Emissions summary'!AE38</f>
        <v>7.8813449993659371E-2</v>
      </c>
      <c r="H34" s="94">
        <f>'Emissions summary'!AF38</f>
        <v>7.8813449993659371E-2</v>
      </c>
      <c r="I34" s="94">
        <f>'Emissions summary'!AG38</f>
        <v>7.8813449993659371E-2</v>
      </c>
      <c r="J34" s="94">
        <f>'Emissions summary'!AH38</f>
        <v>7.8813449993659371E-2</v>
      </c>
      <c r="K34" s="94">
        <f>'Emissions summary'!AI38</f>
        <v>7.8813449993659371E-2</v>
      </c>
      <c r="L34" s="94">
        <f>'Emissions summary'!AJ38</f>
        <v>7.8813449993659371E-2</v>
      </c>
      <c r="M34" s="94">
        <f>'Emissions summary'!AK38</f>
        <v>7.8813449993659371E-2</v>
      </c>
      <c r="N34" s="94">
        <f>'Emissions summary'!AL38</f>
        <v>7.8813449993659371E-2</v>
      </c>
      <c r="O34" s="94">
        <f>'Emissions summary'!AM38</f>
        <v>7.8813449993659371E-2</v>
      </c>
      <c r="P34" s="94">
        <f>'Emissions summary'!AN38</f>
        <v>7.8813449993659371E-2</v>
      </c>
      <c r="Q34" s="94">
        <f>'Emissions summary'!AO38</f>
        <v>7.8813449993659371E-2</v>
      </c>
      <c r="R34" s="94">
        <f>'Emissions summary'!AP38</f>
        <v>7.8813449993659371E-2</v>
      </c>
      <c r="S34" s="94">
        <f>'Emissions summary'!AQ38</f>
        <v>7.8813449993659371E-2</v>
      </c>
      <c r="T34" s="94">
        <f>'Emissions summary'!AR38</f>
        <v>7.8813449993659371E-2</v>
      </c>
      <c r="U34" s="94">
        <f>'Emissions summary'!AS38</f>
        <v>7.8813449993659371E-2</v>
      </c>
      <c r="V34" s="94">
        <f>'Emissions summary'!AT38</f>
        <v>7.8813449993659371E-2</v>
      </c>
      <c r="W34" s="94">
        <f>'Emissions summary'!AU38</f>
        <v>7.8813449993659371E-2</v>
      </c>
      <c r="X34" s="94">
        <f>'Emissions summary'!AV38</f>
        <v>7.8813449993659371E-2</v>
      </c>
      <c r="Y34" s="94">
        <f>'Emissions summary'!AW38</f>
        <v>7.8813449993659371E-2</v>
      </c>
      <c r="Z34" s="94">
        <f>'Emissions summary'!AX38</f>
        <v>7.8813449993659371E-2</v>
      </c>
      <c r="AA34" s="94">
        <f>'Emissions summary'!AY38</f>
        <v>7.8813449993659371E-2</v>
      </c>
      <c r="AB34" s="94">
        <f>'Emissions summary'!AZ38</f>
        <v>7.8813449993659371E-2</v>
      </c>
      <c r="AC34" s="94">
        <f>'Emissions summary'!BA38</f>
        <v>7.8813449993659371E-2</v>
      </c>
      <c r="AD34" s="94">
        <f>'Emissions summary'!BB38</f>
        <v>7.8813449993659371E-2</v>
      </c>
      <c r="AE34" s="94">
        <f>'Emissions summary'!BC38</f>
        <v>7.8813449993659371E-2</v>
      </c>
      <c r="AF34" s="94">
        <f>'Emissions summary'!BD38</f>
        <v>7.8813449993659371E-2</v>
      </c>
      <c r="AG34" s="94">
        <f>'Emissions summary'!BE38</f>
        <v>7.8813449993659371E-2</v>
      </c>
      <c r="AH34" s="94">
        <f>'Emissions summary'!BF38</f>
        <v>7.8813449993659371E-2</v>
      </c>
      <c r="AI34" s="94">
        <f>'Emissions summary'!BG38</f>
        <v>7.8813449993659371E-2</v>
      </c>
      <c r="AJ34" s="94">
        <f>'Emissions summary'!BH38</f>
        <v>7.8813449993659371E-2</v>
      </c>
      <c r="AK34" s="94">
        <f>'Emissions summary'!BI38</f>
        <v>7.8813449993659371E-2</v>
      </c>
      <c r="AL34" s="94">
        <f>'Emissions summary'!BJ38</f>
        <v>7.8813449993659371E-2</v>
      </c>
      <c r="AM34" s="94">
        <f>'Emissions summary'!BK38</f>
        <v>7.8813449993659371E-2</v>
      </c>
      <c r="AN34" s="94">
        <f>'Emissions summary'!BL38</f>
        <v>7.8813449993659371E-2</v>
      </c>
      <c r="AO34" s="94">
        <f>'Emissions summary'!BM38</f>
        <v>7.8813449993659371E-2</v>
      </c>
      <c r="AP34" s="94">
        <f>'Emissions summary'!BN38</f>
        <v>7.8813449993659371E-2</v>
      </c>
    </row>
    <row r="35" spans="1:42" x14ac:dyDescent="0.25">
      <c r="A35" t="str">
        <f>'Emissions summary'!C39</f>
        <v>3C1e Biomass burning in Settlements</v>
      </c>
      <c r="B35" t="str">
        <f t="shared" si="1"/>
        <v>A3C1e</v>
      </c>
      <c r="C35" t="str">
        <f>'Emissions summary'!D39</f>
        <v>N2O</v>
      </c>
      <c r="D35" s="94">
        <f>'Emissions summary'!AB39</f>
        <v>3.9235523819963862E-2</v>
      </c>
      <c r="E35" s="94">
        <f>'Emissions summary'!AC39</f>
        <v>3.9318445103539788E-2</v>
      </c>
      <c r="F35" s="94">
        <f>'Emissions summary'!AD39</f>
        <v>3.9401366387115715E-2</v>
      </c>
      <c r="G35" s="94">
        <f>'Emissions summary'!AE39</f>
        <v>3.9484287670691648E-2</v>
      </c>
      <c r="H35" s="94">
        <f>'Emissions summary'!AF39</f>
        <v>3.9567208954267574E-2</v>
      </c>
      <c r="I35" s="94">
        <f>'Emissions summary'!AG39</f>
        <v>3.9650130237843507E-2</v>
      </c>
      <c r="J35" s="94">
        <f>'Emissions summary'!AH39</f>
        <v>3.9733051521419427E-2</v>
      </c>
      <c r="K35" s="94">
        <f>'Emissions summary'!AI39</f>
        <v>3.981597280499536E-2</v>
      </c>
      <c r="L35" s="94">
        <f>'Emissions summary'!AJ39</f>
        <v>3.9898894088571286E-2</v>
      </c>
      <c r="M35" s="94">
        <f>'Emissions summary'!AK39</f>
        <v>3.9981815372147227E-2</v>
      </c>
      <c r="N35" s="94">
        <f>'Emissions summary'!AL39</f>
        <v>4.0064736655723153E-2</v>
      </c>
      <c r="O35" s="94">
        <f>'Emissions summary'!AM39</f>
        <v>4.0147657939299079E-2</v>
      </c>
      <c r="P35" s="94">
        <f>'Emissions summary'!AN39</f>
        <v>4.0230579222875013E-2</v>
      </c>
      <c r="Q35" s="94">
        <f>'Emissions summary'!AO39</f>
        <v>4.0313500506450946E-2</v>
      </c>
      <c r="R35" s="94">
        <f>'Emissions summary'!AP39</f>
        <v>4.0396421790026865E-2</v>
      </c>
      <c r="S35" s="94">
        <f>'Emissions summary'!AQ39</f>
        <v>4.0479343073602798E-2</v>
      </c>
      <c r="T35" s="94">
        <f>'Emissions summary'!AR39</f>
        <v>4.0562264357178725E-2</v>
      </c>
      <c r="U35" s="94">
        <f>'Emissions summary'!AS39</f>
        <v>4.0645185640754658E-2</v>
      </c>
      <c r="V35" s="94">
        <f>'Emissions summary'!AT39</f>
        <v>4.0728106924330584E-2</v>
      </c>
      <c r="W35" s="94">
        <f>'Emissions summary'!AU39</f>
        <v>4.0811028207906511E-2</v>
      </c>
      <c r="X35" s="94">
        <f>'Emissions summary'!AV39</f>
        <v>4.0893949491482444E-2</v>
      </c>
      <c r="Y35" s="94">
        <f>'Emissions summary'!AW39</f>
        <v>4.097687077505837E-2</v>
      </c>
      <c r="Z35" s="94">
        <f>'Emissions summary'!AX39</f>
        <v>4.1059792058634303E-2</v>
      </c>
      <c r="AA35" s="94">
        <f>'Emissions summary'!AY39</f>
        <v>4.114271334221023E-2</v>
      </c>
      <c r="AB35" s="94">
        <f>'Emissions summary'!AZ39</f>
        <v>4.1225634625786156E-2</v>
      </c>
      <c r="AC35" s="94">
        <f>'Emissions summary'!BA39</f>
        <v>4.1308555909362089E-2</v>
      </c>
      <c r="AD35" s="94">
        <f>'Emissions summary'!BB39</f>
        <v>4.1391477192938023E-2</v>
      </c>
      <c r="AE35" s="94">
        <f>'Emissions summary'!BC39</f>
        <v>4.1474398476513949E-2</v>
      </c>
      <c r="AF35" s="94">
        <f>'Emissions summary'!BD39</f>
        <v>4.1557319760089875E-2</v>
      </c>
      <c r="AG35" s="94">
        <f>'Emissions summary'!BE39</f>
        <v>4.1640241043665809E-2</v>
      </c>
      <c r="AH35" s="94">
        <f>'Emissions summary'!BF39</f>
        <v>4.1723162327241742E-2</v>
      </c>
      <c r="AI35" s="94">
        <f>'Emissions summary'!BG39</f>
        <v>4.1806083610817661E-2</v>
      </c>
      <c r="AJ35" s="94">
        <f>'Emissions summary'!BH39</f>
        <v>4.1889004894393594E-2</v>
      </c>
      <c r="AK35" s="94">
        <f>'Emissions summary'!BI39</f>
        <v>4.1971926177969528E-2</v>
      </c>
      <c r="AL35" s="94">
        <f>'Emissions summary'!BJ39</f>
        <v>4.2054847461545454E-2</v>
      </c>
      <c r="AM35" s="94">
        <f>'Emissions summary'!BK39</f>
        <v>4.2137768745121387E-2</v>
      </c>
      <c r="AN35" s="94">
        <f>'Emissions summary'!BL39</f>
        <v>4.2220690028697307E-2</v>
      </c>
      <c r="AO35" s="94">
        <f>'Emissions summary'!BM39</f>
        <v>4.230361131227324E-2</v>
      </c>
      <c r="AP35" s="94">
        <f>'Emissions summary'!BN39</f>
        <v>4.2386532595849173E-2</v>
      </c>
    </row>
    <row r="36" spans="1:42" x14ac:dyDescent="0.25">
      <c r="A36" t="str">
        <f>'Emissions summary'!C40</f>
        <v>3C1f Biomass burning in Other lands</v>
      </c>
      <c r="B36" t="str">
        <f t="shared" si="1"/>
        <v>A3C1f</v>
      </c>
      <c r="C36" t="str">
        <f>'Emissions summary'!D40</f>
        <v>N2O</v>
      </c>
      <c r="D36" s="94">
        <f>'Emissions summary'!AB40</f>
        <v>0</v>
      </c>
      <c r="E36" s="94">
        <f>'Emissions summary'!AC40</f>
        <v>0</v>
      </c>
      <c r="F36" s="94">
        <f>'Emissions summary'!AD40</f>
        <v>0</v>
      </c>
      <c r="G36" s="94">
        <f>'Emissions summary'!AE40</f>
        <v>0</v>
      </c>
      <c r="H36" s="94">
        <f>'Emissions summary'!AF40</f>
        <v>0</v>
      </c>
      <c r="I36" s="94">
        <f>'Emissions summary'!AG40</f>
        <v>0</v>
      </c>
      <c r="J36" s="94">
        <f>'Emissions summary'!AH40</f>
        <v>0</v>
      </c>
      <c r="K36" s="94">
        <f>'Emissions summary'!AI40</f>
        <v>0</v>
      </c>
      <c r="L36" s="94">
        <f>'Emissions summary'!AJ40</f>
        <v>0</v>
      </c>
      <c r="M36" s="94">
        <f>'Emissions summary'!AK40</f>
        <v>0</v>
      </c>
      <c r="N36" s="94">
        <f>'Emissions summary'!AL40</f>
        <v>0</v>
      </c>
      <c r="O36" s="94">
        <f>'Emissions summary'!AM40</f>
        <v>0</v>
      </c>
      <c r="P36" s="94">
        <f>'Emissions summary'!AN40</f>
        <v>0</v>
      </c>
      <c r="Q36" s="94">
        <f>'Emissions summary'!AO40</f>
        <v>0</v>
      </c>
      <c r="R36" s="94">
        <f>'Emissions summary'!AP40</f>
        <v>0</v>
      </c>
      <c r="S36" s="94">
        <f>'Emissions summary'!AQ40</f>
        <v>0</v>
      </c>
      <c r="T36" s="94">
        <f>'Emissions summary'!AR40</f>
        <v>0</v>
      </c>
      <c r="U36" s="94">
        <f>'Emissions summary'!AS40</f>
        <v>0</v>
      </c>
      <c r="V36" s="94">
        <f>'Emissions summary'!AT40</f>
        <v>0</v>
      </c>
      <c r="W36" s="94">
        <f>'Emissions summary'!AU40</f>
        <v>0</v>
      </c>
      <c r="X36" s="94">
        <f>'Emissions summary'!AV40</f>
        <v>0</v>
      </c>
      <c r="Y36" s="94">
        <f>'Emissions summary'!AW40</f>
        <v>0</v>
      </c>
      <c r="Z36" s="94">
        <f>'Emissions summary'!AX40</f>
        <v>0</v>
      </c>
      <c r="AA36" s="94">
        <f>'Emissions summary'!AY40</f>
        <v>0</v>
      </c>
      <c r="AB36" s="94">
        <f>'Emissions summary'!AZ40</f>
        <v>0</v>
      </c>
      <c r="AC36" s="94">
        <f>'Emissions summary'!BA40</f>
        <v>0</v>
      </c>
      <c r="AD36" s="94">
        <f>'Emissions summary'!BB40</f>
        <v>0</v>
      </c>
      <c r="AE36" s="94">
        <f>'Emissions summary'!BC40</f>
        <v>0</v>
      </c>
      <c r="AF36" s="94">
        <f>'Emissions summary'!BD40</f>
        <v>0</v>
      </c>
      <c r="AG36" s="94">
        <f>'Emissions summary'!BE40</f>
        <v>0</v>
      </c>
      <c r="AH36" s="94">
        <f>'Emissions summary'!BF40</f>
        <v>0</v>
      </c>
      <c r="AI36" s="94">
        <f>'Emissions summary'!BG40</f>
        <v>0</v>
      </c>
      <c r="AJ36" s="94">
        <f>'Emissions summary'!BH40</f>
        <v>0</v>
      </c>
      <c r="AK36" s="94">
        <f>'Emissions summary'!BI40</f>
        <v>0</v>
      </c>
      <c r="AL36" s="94">
        <f>'Emissions summary'!BJ40</f>
        <v>0</v>
      </c>
      <c r="AM36" s="94">
        <f>'Emissions summary'!BK40</f>
        <v>0</v>
      </c>
      <c r="AN36" s="94">
        <f>'Emissions summary'!BL40</f>
        <v>0</v>
      </c>
      <c r="AO36" s="94">
        <f>'Emissions summary'!BM40</f>
        <v>0</v>
      </c>
      <c r="AP36" s="94">
        <f>'Emissions summary'!BN40</f>
        <v>0</v>
      </c>
    </row>
    <row r="37" spans="1:42" x14ac:dyDescent="0.25">
      <c r="A37" t="str">
        <f>'Emissions summary'!B41</f>
        <v>3C2 Liming (CO2)</v>
      </c>
      <c r="B37" t="str">
        <f>"A"&amp;LEFT(A37,3)</f>
        <v>A3C2</v>
      </c>
      <c r="C37" t="str">
        <f>'Emissions summary'!D41</f>
        <v>CO2</v>
      </c>
      <c r="D37" s="94">
        <f>'Emissions summary'!AB41</f>
        <v>886.46691832724639</v>
      </c>
      <c r="E37" s="94">
        <f>'Emissions summary'!AC41</f>
        <v>888.13007321518489</v>
      </c>
      <c r="F37" s="94">
        <f>'Emissions summary'!AD41</f>
        <v>891.76991638156767</v>
      </c>
      <c r="G37" s="94">
        <f>'Emissions summary'!AE41</f>
        <v>894.55417134916399</v>
      </c>
      <c r="H37" s="94">
        <f>'Emissions summary'!AF41</f>
        <v>896.69837553273305</v>
      </c>
      <c r="I37" s="94">
        <f>'Emissions summary'!AG41</f>
        <v>898.17359300359647</v>
      </c>
      <c r="J37" s="94">
        <f>'Emissions summary'!AH41</f>
        <v>900.46989725432593</v>
      </c>
      <c r="K37" s="94">
        <f>'Emissions summary'!AI41</f>
        <v>902.57316140231558</v>
      </c>
      <c r="L37" s="94">
        <f>'Emissions summary'!AJ41</f>
        <v>904.59790205825095</v>
      </c>
      <c r="M37" s="94">
        <f>'Emissions summary'!AK41</f>
        <v>893.14096588919665</v>
      </c>
      <c r="N37" s="94">
        <f>'Emissions summary'!AL41</f>
        <v>896.98812675654415</v>
      </c>
      <c r="O37" s="94">
        <f>'Emissions summary'!AM41</f>
        <v>900.61918314592731</v>
      </c>
      <c r="P37" s="94">
        <f>'Emissions summary'!AN41</f>
        <v>904.27800387898264</v>
      </c>
      <c r="Q37" s="94">
        <f>'Emissions summary'!AO41</f>
        <v>908.13278048853169</v>
      </c>
      <c r="R37" s="94">
        <f>'Emissions summary'!AP41</f>
        <v>912.29434692859604</v>
      </c>
      <c r="S37" s="94">
        <f>'Emissions summary'!AQ41</f>
        <v>916.52179055629131</v>
      </c>
      <c r="T37" s="94">
        <f>'Emissions summary'!AR41</f>
        <v>920.92315021200898</v>
      </c>
      <c r="U37" s="94">
        <f>'Emissions summary'!AS41</f>
        <v>925.51488926020909</v>
      </c>
      <c r="V37" s="94">
        <f>'Emissions summary'!AT41</f>
        <v>930.52126939527659</v>
      </c>
      <c r="W37" s="94">
        <f>'Emissions summary'!AU41</f>
        <v>935.40747983360666</v>
      </c>
      <c r="X37" s="94">
        <f>'Emissions summary'!AV41</f>
        <v>940.90186450173564</v>
      </c>
      <c r="Y37" s="94">
        <f>'Emissions summary'!AW41</f>
        <v>946.45147388466739</v>
      </c>
      <c r="Z37" s="94">
        <f>'Emissions summary'!AX41</f>
        <v>952.02869730436089</v>
      </c>
      <c r="AA37" s="94">
        <f>'Emissions summary'!AY41</f>
        <v>957.60677503932789</v>
      </c>
      <c r="AB37" s="94">
        <f>'Emissions summary'!AZ41</f>
        <v>962.71821835850994</v>
      </c>
      <c r="AC37" s="94">
        <f>'Emissions summary'!BA41</f>
        <v>967.91492690796179</v>
      </c>
      <c r="AD37" s="94">
        <f>'Emissions summary'!BB41</f>
        <v>973.32240759346337</v>
      </c>
      <c r="AE37" s="94">
        <f>'Emissions summary'!BC41</f>
        <v>978.83705834511602</v>
      </c>
      <c r="AF37" s="94">
        <f>'Emissions summary'!BD41</f>
        <v>984.13561529177809</v>
      </c>
      <c r="AG37" s="94">
        <f>'Emissions summary'!BE41</f>
        <v>989.39761451907123</v>
      </c>
      <c r="AH37" s="94">
        <f>'Emissions summary'!BF41</f>
        <v>994.71659544231227</v>
      </c>
      <c r="AI37" s="94">
        <f>'Emissions summary'!BG41</f>
        <v>1000.1498375580049</v>
      </c>
      <c r="AJ37" s="94">
        <f>'Emissions summary'!BH41</f>
        <v>1005.7401262744585</v>
      </c>
      <c r="AK37" s="94">
        <f>'Emissions summary'!BI41</f>
        <v>1011.4534796507485</v>
      </c>
      <c r="AL37" s="94">
        <f>'Emissions summary'!BJ41</f>
        <v>1017.3845414628061</v>
      </c>
      <c r="AM37" s="94">
        <f>'Emissions summary'!BK41</f>
        <v>1023.4513496721164</v>
      </c>
      <c r="AN37" s="94">
        <f>'Emissions summary'!BL41</f>
        <v>1029.6005884210319</v>
      </c>
      <c r="AO37" s="94">
        <f>'Emissions summary'!BM41</f>
        <v>1035.5741103324806</v>
      </c>
      <c r="AP37" s="94">
        <f>'Emissions summary'!BN41</f>
        <v>1041.6434767768121</v>
      </c>
    </row>
    <row r="38" spans="1:42" x14ac:dyDescent="0.25">
      <c r="A38" t="str">
        <f>'Emissions summary'!B42</f>
        <v>3C3 Urea application (CO2)</v>
      </c>
      <c r="B38" t="str">
        <f>"A"&amp;LEFT(A38,3)</f>
        <v>A3C3</v>
      </c>
      <c r="C38" t="str">
        <f>'Emissions summary'!D42</f>
        <v>CO2</v>
      </c>
      <c r="D38" s="94">
        <f>'Emissions summary'!AB42</f>
        <v>470.0955092083982</v>
      </c>
      <c r="E38" s="94">
        <f>'Emissions summary'!AC42</f>
        <v>470.05360463465496</v>
      </c>
      <c r="F38" s="94">
        <f>'Emissions summary'!AD42</f>
        <v>469.96189575204556</v>
      </c>
      <c r="G38" s="94">
        <f>'Emissions summary'!AE42</f>
        <v>469.89174412728971</v>
      </c>
      <c r="H38" s="94">
        <f>'Emissions summary'!AF42</f>
        <v>469.83771911555891</v>
      </c>
      <c r="I38" s="94">
        <f>'Emissions summary'!AG42</f>
        <v>469.8005497816963</v>
      </c>
      <c r="J38" s="94">
        <f>'Emissions summary'!AH42</f>
        <v>469.74269248198868</v>
      </c>
      <c r="K38" s="94">
        <f>'Emissions summary'!AI42</f>
        <v>469.68969898858052</v>
      </c>
      <c r="L38" s="94">
        <f>'Emissions summary'!AJ42</f>
        <v>469.63868396000873</v>
      </c>
      <c r="M38" s="94">
        <f>'Emissions summary'!AK42</f>
        <v>469.92735101684696</v>
      </c>
      <c r="N38" s="94">
        <f>'Emissions summary'!AL42</f>
        <v>469.83041859194958</v>
      </c>
      <c r="O38" s="94">
        <f>'Emissions summary'!AM42</f>
        <v>469.73893109951086</v>
      </c>
      <c r="P38" s="94">
        <f>'Emissions summary'!AN42</f>
        <v>469.64674406129018</v>
      </c>
      <c r="Q38" s="94">
        <f>'Emissions summary'!AO42</f>
        <v>469.54961975141981</v>
      </c>
      <c r="R38" s="94">
        <f>'Emissions summary'!AP42</f>
        <v>469.44476561604154</v>
      </c>
      <c r="S38" s="94">
        <f>'Emissions summary'!AQ42</f>
        <v>469.33825165000826</v>
      </c>
      <c r="T38" s="94">
        <f>'Emissions summary'!AR42</f>
        <v>469.22735572467934</v>
      </c>
      <c r="U38" s="94">
        <f>'Emissions summary'!AS42</f>
        <v>469.11166303186383</v>
      </c>
      <c r="V38" s="94">
        <f>'Emissions summary'!AT42</f>
        <v>468.98552311123592</v>
      </c>
      <c r="W38" s="94">
        <f>'Emissions summary'!AU42</f>
        <v>468.86241096628623</v>
      </c>
      <c r="X38" s="94">
        <f>'Emissions summary'!AV42</f>
        <v>468.72397536466616</v>
      </c>
      <c r="Y38" s="94">
        <f>'Emissions summary'!AW42</f>
        <v>468.58414833032333</v>
      </c>
      <c r="Z38" s="94">
        <f>'Emissions summary'!AX42</f>
        <v>468.4436255373065</v>
      </c>
      <c r="AA38" s="94">
        <f>'Emissions summary'!AY42</f>
        <v>468.30308121910412</v>
      </c>
      <c r="AB38" s="94">
        <f>'Emissions summary'!AZ42</f>
        <v>468.17429414397589</v>
      </c>
      <c r="AC38" s="94">
        <f>'Emissions summary'!BA42</f>
        <v>468.04335874029715</v>
      </c>
      <c r="AD38" s="94">
        <f>'Emissions summary'!BB42</f>
        <v>467.90711275695918</v>
      </c>
      <c r="AE38" s="94">
        <f>'Emissions summary'!BC42</f>
        <v>467.76816653447167</v>
      </c>
      <c r="AF38" s="94">
        <f>'Emissions summary'!BD42</f>
        <v>467.63466497552838</v>
      </c>
      <c r="AG38" s="94">
        <f>'Emissions summary'!BE42</f>
        <v>467.50208451879763</v>
      </c>
      <c r="AH38" s="94">
        <f>'Emissions summary'!BF42</f>
        <v>467.36806836073987</v>
      </c>
      <c r="AI38" s="94">
        <f>'Emissions summary'!BG42</f>
        <v>467.23117329669452</v>
      </c>
      <c r="AJ38" s="94">
        <f>'Emissions summary'!BH42</f>
        <v>467.0903213126349</v>
      </c>
      <c r="AK38" s="94">
        <f>'Emissions summary'!BI42</f>
        <v>466.94636861188889</v>
      </c>
      <c r="AL38" s="94">
        <f>'Emissions summary'!BJ42</f>
        <v>466.79693056563036</v>
      </c>
      <c r="AM38" s="94">
        <f>'Emissions summary'!BK42</f>
        <v>466.64407227574009</v>
      </c>
      <c r="AN38" s="94">
        <f>'Emissions summary'!BL42</f>
        <v>466.48913707969359</v>
      </c>
      <c r="AO38" s="94">
        <f>'Emissions summary'!BM42</f>
        <v>466.3386292158379</v>
      </c>
      <c r="AP38" s="94">
        <f>'Emissions summary'!BN42</f>
        <v>466.18570646908381</v>
      </c>
    </row>
    <row r="39" spans="1:42" x14ac:dyDescent="0.25">
      <c r="A39" t="str">
        <f>'Emissions summary'!B44</f>
        <v>3C4 Direct N2O from managed soils (N2O)</v>
      </c>
      <c r="B39" t="str">
        <f>"A"&amp;LEFT(A39,3)</f>
        <v>A3C4</v>
      </c>
      <c r="C39" t="str">
        <f>'Emissions summary'!D44</f>
        <v>N2O</v>
      </c>
      <c r="D39" s="94">
        <f>'Emissions summary'!AB43</f>
        <v>55.33261880050982</v>
      </c>
      <c r="E39" s="94">
        <f>'Emissions summary'!AC43</f>
        <v>55.31010616539433</v>
      </c>
      <c r="F39" s="94">
        <f>'Emissions summary'!AD43</f>
        <v>55.076674078435644</v>
      </c>
      <c r="G39" s="94">
        <f>'Emissions summary'!AE43</f>
        <v>54.690216665737154</v>
      </c>
      <c r="H39" s="94">
        <f>'Emissions summary'!AF43</f>
        <v>54.151187738269826</v>
      </c>
      <c r="I39" s="94">
        <f>'Emissions summary'!AG43</f>
        <v>53.840243275879487</v>
      </c>
      <c r="J39" s="94">
        <f>'Emissions summary'!AH43</f>
        <v>53.495781281469725</v>
      </c>
      <c r="K39" s="94">
        <f>'Emissions summary'!AI43</f>
        <v>53.143886288699136</v>
      </c>
      <c r="L39" s="94">
        <f>'Emissions summary'!AJ43</f>
        <v>49.728575487170986</v>
      </c>
      <c r="M39" s="94">
        <f>'Emissions summary'!AK43</f>
        <v>50.051927970896642</v>
      </c>
      <c r="N39" s="94">
        <f>'Emissions summary'!AL43</f>
        <v>50.371853359024968</v>
      </c>
      <c r="O39" s="94">
        <f>'Emissions summary'!AM43</f>
        <v>50.70181091640081</v>
      </c>
      <c r="P39" s="94">
        <f>'Emissions summary'!AN43</f>
        <v>51.079078726991909</v>
      </c>
      <c r="Q39" s="94">
        <f>'Emissions summary'!AO43</f>
        <v>51.528418070673233</v>
      </c>
      <c r="R39" s="94">
        <f>'Emissions summary'!AP43</f>
        <v>51.987376640218329</v>
      </c>
      <c r="S39" s="94">
        <f>'Emissions summary'!AQ43</f>
        <v>52.488852934675677</v>
      </c>
      <c r="T39" s="94">
        <f>'Emissions summary'!AR43</f>
        <v>53.037208922018031</v>
      </c>
      <c r="U39" s="94">
        <f>'Emissions summary'!AS43</f>
        <v>53.683804541359329</v>
      </c>
      <c r="V39" s="94">
        <f>'Emissions summary'!AT43</f>
        <v>54.309457958602557</v>
      </c>
      <c r="W39" s="94">
        <f>'Emissions summary'!AU43</f>
        <v>54.852253492297486</v>
      </c>
      <c r="X39" s="94">
        <f>'Emissions summary'!AV43</f>
        <v>55.402975718224738</v>
      </c>
      <c r="Y39" s="94">
        <f>'Emissions summary'!AW43</f>
        <v>55.953639701882814</v>
      </c>
      <c r="Z39" s="94">
        <f>'Emissions summary'!AX43</f>
        <v>56.497690592466228</v>
      </c>
      <c r="AA39" s="94">
        <f>'Emissions summary'!AY43</f>
        <v>56.926127405039438</v>
      </c>
      <c r="AB39" s="94">
        <f>'Emissions summary'!AZ43</f>
        <v>57.357353535744544</v>
      </c>
      <c r="AC39" s="94">
        <f>'Emissions summary'!BA43</f>
        <v>57.829202748418027</v>
      </c>
      <c r="AD39" s="94">
        <f>'Emissions summary'!BB43</f>
        <v>58.317780191487692</v>
      </c>
      <c r="AE39" s="94">
        <f>'Emissions summary'!BC43</f>
        <v>58.746775611159173</v>
      </c>
      <c r="AF39" s="94">
        <f>'Emissions summary'!BD43</f>
        <v>59.156722407746727</v>
      </c>
      <c r="AG39" s="94">
        <f>'Emissions summary'!BE43</f>
        <v>59.708910268801766</v>
      </c>
      <c r="AH39" s="94">
        <f>'Emissions summary'!BF43</f>
        <v>60.285599103462346</v>
      </c>
      <c r="AI39" s="94">
        <f>'Emissions summary'!BG43</f>
        <v>60.897513384311779</v>
      </c>
      <c r="AJ39" s="94">
        <f>'Emissions summary'!BH43</f>
        <v>61.537146101775733</v>
      </c>
      <c r="AK39" s="94">
        <f>'Emissions summary'!BI43</f>
        <v>62.22798806876208</v>
      </c>
      <c r="AL39" s="94">
        <f>'Emissions summary'!BJ43</f>
        <v>62.943987599579707</v>
      </c>
      <c r="AM39" s="94">
        <f>'Emissions summary'!BK43</f>
        <v>63.679555322251431</v>
      </c>
      <c r="AN39" s="94">
        <f>'Emissions summary'!BL43</f>
        <v>64.369851826563732</v>
      </c>
      <c r="AO39" s="94">
        <f>'Emissions summary'!BM43</f>
        <v>65.081604068546255</v>
      </c>
      <c r="AP39" s="94">
        <f>'Emissions summary'!BN43</f>
        <v>65.828074838352833</v>
      </c>
    </row>
    <row r="40" spans="1:42" x14ac:dyDescent="0.25">
      <c r="A40" t="str">
        <f>'Emissions summary'!B49</f>
        <v>3C5 Indirect N2O from managed soils (N2O)</v>
      </c>
      <c r="B40" t="str">
        <f t="shared" ref="B40:B41" si="2">"A"&amp;LEFT(A40,3)</f>
        <v>A3C5</v>
      </c>
      <c r="C40" t="str">
        <f>'Emissions summary'!D49</f>
        <v>N2O</v>
      </c>
      <c r="D40" s="94">
        <f>'Emissions summary'!AB49</f>
        <v>6.6163479607567739</v>
      </c>
      <c r="E40" s="94">
        <f>'Emissions summary'!AC49</f>
        <v>6.6191641778060708</v>
      </c>
      <c r="F40" s="94">
        <f>'Emissions summary'!AD49</f>
        <v>6.596064172940955</v>
      </c>
      <c r="G40" s="94">
        <f>'Emissions summary'!AE49</f>
        <v>6.5547770297384256</v>
      </c>
      <c r="H40" s="94">
        <f>'Emissions summary'!AF49</f>
        <v>6.4951887570513769</v>
      </c>
      <c r="I40" s="94">
        <f>'Emissions summary'!AG49</f>
        <v>6.4644395575589648</v>
      </c>
      <c r="J40" s="94">
        <f>'Emissions summary'!AH49</f>
        <v>6.4295809731317659</v>
      </c>
      <c r="K40" s="94">
        <f>'Emissions summary'!AI49</f>
        <v>6.3941046205767726</v>
      </c>
      <c r="L40" s="94">
        <f>'Emissions summary'!AJ49</f>
        <v>5.976594451952602</v>
      </c>
      <c r="M40" s="94">
        <f>'Emissions summary'!AK49</f>
        <v>6.0238069893776522</v>
      </c>
      <c r="N40" s="94">
        <f>'Emissions summary'!AL49</f>
        <v>6.0669148885879611</v>
      </c>
      <c r="O40" s="94">
        <f>'Emissions summary'!AM49</f>
        <v>6.1115979238158378</v>
      </c>
      <c r="P40" s="94">
        <f>'Emissions summary'!AN49</f>
        <v>6.1624601565861923</v>
      </c>
      <c r="Q40" s="94">
        <f>'Emissions summary'!AO49</f>
        <v>6.2225754338561146</v>
      </c>
      <c r="R40" s="94">
        <f>'Emissions summary'!AP49</f>
        <v>6.2833293268311268</v>
      </c>
      <c r="S40" s="94">
        <f>'Emissions summary'!AQ49</f>
        <v>6.3496808394493254</v>
      </c>
      <c r="T40" s="94">
        <f>'Emissions summary'!AR49</f>
        <v>6.4221638137842136</v>
      </c>
      <c r="U40" s="94">
        <f>'Emissions summary'!AS49</f>
        <v>6.5072589702224288</v>
      </c>
      <c r="V40" s="94">
        <f>'Emissions summary'!AT49</f>
        <v>6.5899175368440561</v>
      </c>
      <c r="W40" s="94">
        <f>'Emissions summary'!AU49</f>
        <v>6.664561140950922</v>
      </c>
      <c r="X40" s="94">
        <f>'Emissions summary'!AV49</f>
        <v>6.7405664608544313</v>
      </c>
      <c r="Y40" s="94">
        <f>'Emissions summary'!AW49</f>
        <v>6.817085115446516</v>
      </c>
      <c r="Z40" s="94">
        <f>'Emissions summary'!AX49</f>
        <v>6.8933070149127245</v>
      </c>
      <c r="AA40" s="94">
        <f>'Emissions summary'!AY49</f>
        <v>6.9553755590915936</v>
      </c>
      <c r="AB40" s="94">
        <f>'Emissions summary'!AZ49</f>
        <v>7.0178830431634118</v>
      </c>
      <c r="AC40" s="94">
        <f>'Emissions summary'!BA49</f>
        <v>7.0861034214256193</v>
      </c>
      <c r="AD40" s="94">
        <f>'Emissions summary'!BB49</f>
        <v>7.1569948906297967</v>
      </c>
      <c r="AE40" s="94">
        <f>'Emissions summary'!BC49</f>
        <v>7.2208227297832881</v>
      </c>
      <c r="AF40" s="94">
        <f>'Emissions summary'!BD49</f>
        <v>7.2828606265627363</v>
      </c>
      <c r="AG40" s="94">
        <f>'Emissions summary'!BE49</f>
        <v>7.3611323516317455</v>
      </c>
      <c r="AH40" s="94">
        <f>'Emissions summary'!BF49</f>
        <v>7.4430675200745284</v>
      </c>
      <c r="AI40" s="94">
        <f>'Emissions summary'!BG49</f>
        <v>7.5300722120050878</v>
      </c>
      <c r="AJ40" s="94">
        <f>'Emissions summary'!BH49</f>
        <v>7.6212047460600338</v>
      </c>
      <c r="AK40" s="94">
        <f>'Emissions summary'!BI49</f>
        <v>7.7195672135259743</v>
      </c>
      <c r="AL40" s="94">
        <f>'Emissions summary'!BJ49</f>
        <v>7.8212999876535356</v>
      </c>
      <c r="AM40" s="94">
        <f>'Emissions summary'!BK49</f>
        <v>7.9262444363535884</v>
      </c>
      <c r="AN40" s="94">
        <f>'Emissions summary'!BL49</f>
        <v>8.0259743041019131</v>
      </c>
      <c r="AO40" s="94">
        <f>'Emissions summary'!BM49</f>
        <v>8.1292941973555948</v>
      </c>
      <c r="AP40" s="94">
        <f>'Emissions summary'!BN49</f>
        <v>8.2379187288997766</v>
      </c>
    </row>
    <row r="41" spans="1:42" x14ac:dyDescent="0.25">
      <c r="A41" t="str">
        <f>'Emissions summary'!B52</f>
        <v>3C6 Indirect N2O from manure management (N2O)</v>
      </c>
      <c r="B41" t="str">
        <f t="shared" si="2"/>
        <v>A3C6</v>
      </c>
      <c r="C41" t="str">
        <f>'Emissions summary'!D52</f>
        <v>N2O</v>
      </c>
      <c r="D41" s="94">
        <f>'Emissions summary'!AB52</f>
        <v>1.4968810975923335</v>
      </c>
      <c r="E41" s="94">
        <f>'Emissions summary'!AC52</f>
        <v>1.5185384606322818</v>
      </c>
      <c r="F41" s="94">
        <f>'Emissions summary'!AD52</f>
        <v>1.5314550688514021</v>
      </c>
      <c r="G41" s="94">
        <f>'Emissions summary'!AE52</f>
        <v>1.5379073458956289</v>
      </c>
      <c r="H41" s="94">
        <f>'Emissions summary'!AF52</f>
        <v>1.5375084019571548</v>
      </c>
      <c r="I41" s="94">
        <f>'Emissions summary'!AG52</f>
        <v>1.5468834369489883</v>
      </c>
      <c r="J41" s="94">
        <f>'Emissions summary'!AH52</f>
        <v>1.5546884781449704</v>
      </c>
      <c r="K41" s="94">
        <f>'Emissions summary'!AI52</f>
        <v>1.5621531674923679</v>
      </c>
      <c r="L41" s="94">
        <f>'Emissions summary'!AJ52</f>
        <v>1.4237446234957936</v>
      </c>
      <c r="M41" s="94">
        <f>'Emissions summary'!AK52</f>
        <v>1.4517515423075626</v>
      </c>
      <c r="N41" s="94">
        <f>'Emissions summary'!AL52</f>
        <v>1.4780638677648841</v>
      </c>
      <c r="O41" s="94">
        <f>'Emissions summary'!AM52</f>
        <v>1.5052462061770737</v>
      </c>
      <c r="P41" s="94">
        <f>'Emissions summary'!AN52</f>
        <v>1.5351485750267795</v>
      </c>
      <c r="Q41" s="94">
        <f>'Emissions summary'!AO52</f>
        <v>1.5690803100945758</v>
      </c>
      <c r="R41" s="94">
        <f>'Emissions summary'!AP52</f>
        <v>1.6047042630250243</v>
      </c>
      <c r="S41" s="94">
        <f>'Emissions summary'!AQ52</f>
        <v>1.6430621882544307</v>
      </c>
      <c r="T41" s="94">
        <f>'Emissions summary'!AR52</f>
        <v>1.6844499670042219</v>
      </c>
      <c r="U41" s="94">
        <f>'Emissions summary'!AS52</f>
        <v>1.7316505818461798</v>
      </c>
      <c r="V41" s="94">
        <f>'Emissions summary'!AT52</f>
        <v>1.7784987442682727</v>
      </c>
      <c r="W41" s="94">
        <f>'Emissions summary'!AU52</f>
        <v>1.8342495602070199</v>
      </c>
      <c r="X41" s="94">
        <f>'Emissions summary'!AV52</f>
        <v>1.8921251755277666</v>
      </c>
      <c r="Y41" s="94">
        <f>'Emissions summary'!AW52</f>
        <v>1.9518567940050378</v>
      </c>
      <c r="Z41" s="94">
        <f>'Emissions summary'!AX52</f>
        <v>2.0131583421393504</v>
      </c>
      <c r="AA41" s="94">
        <f>'Emissions summary'!AY52</f>
        <v>2.0697668802148161</v>
      </c>
      <c r="AB41" s="94">
        <f>'Emissions summary'!AZ52</f>
        <v>2.1290764722381894</v>
      </c>
      <c r="AC41" s="94">
        <f>'Emissions summary'!BA52</f>
        <v>2.1928055426102029</v>
      </c>
      <c r="AD41" s="94">
        <f>'Emissions summary'!BB52</f>
        <v>2.2597017836406463</v>
      </c>
      <c r="AE41" s="94">
        <f>'Emissions summary'!BC52</f>
        <v>2.3251551396624928</v>
      </c>
      <c r="AF41" s="94">
        <f>'Emissions summary'!BD52</f>
        <v>2.3917020649694525</v>
      </c>
      <c r="AG41" s="94">
        <f>'Emissions summary'!BE52</f>
        <v>2.4607576262621591</v>
      </c>
      <c r="AH41" s="94">
        <f>'Emissions summary'!BF52</f>
        <v>2.5333363405569536</v>
      </c>
      <c r="AI41" s="94">
        <f>'Emissions summary'!BG52</f>
        <v>2.6103002952588104</v>
      </c>
      <c r="AJ41" s="94">
        <f>'Emissions summary'!BH52</f>
        <v>2.6913230457270054</v>
      </c>
      <c r="AK41" s="94">
        <f>'Emissions summary'!BI52</f>
        <v>2.7782190846981902</v>
      </c>
      <c r="AL41" s="94">
        <f>'Emissions summary'!BJ52</f>
        <v>2.870045162338517</v>
      </c>
      <c r="AM41" s="94">
        <f>'Emissions summary'!BK52</f>
        <v>2.9659793490229047</v>
      </c>
      <c r="AN41" s="94">
        <f>'Emissions summary'!BL52</f>
        <v>3.0614799467632388</v>
      </c>
      <c r="AO41" s="94">
        <f>'Emissions summary'!BM52</f>
        <v>3.1614962953846386</v>
      </c>
      <c r="AP41" s="94">
        <f>'Emissions summary'!BN52</f>
        <v>3.2671810633613454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FF00"/>
  </sheetPr>
  <dimension ref="A1:G82"/>
  <sheetViews>
    <sheetView topLeftCell="A50" workbookViewId="0">
      <selection activeCell="C73" sqref="C73"/>
    </sheetView>
  </sheetViews>
  <sheetFormatPr defaultRowHeight="15" x14ac:dyDescent="0.25"/>
  <cols>
    <col min="1" max="1" width="44.42578125" customWidth="1"/>
    <col min="2" max="2" width="46.42578125" customWidth="1"/>
    <col min="3" max="3" width="37.42578125" customWidth="1"/>
    <col min="4" max="4" width="41" customWidth="1"/>
    <col min="6" max="6" width="35.7109375" customWidth="1"/>
  </cols>
  <sheetData>
    <row r="1" spans="1:6" ht="18.75" x14ac:dyDescent="0.3">
      <c r="A1" s="1" t="s">
        <v>7</v>
      </c>
    </row>
    <row r="3" spans="1:6" ht="17.25" x14ac:dyDescent="0.3">
      <c r="A3" s="107" t="s">
        <v>11</v>
      </c>
      <c r="B3" s="108"/>
      <c r="C3" s="108"/>
      <c r="D3" s="109"/>
    </row>
    <row r="4" spans="1:6" ht="15.75" x14ac:dyDescent="0.25">
      <c r="A4" s="2" t="s">
        <v>12</v>
      </c>
      <c r="B4" s="2" t="s">
        <v>13</v>
      </c>
      <c r="C4" s="2" t="s">
        <v>14</v>
      </c>
      <c r="D4" s="2" t="s">
        <v>70</v>
      </c>
      <c r="F4" s="10" t="s">
        <v>96</v>
      </c>
    </row>
    <row r="5" spans="1:6" ht="15" customHeight="1" x14ac:dyDescent="0.25">
      <c r="A5" s="8" t="s">
        <v>15</v>
      </c>
      <c r="B5" s="4" t="s">
        <v>16</v>
      </c>
      <c r="C5" s="3" t="s">
        <v>17</v>
      </c>
      <c r="D5" s="3" t="s">
        <v>6</v>
      </c>
      <c r="F5" t="s">
        <v>97</v>
      </c>
    </row>
    <row r="6" spans="1:6" ht="15" customHeight="1" x14ac:dyDescent="0.25">
      <c r="A6" s="8"/>
      <c r="B6" s="4"/>
      <c r="C6" s="3"/>
      <c r="D6" s="3" t="s">
        <v>67</v>
      </c>
      <c r="F6" t="s">
        <v>98</v>
      </c>
    </row>
    <row r="7" spans="1:6" x14ac:dyDescent="0.25">
      <c r="A7" s="6"/>
      <c r="B7" s="4"/>
      <c r="C7" s="3" t="s">
        <v>18</v>
      </c>
      <c r="D7" s="3"/>
      <c r="F7" t="s">
        <v>99</v>
      </c>
    </row>
    <row r="8" spans="1:6" x14ac:dyDescent="0.25">
      <c r="A8" s="6"/>
      <c r="B8" s="4"/>
      <c r="C8" s="3" t="s">
        <v>19</v>
      </c>
      <c r="D8" s="3"/>
      <c r="F8" t="s">
        <v>100</v>
      </c>
    </row>
    <row r="9" spans="1:6" x14ac:dyDescent="0.25">
      <c r="A9" s="6"/>
      <c r="B9" s="4"/>
      <c r="C9" s="3" t="s">
        <v>20</v>
      </c>
      <c r="D9" s="3"/>
      <c r="F9" t="s">
        <v>101</v>
      </c>
    </row>
    <row r="10" spans="1:6" x14ac:dyDescent="0.25">
      <c r="A10" s="6"/>
      <c r="B10" s="4"/>
      <c r="C10" s="3" t="s">
        <v>140</v>
      </c>
      <c r="D10" s="3"/>
      <c r="F10" t="s">
        <v>102</v>
      </c>
    </row>
    <row r="11" spans="1:6" x14ac:dyDescent="0.25">
      <c r="A11" s="6"/>
      <c r="B11" s="4"/>
      <c r="C11" s="3" t="s">
        <v>21</v>
      </c>
      <c r="D11" s="3"/>
      <c r="F11" t="s">
        <v>103</v>
      </c>
    </row>
    <row r="12" spans="1:6" x14ac:dyDescent="0.25">
      <c r="A12" s="6"/>
      <c r="B12" s="4" t="s">
        <v>22</v>
      </c>
      <c r="C12" s="3" t="s">
        <v>23</v>
      </c>
      <c r="D12" s="3" t="s">
        <v>68</v>
      </c>
      <c r="F12" t="s">
        <v>104</v>
      </c>
    </row>
    <row r="13" spans="1:6" x14ac:dyDescent="0.25">
      <c r="A13" s="6"/>
      <c r="B13" s="4"/>
      <c r="C13" s="3"/>
      <c r="D13" s="3" t="s">
        <v>69</v>
      </c>
      <c r="F13" t="s">
        <v>105</v>
      </c>
    </row>
    <row r="14" spans="1:6" x14ac:dyDescent="0.25">
      <c r="A14" s="6"/>
      <c r="B14" s="4"/>
      <c r="C14" s="3" t="s">
        <v>24</v>
      </c>
      <c r="D14" s="3"/>
      <c r="F14" t="s">
        <v>106</v>
      </c>
    </row>
    <row r="15" spans="1:6" x14ac:dyDescent="0.25">
      <c r="A15" s="6"/>
      <c r="B15" s="4"/>
      <c r="C15" s="3" t="s">
        <v>25</v>
      </c>
      <c r="D15" s="3"/>
      <c r="F15" t="s">
        <v>107</v>
      </c>
    </row>
    <row r="16" spans="1:6" x14ac:dyDescent="0.25">
      <c r="A16" s="6"/>
      <c r="B16" s="4"/>
      <c r="C16" s="3" t="s">
        <v>26</v>
      </c>
      <c r="D16" s="3"/>
      <c r="F16" t="s">
        <v>108</v>
      </c>
    </row>
    <row r="17" spans="1:6" x14ac:dyDescent="0.25">
      <c r="A17" s="6"/>
      <c r="B17" s="4"/>
      <c r="C17" s="3" t="s">
        <v>141</v>
      </c>
      <c r="D17" s="3"/>
      <c r="F17" t="s">
        <v>110</v>
      </c>
    </row>
    <row r="18" spans="1:6" x14ac:dyDescent="0.25">
      <c r="A18" s="6"/>
      <c r="B18" s="4"/>
      <c r="C18" s="3" t="s">
        <v>27</v>
      </c>
      <c r="D18" s="3"/>
      <c r="F18" t="s">
        <v>111</v>
      </c>
    </row>
    <row r="19" spans="1:6" x14ac:dyDescent="0.25">
      <c r="A19" s="6"/>
      <c r="B19" s="4"/>
      <c r="C19" s="3" t="s">
        <v>28</v>
      </c>
      <c r="D19" s="3"/>
      <c r="F19" t="s">
        <v>112</v>
      </c>
    </row>
    <row r="20" spans="1:6" x14ac:dyDescent="0.25">
      <c r="A20" s="6"/>
      <c r="B20" s="4" t="s">
        <v>657</v>
      </c>
      <c r="C20" s="3" t="s">
        <v>23</v>
      </c>
      <c r="D20" s="3" t="s">
        <v>68</v>
      </c>
      <c r="F20" t="s">
        <v>113</v>
      </c>
    </row>
    <row r="21" spans="1:6" x14ac:dyDescent="0.25">
      <c r="A21" s="6"/>
      <c r="B21" s="4"/>
      <c r="C21" s="3"/>
      <c r="D21" s="3" t="s">
        <v>69</v>
      </c>
      <c r="F21" t="s">
        <v>114</v>
      </c>
    </row>
    <row r="22" spans="1:6" x14ac:dyDescent="0.25">
      <c r="A22" s="6"/>
      <c r="B22" s="4"/>
      <c r="C22" s="3" t="s">
        <v>24</v>
      </c>
      <c r="D22" s="3"/>
      <c r="F22" t="s">
        <v>115</v>
      </c>
    </row>
    <row r="23" spans="1:6" x14ac:dyDescent="0.25">
      <c r="A23" s="6"/>
      <c r="B23" s="4"/>
      <c r="C23" s="3" t="s">
        <v>25</v>
      </c>
      <c r="D23" s="3"/>
      <c r="F23" t="s">
        <v>116</v>
      </c>
    </row>
    <row r="24" spans="1:6" x14ac:dyDescent="0.25">
      <c r="A24" s="6"/>
      <c r="B24" s="4"/>
      <c r="C24" s="3" t="s">
        <v>26</v>
      </c>
      <c r="D24" s="3"/>
      <c r="F24" t="s">
        <v>117</v>
      </c>
    </row>
    <row r="25" spans="1:6" x14ac:dyDescent="0.25">
      <c r="A25" s="6"/>
      <c r="B25" s="4"/>
      <c r="C25" s="3" t="s">
        <v>141</v>
      </c>
      <c r="D25" s="3"/>
      <c r="F25" t="s">
        <v>118</v>
      </c>
    </row>
    <row r="26" spans="1:6" x14ac:dyDescent="0.25">
      <c r="A26" s="6"/>
      <c r="B26" s="4"/>
      <c r="C26" s="3" t="s">
        <v>27</v>
      </c>
      <c r="D26" s="3"/>
      <c r="F26" t="s">
        <v>119</v>
      </c>
    </row>
    <row r="27" spans="1:6" x14ac:dyDescent="0.25">
      <c r="A27" s="6"/>
      <c r="B27" s="4"/>
      <c r="C27" s="3" t="s">
        <v>28</v>
      </c>
      <c r="D27" s="3"/>
      <c r="F27" t="s">
        <v>62</v>
      </c>
    </row>
    <row r="28" spans="1:6" ht="16.5" customHeight="1" x14ac:dyDescent="0.25">
      <c r="A28" s="8" t="s">
        <v>29</v>
      </c>
      <c r="B28" s="4" t="s">
        <v>30</v>
      </c>
      <c r="C28" s="3" t="s">
        <v>31</v>
      </c>
      <c r="D28" s="3"/>
      <c r="F28" t="s">
        <v>63</v>
      </c>
    </row>
    <row r="29" spans="1:6" x14ac:dyDescent="0.25">
      <c r="A29" s="6"/>
      <c r="B29" s="4"/>
      <c r="C29" s="3" t="s">
        <v>32</v>
      </c>
      <c r="D29" s="3" t="s">
        <v>71</v>
      </c>
      <c r="F29" t="s">
        <v>120</v>
      </c>
    </row>
    <row r="30" spans="1:6" x14ac:dyDescent="0.25">
      <c r="A30" s="6"/>
      <c r="B30" s="4"/>
      <c r="C30" s="3"/>
      <c r="D30" s="3" t="s">
        <v>72</v>
      </c>
    </row>
    <row r="31" spans="1:6" x14ac:dyDescent="0.25">
      <c r="A31" s="6"/>
      <c r="B31" s="4"/>
      <c r="C31" s="3"/>
      <c r="D31" s="3" t="s">
        <v>73</v>
      </c>
      <c r="F31" t="s">
        <v>1</v>
      </c>
    </row>
    <row r="32" spans="1:6" x14ac:dyDescent="0.25">
      <c r="A32" s="6"/>
      <c r="B32" s="4"/>
      <c r="C32" s="3"/>
      <c r="D32" s="3" t="s">
        <v>74</v>
      </c>
      <c r="F32" t="s">
        <v>97</v>
      </c>
    </row>
    <row r="33" spans="1:6" x14ac:dyDescent="0.25">
      <c r="A33" s="6"/>
      <c r="B33" s="4"/>
      <c r="C33" s="3"/>
      <c r="D33" s="3" t="s">
        <v>75</v>
      </c>
      <c r="F33" t="s">
        <v>98</v>
      </c>
    </row>
    <row r="34" spans="1:6" x14ac:dyDescent="0.25">
      <c r="A34" s="6"/>
      <c r="B34" s="4" t="s">
        <v>33</v>
      </c>
      <c r="C34" s="3" t="s">
        <v>34</v>
      </c>
      <c r="D34" s="3"/>
    </row>
    <row r="35" spans="1:6" x14ac:dyDescent="0.25">
      <c r="A35" s="6"/>
      <c r="B35" s="4"/>
      <c r="C35" s="3" t="s">
        <v>35</v>
      </c>
      <c r="D35" s="3" t="s">
        <v>76</v>
      </c>
    </row>
    <row r="36" spans="1:6" x14ac:dyDescent="0.25">
      <c r="A36" s="6"/>
      <c r="B36" s="4"/>
      <c r="C36" s="3"/>
      <c r="D36" s="3" t="s">
        <v>77</v>
      </c>
      <c r="F36" t="s">
        <v>122</v>
      </c>
    </row>
    <row r="37" spans="1:6" x14ac:dyDescent="0.25">
      <c r="A37" s="6"/>
      <c r="B37" s="4"/>
      <c r="C37" s="3"/>
      <c r="D37" s="3" t="s">
        <v>78</v>
      </c>
      <c r="F37" t="s">
        <v>123</v>
      </c>
    </row>
    <row r="38" spans="1:6" x14ac:dyDescent="0.25">
      <c r="A38" s="6"/>
      <c r="B38" s="4"/>
      <c r="C38" s="3"/>
      <c r="D38" s="3" t="s">
        <v>79</v>
      </c>
      <c r="F38" t="s">
        <v>135</v>
      </c>
    </row>
    <row r="39" spans="1:6" x14ac:dyDescent="0.25">
      <c r="A39" s="6"/>
      <c r="B39" s="4"/>
      <c r="C39" s="3"/>
      <c r="D39" s="3" t="s">
        <v>80</v>
      </c>
      <c r="F39" t="s">
        <v>136</v>
      </c>
    </row>
    <row r="40" spans="1:6" x14ac:dyDescent="0.25">
      <c r="A40" s="6"/>
      <c r="B40" s="106" t="s">
        <v>36</v>
      </c>
      <c r="C40" s="3" t="s">
        <v>37</v>
      </c>
      <c r="D40" s="3"/>
      <c r="F40" t="s">
        <v>137</v>
      </c>
    </row>
    <row r="41" spans="1:6" x14ac:dyDescent="0.25">
      <c r="A41" s="6"/>
      <c r="B41" s="106"/>
      <c r="C41" s="3" t="s">
        <v>38</v>
      </c>
      <c r="D41" s="3" t="s">
        <v>81</v>
      </c>
      <c r="F41" t="s">
        <v>307</v>
      </c>
    </row>
    <row r="42" spans="1:6" x14ac:dyDescent="0.25">
      <c r="A42" s="6"/>
      <c r="B42" s="4"/>
      <c r="C42" s="3"/>
      <c r="D42" s="3" t="s">
        <v>82</v>
      </c>
      <c r="F42" t="s">
        <v>3</v>
      </c>
    </row>
    <row r="43" spans="1:6" x14ac:dyDescent="0.25">
      <c r="A43" s="6"/>
      <c r="B43" s="4"/>
      <c r="C43" s="3"/>
      <c r="D43" s="3" t="s">
        <v>83</v>
      </c>
      <c r="F43" t="s">
        <v>124</v>
      </c>
    </row>
    <row r="44" spans="1:6" x14ac:dyDescent="0.25">
      <c r="A44" s="6"/>
      <c r="B44" s="4"/>
      <c r="C44" s="3"/>
      <c r="D44" s="3" t="s">
        <v>84</v>
      </c>
      <c r="F44" t="s">
        <v>125</v>
      </c>
    </row>
    <row r="45" spans="1:6" x14ac:dyDescent="0.25">
      <c r="A45" s="6"/>
      <c r="B45" s="4"/>
      <c r="C45" s="3"/>
      <c r="D45" s="3" t="s">
        <v>85</v>
      </c>
      <c r="F45" t="s">
        <v>126</v>
      </c>
    </row>
    <row r="46" spans="1:6" x14ac:dyDescent="0.25">
      <c r="A46" s="6"/>
      <c r="B46" s="4" t="s">
        <v>39</v>
      </c>
      <c r="C46" s="5" t="s">
        <v>39</v>
      </c>
      <c r="D46" s="5"/>
      <c r="F46" t="s">
        <v>127</v>
      </c>
    </row>
    <row r="47" spans="1:6" ht="14.25" customHeight="1" x14ac:dyDescent="0.25">
      <c r="A47" s="6"/>
      <c r="B47" s="4" t="s">
        <v>40</v>
      </c>
      <c r="C47" s="3" t="s">
        <v>41</v>
      </c>
      <c r="D47" s="3"/>
      <c r="F47" t="s">
        <v>128</v>
      </c>
    </row>
    <row r="48" spans="1:6" x14ac:dyDescent="0.25">
      <c r="A48" s="6"/>
      <c r="B48" s="4"/>
      <c r="C48" s="3" t="s">
        <v>42</v>
      </c>
      <c r="D48" s="3" t="s">
        <v>86</v>
      </c>
      <c r="F48" t="s">
        <v>129</v>
      </c>
    </row>
    <row r="49" spans="1:7" x14ac:dyDescent="0.25">
      <c r="A49" s="6"/>
      <c r="B49" s="4"/>
      <c r="C49" s="3"/>
      <c r="D49" s="3" t="s">
        <v>87</v>
      </c>
      <c r="F49" t="s">
        <v>130</v>
      </c>
    </row>
    <row r="50" spans="1:7" x14ac:dyDescent="0.25">
      <c r="A50" s="6"/>
      <c r="B50" s="4"/>
      <c r="C50" s="3"/>
      <c r="D50" s="3" t="s">
        <v>88</v>
      </c>
      <c r="F50" t="s">
        <v>131</v>
      </c>
    </row>
    <row r="51" spans="1:7" x14ac:dyDescent="0.25">
      <c r="A51" s="6"/>
      <c r="B51" s="4"/>
      <c r="C51" s="3"/>
      <c r="D51" s="3" t="s">
        <v>89</v>
      </c>
      <c r="F51" t="s">
        <v>132</v>
      </c>
    </row>
    <row r="52" spans="1:7" x14ac:dyDescent="0.25">
      <c r="A52" s="6"/>
      <c r="B52" s="4"/>
      <c r="C52" s="3"/>
      <c r="D52" s="3" t="s">
        <v>90</v>
      </c>
      <c r="F52" t="s">
        <v>134</v>
      </c>
    </row>
    <row r="53" spans="1:7" x14ac:dyDescent="0.25">
      <c r="A53" s="6"/>
      <c r="B53" s="4" t="s">
        <v>43</v>
      </c>
      <c r="C53" s="3" t="s">
        <v>109</v>
      </c>
      <c r="D53" s="3"/>
      <c r="F53" t="s">
        <v>133</v>
      </c>
    </row>
    <row r="54" spans="1:7" x14ac:dyDescent="0.25">
      <c r="A54" s="6"/>
      <c r="B54" s="4"/>
      <c r="C54" s="3" t="s">
        <v>44</v>
      </c>
      <c r="D54" s="3" t="s">
        <v>91</v>
      </c>
    </row>
    <row r="55" spans="1:7" x14ac:dyDescent="0.25">
      <c r="A55" s="6"/>
      <c r="B55" s="4"/>
      <c r="C55" s="3"/>
      <c r="D55" s="3" t="s">
        <v>92</v>
      </c>
      <c r="F55" t="s">
        <v>294</v>
      </c>
    </row>
    <row r="56" spans="1:7" x14ac:dyDescent="0.25">
      <c r="A56" s="6"/>
      <c r="B56" s="4"/>
      <c r="C56" s="3"/>
      <c r="D56" s="3" t="s">
        <v>93</v>
      </c>
      <c r="F56" t="s">
        <v>295</v>
      </c>
    </row>
    <row r="57" spans="1:7" x14ac:dyDescent="0.25">
      <c r="A57" s="6"/>
      <c r="B57" s="4"/>
      <c r="C57" s="3"/>
      <c r="D57" s="3" t="s">
        <v>94</v>
      </c>
      <c r="F57" t="s">
        <v>296</v>
      </c>
    </row>
    <row r="58" spans="1:7" x14ac:dyDescent="0.25">
      <c r="A58" s="6"/>
      <c r="B58" s="4"/>
      <c r="C58" s="3"/>
      <c r="D58" s="3" t="s">
        <v>95</v>
      </c>
      <c r="F58" t="s">
        <v>297</v>
      </c>
    </row>
    <row r="59" spans="1:7" ht="15" customHeight="1" x14ac:dyDescent="0.25">
      <c r="A59" s="9" t="s">
        <v>369</v>
      </c>
      <c r="B59" s="4" t="s">
        <v>45</v>
      </c>
      <c r="C59" s="3" t="s">
        <v>46</v>
      </c>
      <c r="D59" s="3"/>
      <c r="F59" t="s">
        <v>303</v>
      </c>
    </row>
    <row r="60" spans="1:7" x14ac:dyDescent="0.25">
      <c r="A60" s="7"/>
      <c r="B60" s="4"/>
      <c r="C60" s="3" t="s">
        <v>47</v>
      </c>
      <c r="D60" s="3"/>
      <c r="F60" t="s">
        <v>299</v>
      </c>
    </row>
    <row r="61" spans="1:7" x14ac:dyDescent="0.25">
      <c r="A61" s="7"/>
      <c r="B61" s="4"/>
      <c r="C61" s="3" t="s">
        <v>48</v>
      </c>
      <c r="D61" s="3"/>
      <c r="F61" t="s">
        <v>300</v>
      </c>
    </row>
    <row r="62" spans="1:7" x14ac:dyDescent="0.25">
      <c r="A62" s="7"/>
      <c r="B62" s="4"/>
      <c r="C62" s="3" t="s">
        <v>49</v>
      </c>
      <c r="D62" s="3"/>
      <c r="F62" t="s">
        <v>301</v>
      </c>
    </row>
    <row r="63" spans="1:7" x14ac:dyDescent="0.25">
      <c r="A63" s="7"/>
      <c r="B63" s="4"/>
      <c r="C63" s="3" t="s">
        <v>50</v>
      </c>
      <c r="D63" s="3"/>
      <c r="F63" t="s">
        <v>302</v>
      </c>
    </row>
    <row r="64" spans="1:7" x14ac:dyDescent="0.25">
      <c r="A64" s="7"/>
      <c r="B64" s="4"/>
      <c r="C64" s="3" t="s">
        <v>51</v>
      </c>
      <c r="D64" s="3"/>
      <c r="F64" t="s">
        <v>304</v>
      </c>
      <c r="G64" t="s">
        <v>306</v>
      </c>
    </row>
    <row r="65" spans="1:6" x14ac:dyDescent="0.25">
      <c r="A65" s="7"/>
      <c r="B65" s="4" t="s">
        <v>52</v>
      </c>
      <c r="C65" s="3" t="s">
        <v>46</v>
      </c>
      <c r="D65" s="3"/>
      <c r="F65" t="s">
        <v>98</v>
      </c>
    </row>
    <row r="66" spans="1:6" x14ac:dyDescent="0.25">
      <c r="A66" s="7"/>
      <c r="B66" s="4"/>
      <c r="C66" s="3" t="s">
        <v>47</v>
      </c>
      <c r="D66" s="3"/>
    </row>
    <row r="67" spans="1:6" x14ac:dyDescent="0.25">
      <c r="A67" s="7"/>
      <c r="B67" s="4"/>
      <c r="C67" s="3" t="s">
        <v>48</v>
      </c>
      <c r="D67" s="3"/>
      <c r="F67" t="s">
        <v>786</v>
      </c>
    </row>
    <row r="68" spans="1:6" x14ac:dyDescent="0.25">
      <c r="A68" s="7"/>
      <c r="B68" s="4"/>
      <c r="C68" s="3" t="s">
        <v>49</v>
      </c>
      <c r="D68" s="3"/>
      <c r="F68" t="s">
        <v>787</v>
      </c>
    </row>
    <row r="69" spans="1:6" x14ac:dyDescent="0.25">
      <c r="A69" s="7"/>
      <c r="B69" s="4"/>
      <c r="C69" s="3" t="s">
        <v>50</v>
      </c>
      <c r="D69" s="3"/>
      <c r="F69" t="s">
        <v>788</v>
      </c>
    </row>
    <row r="70" spans="1:6" x14ac:dyDescent="0.25">
      <c r="A70" s="7"/>
      <c r="B70" s="4"/>
      <c r="C70" s="3" t="s">
        <v>51</v>
      </c>
      <c r="D70" s="3"/>
      <c r="F70" t="s">
        <v>789</v>
      </c>
    </row>
    <row r="71" spans="1:6" x14ac:dyDescent="0.25">
      <c r="A71" s="7"/>
      <c r="B71" s="3" t="s">
        <v>53</v>
      </c>
      <c r="C71" s="5" t="s">
        <v>53</v>
      </c>
      <c r="D71" s="5"/>
      <c r="F71" t="s">
        <v>790</v>
      </c>
    </row>
    <row r="72" spans="1:6" x14ac:dyDescent="0.25">
      <c r="A72" s="7"/>
      <c r="B72" s="3" t="s">
        <v>54</v>
      </c>
      <c r="C72" s="5" t="s">
        <v>54</v>
      </c>
      <c r="D72" s="5"/>
      <c r="F72" t="s">
        <v>791</v>
      </c>
    </row>
    <row r="73" spans="1:6" ht="24.75" customHeight="1" x14ac:dyDescent="0.25">
      <c r="A73" s="7"/>
      <c r="B73" s="4" t="s">
        <v>55</v>
      </c>
      <c r="C73" s="3" t="s">
        <v>56</v>
      </c>
      <c r="D73" s="3"/>
    </row>
    <row r="74" spans="1:6" x14ac:dyDescent="0.25">
      <c r="A74" s="7"/>
      <c r="B74" s="4"/>
      <c r="C74" s="3" t="s">
        <v>57</v>
      </c>
      <c r="D74" s="3"/>
    </row>
    <row r="75" spans="1:6" x14ac:dyDescent="0.25">
      <c r="A75" s="7"/>
      <c r="B75" s="4"/>
      <c r="C75" s="3" t="s">
        <v>58</v>
      </c>
      <c r="D75" s="3"/>
    </row>
    <row r="76" spans="1:6" x14ac:dyDescent="0.25">
      <c r="A76" s="7"/>
      <c r="B76" s="4"/>
      <c r="C76" s="3" t="s">
        <v>59</v>
      </c>
      <c r="D76" s="3"/>
    </row>
    <row r="77" spans="1:6" x14ac:dyDescent="0.25">
      <c r="A77" s="7"/>
      <c r="B77" s="4"/>
      <c r="C77" s="3" t="s">
        <v>60</v>
      </c>
      <c r="D77" s="3"/>
    </row>
    <row r="78" spans="1:6" ht="16.5" customHeight="1" x14ac:dyDescent="0.25">
      <c r="A78" s="7"/>
      <c r="B78" s="4" t="s">
        <v>61</v>
      </c>
      <c r="C78" s="3" t="s">
        <v>62</v>
      </c>
      <c r="D78" s="3"/>
    </row>
    <row r="79" spans="1:6" x14ac:dyDescent="0.25">
      <c r="A79" s="7"/>
      <c r="B79" s="4"/>
      <c r="C79" s="3" t="s">
        <v>63</v>
      </c>
      <c r="D79" s="3"/>
    </row>
    <row r="80" spans="1:6" x14ac:dyDescent="0.25">
      <c r="A80" s="7"/>
      <c r="B80" s="4" t="s">
        <v>64</v>
      </c>
      <c r="C80" s="3" t="s">
        <v>62</v>
      </c>
      <c r="D80" s="3"/>
    </row>
    <row r="81" spans="1:4" x14ac:dyDescent="0.25">
      <c r="A81" s="7"/>
      <c r="B81" s="4"/>
      <c r="C81" s="3" t="s">
        <v>63</v>
      </c>
      <c r="D81" s="3"/>
    </row>
    <row r="82" spans="1:4" x14ac:dyDescent="0.25">
      <c r="A82" s="3" t="s">
        <v>65</v>
      </c>
      <c r="B82" s="3" t="s">
        <v>66</v>
      </c>
      <c r="C82" s="5" t="s">
        <v>66</v>
      </c>
      <c r="D82" s="5"/>
    </row>
  </sheetData>
  <mergeCells count="2">
    <mergeCell ref="B40:B41"/>
    <mergeCell ref="A3:D3"/>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5"/>
  </sheetPr>
  <dimension ref="A1:BP7"/>
  <sheetViews>
    <sheetView topLeftCell="H1" workbookViewId="0">
      <selection activeCell="Z4" sqref="Z4"/>
    </sheetView>
  </sheetViews>
  <sheetFormatPr defaultRowHeight="15" outlineLevelCol="1" x14ac:dyDescent="0.25"/>
  <cols>
    <col min="1" max="1" width="19.140625" customWidth="1"/>
    <col min="2" max="2" width="12.85546875" customWidth="1"/>
    <col min="3" max="3" width="28.5703125" customWidth="1"/>
    <col min="4" max="23" width="12.7109375" customWidth="1" outlineLevel="1"/>
    <col min="24" max="30" width="12.7109375" customWidth="1"/>
    <col min="31" max="31" width="13.85546875" customWidth="1"/>
    <col min="32" max="34" width="12.7109375" customWidth="1"/>
  </cols>
  <sheetData>
    <row r="1" spans="1:68" ht="18.75" x14ac:dyDescent="0.3">
      <c r="A1" s="1" t="s">
        <v>316</v>
      </c>
    </row>
    <row r="2" spans="1:68" x14ac:dyDescent="0.25">
      <c r="X2">
        <v>1</v>
      </c>
      <c r="Y2">
        <v>2</v>
      </c>
      <c r="Z2">
        <v>3</v>
      </c>
      <c r="AA2">
        <v>4</v>
      </c>
      <c r="AB2">
        <v>5</v>
      </c>
      <c r="AC2">
        <v>6</v>
      </c>
      <c r="AD2">
        <v>7</v>
      </c>
      <c r="AE2">
        <v>8</v>
      </c>
      <c r="AF2">
        <v>9</v>
      </c>
      <c r="AG2">
        <v>10</v>
      </c>
      <c r="AH2">
        <v>11</v>
      </c>
      <c r="AI2">
        <v>12</v>
      </c>
      <c r="AJ2">
        <v>13</v>
      </c>
      <c r="AK2">
        <v>14</v>
      </c>
      <c r="AL2">
        <v>15</v>
      </c>
      <c r="AM2">
        <v>16</v>
      </c>
      <c r="AN2">
        <v>17</v>
      </c>
      <c r="AO2">
        <v>18</v>
      </c>
      <c r="AP2">
        <v>19</v>
      </c>
      <c r="AQ2">
        <v>20</v>
      </c>
      <c r="AR2">
        <v>21</v>
      </c>
      <c r="AS2">
        <v>22</v>
      </c>
      <c r="AT2">
        <v>23</v>
      </c>
      <c r="AU2">
        <v>24</v>
      </c>
      <c r="AV2">
        <v>25</v>
      </c>
      <c r="AW2">
        <v>26</v>
      </c>
      <c r="AX2">
        <v>27</v>
      </c>
      <c r="AY2">
        <v>28</v>
      </c>
      <c r="AZ2">
        <v>29</v>
      </c>
      <c r="BA2">
        <v>30</v>
      </c>
      <c r="BB2">
        <v>31</v>
      </c>
      <c r="BC2">
        <v>32</v>
      </c>
      <c r="BD2">
        <v>33</v>
      </c>
      <c r="BE2">
        <v>34</v>
      </c>
      <c r="BF2">
        <v>35</v>
      </c>
      <c r="BG2">
        <v>36</v>
      </c>
      <c r="BH2">
        <v>37</v>
      </c>
      <c r="BI2">
        <v>38</v>
      </c>
      <c r="BJ2">
        <v>39</v>
      </c>
      <c r="BK2">
        <v>40</v>
      </c>
      <c r="BL2">
        <v>41</v>
      </c>
    </row>
    <row r="3" spans="1:68" s="19" customFormat="1" ht="29.25" customHeight="1" x14ac:dyDescent="0.25">
      <c r="A3" s="17" t="s">
        <v>317</v>
      </c>
      <c r="B3" s="17" t="s">
        <v>0</v>
      </c>
      <c r="C3" s="17" t="s">
        <v>283</v>
      </c>
      <c r="D3" s="17">
        <v>1990</v>
      </c>
      <c r="E3" s="17">
        <v>1991</v>
      </c>
      <c r="F3" s="17">
        <v>1992</v>
      </c>
      <c r="G3" s="17">
        <v>1993</v>
      </c>
      <c r="H3" s="17">
        <v>1994</v>
      </c>
      <c r="I3" s="17">
        <v>1995</v>
      </c>
      <c r="J3" s="17">
        <v>1996</v>
      </c>
      <c r="K3" s="17">
        <v>1997</v>
      </c>
      <c r="L3" s="17">
        <v>1998</v>
      </c>
      <c r="M3" s="17">
        <v>1999</v>
      </c>
      <c r="N3" s="17">
        <v>2000</v>
      </c>
      <c r="O3" s="17">
        <v>2001</v>
      </c>
      <c r="P3" s="17">
        <v>2002</v>
      </c>
      <c r="Q3" s="17">
        <v>2003</v>
      </c>
      <c r="R3" s="17">
        <v>2004</v>
      </c>
      <c r="S3" s="17">
        <v>2005</v>
      </c>
      <c r="T3" s="17">
        <v>2006</v>
      </c>
      <c r="U3" s="17">
        <v>2007</v>
      </c>
      <c r="V3" s="17">
        <v>2008</v>
      </c>
      <c r="W3" s="17">
        <v>2009</v>
      </c>
      <c r="X3" s="17">
        <v>2010</v>
      </c>
      <c r="Y3" s="17">
        <v>2011</v>
      </c>
      <c r="Z3" s="17">
        <v>2012</v>
      </c>
      <c r="AA3" s="17">
        <v>2013</v>
      </c>
      <c r="AB3" s="17">
        <v>2014</v>
      </c>
      <c r="AC3" s="17">
        <v>2015</v>
      </c>
      <c r="AD3" s="17">
        <v>2016</v>
      </c>
      <c r="AE3" s="17">
        <v>2017</v>
      </c>
      <c r="AF3" s="17">
        <v>2018</v>
      </c>
      <c r="AG3" s="17">
        <v>2019</v>
      </c>
      <c r="AH3" s="17">
        <v>2020</v>
      </c>
      <c r="AI3" s="17">
        <v>2021</v>
      </c>
      <c r="AJ3" s="17">
        <v>2022</v>
      </c>
      <c r="AK3" s="17">
        <v>2023</v>
      </c>
      <c r="AL3" s="17">
        <v>2024</v>
      </c>
      <c r="AM3" s="17">
        <v>2025</v>
      </c>
      <c r="AN3" s="17">
        <v>2026</v>
      </c>
      <c r="AO3" s="17">
        <v>2027</v>
      </c>
      <c r="AP3" s="17">
        <v>2028</v>
      </c>
      <c r="AQ3" s="17">
        <v>2029</v>
      </c>
      <c r="AR3" s="17">
        <v>2030</v>
      </c>
      <c r="AS3" s="17">
        <v>2031</v>
      </c>
      <c r="AT3" s="17">
        <v>2032</v>
      </c>
      <c r="AU3" s="17">
        <v>2033</v>
      </c>
      <c r="AV3" s="17">
        <v>2034</v>
      </c>
      <c r="AW3" s="17">
        <v>2035</v>
      </c>
      <c r="AX3" s="17">
        <v>2036</v>
      </c>
      <c r="AY3" s="17">
        <v>2037</v>
      </c>
      <c r="AZ3" s="17">
        <v>2038</v>
      </c>
      <c r="BA3" s="17">
        <v>2039</v>
      </c>
      <c r="BB3" s="17">
        <v>2040</v>
      </c>
      <c r="BC3" s="17">
        <v>2041</v>
      </c>
      <c r="BD3" s="17">
        <v>2042</v>
      </c>
      <c r="BE3" s="17">
        <v>2043</v>
      </c>
      <c r="BF3" s="17">
        <v>2044</v>
      </c>
      <c r="BG3" s="17">
        <v>2045</v>
      </c>
      <c r="BH3" s="17">
        <v>2046</v>
      </c>
      <c r="BI3" s="17">
        <v>2047</v>
      </c>
      <c r="BJ3" s="17">
        <v>2048</v>
      </c>
      <c r="BK3" s="17">
        <v>2049</v>
      </c>
      <c r="BL3" s="17">
        <v>2050</v>
      </c>
      <c r="BO3" s="18" t="s">
        <v>308</v>
      </c>
      <c r="BP3" s="17" t="s">
        <v>282</v>
      </c>
    </row>
    <row r="4" spans="1:68" x14ac:dyDescent="0.25">
      <c r="A4" t="s">
        <v>1</v>
      </c>
      <c r="B4" t="s">
        <v>323</v>
      </c>
      <c r="C4" t="s">
        <v>748</v>
      </c>
      <c r="D4" s="21">
        <v>36800509</v>
      </c>
      <c r="E4" s="21">
        <v>37718950</v>
      </c>
      <c r="F4" s="21">
        <v>38672607</v>
      </c>
      <c r="G4" s="21">
        <v>39633750</v>
      </c>
      <c r="H4" s="21">
        <v>40564059</v>
      </c>
      <c r="I4" s="21">
        <v>41435758</v>
      </c>
      <c r="J4" s="21">
        <v>42241011</v>
      </c>
      <c r="K4" s="21">
        <v>42987461</v>
      </c>
      <c r="L4" s="21">
        <v>43682260</v>
      </c>
      <c r="M4" s="21">
        <v>44338543</v>
      </c>
      <c r="N4" s="21">
        <v>44967708</v>
      </c>
      <c r="O4" s="21">
        <v>45571274</v>
      </c>
      <c r="P4" s="21">
        <v>46150913</v>
      </c>
      <c r="Q4" s="21">
        <v>46719196</v>
      </c>
      <c r="R4" s="21">
        <v>47291610</v>
      </c>
      <c r="S4" s="21">
        <v>47880601</v>
      </c>
      <c r="T4" s="21">
        <v>48489459</v>
      </c>
      <c r="U4" s="21">
        <v>49119759</v>
      </c>
      <c r="V4" s="21">
        <v>49779471</v>
      </c>
      <c r="W4" s="21">
        <v>50477011</v>
      </c>
      <c r="X4" s="21">
        <v>51216964</v>
      </c>
      <c r="Y4" s="21">
        <v>52004172</v>
      </c>
      <c r="Z4" s="22">
        <f>DriversCGE!A35*1000</f>
        <v>52325432.882070079</v>
      </c>
      <c r="AA4" s="22">
        <f>DriversCGE!B35*1000</f>
        <v>53104386.458423346</v>
      </c>
      <c r="AB4" s="22">
        <f>DriversCGE!C35*1000</f>
        <v>53912365.691429272</v>
      </c>
      <c r="AC4" s="22">
        <f>DriversCGE!D35*1000</f>
        <v>54750491.457321115</v>
      </c>
      <c r="AD4" s="22">
        <f>DriversCGE!E35*1000</f>
        <v>55619940.469824828</v>
      </c>
      <c r="AE4" s="22">
        <f>DriversCGE!F35*1000</f>
        <v>56521948.041648097</v>
      </c>
      <c r="AF4" s="22">
        <f>DriversCGE!G35*1000</f>
        <v>57436000.617299661</v>
      </c>
      <c r="AG4" s="22">
        <f>DriversCGE!H35*1000</f>
        <v>58364834.921819441</v>
      </c>
      <c r="AH4" s="22">
        <f>DriversCGE!I35*1000</f>
        <v>59308690</v>
      </c>
      <c r="AI4" s="22">
        <f>DriversCGE!J35*1000</f>
        <v>59991580.449204266</v>
      </c>
      <c r="AJ4" s="22">
        <f>DriversCGE!K35*1000</f>
        <v>60682333.816399373</v>
      </c>
      <c r="AK4" s="22">
        <f>DriversCGE!L35*1000</f>
        <v>61381040.636574373</v>
      </c>
      <c r="AL4" s="22">
        <f>DriversCGE!M35*1000</f>
        <v>62087792.487153694</v>
      </c>
      <c r="AM4" s="22">
        <f>DriversCGE!N35*1000</f>
        <v>62802682.000000022</v>
      </c>
      <c r="AN4" s="22">
        <f>DriversCGE!O35*1000</f>
        <v>63421065.342005149</v>
      </c>
      <c r="AO4" s="22">
        <f>DriversCGE!P35*1000</f>
        <v>64045537.563425794</v>
      </c>
      <c r="AP4" s="22">
        <f>DriversCGE!Q35*1000</f>
        <v>64676158.618096448</v>
      </c>
      <c r="AQ4" s="22">
        <f>DriversCGE!R35*1000</f>
        <v>65312989.050183922</v>
      </c>
      <c r="AR4" s="22">
        <f>DriversCGE!S35*1000</f>
        <v>65956090</v>
      </c>
      <c r="AS4" s="22">
        <f>DriversCGE!T35*1000</f>
        <v>66518977.190687671</v>
      </c>
      <c r="AT4" s="22">
        <f>DriversCGE!U35*1000</f>
        <v>67086668.213583104</v>
      </c>
      <c r="AU4" s="22">
        <f>DriversCGE!V35*1000</f>
        <v>67659204.065895453</v>
      </c>
      <c r="AV4" s="22">
        <f>DriversCGE!W35*1000</f>
        <v>68236626.094715163</v>
      </c>
      <c r="AW4" s="22">
        <f>DriversCGE!X35*1000</f>
        <v>68818976.000000015</v>
      </c>
      <c r="AX4" s="22">
        <f>DriversCGE!Y35*1000</f>
        <v>69322810.489383534</v>
      </c>
      <c r="AY4" s="22">
        <f>DriversCGE!Z35*1000</f>
        <v>69830333.629884064</v>
      </c>
      <c r="AZ4" s="22">
        <f>DriversCGE!AA35*1000</f>
        <v>70341572.426693439</v>
      </c>
      <c r="BA4" s="22">
        <f>DriversCGE!AB35*1000</f>
        <v>70856554.082712814</v>
      </c>
      <c r="BB4" s="22">
        <f>DriversCGE!AC35*1000</f>
        <v>71375306</v>
      </c>
      <c r="BC4" s="22">
        <f>DriversCGE!AD35*1000</f>
        <v>71818612.994947314</v>
      </c>
      <c r="BD4" s="22">
        <f>DriversCGE!AE35*1000</f>
        <v>72264673.338395417</v>
      </c>
      <c r="BE4" s="22">
        <f>DriversCGE!AF35*1000</f>
        <v>72713504.131197795</v>
      </c>
      <c r="BF4" s="22">
        <f>DriversCGE!AG35*1000</f>
        <v>73165122.580420136</v>
      </c>
      <c r="BG4" s="22">
        <f>DriversCGE!AH35*1000</f>
        <v>73619545.99999997</v>
      </c>
      <c r="BH4" s="22">
        <f>DriversCGE!AI35*1000</f>
        <v>73995362.001779526</v>
      </c>
      <c r="BI4" s="22">
        <f>DriversCGE!AJ35*1000</f>
        <v>74373096.484110355</v>
      </c>
      <c r="BJ4" s="22">
        <f>DriversCGE!AK35*1000</f>
        <v>74752759.240528658</v>
      </c>
      <c r="BK4" s="22">
        <f>DriversCGE!AL35*1000</f>
        <v>75134360.114565104</v>
      </c>
      <c r="BL4" s="22">
        <f>DriversCGE!AM35*1000</f>
        <v>75517908.999999985</v>
      </c>
    </row>
    <row r="5" spans="1:68" x14ac:dyDescent="0.25">
      <c r="A5" t="s">
        <v>809</v>
      </c>
      <c r="B5" t="s">
        <v>747</v>
      </c>
      <c r="C5" t="s">
        <v>810</v>
      </c>
      <c r="D5" s="21">
        <f t="shared" ref="D5:Y5" si="0">E5/(1+E7)</f>
        <v>1433.9938812707396</v>
      </c>
      <c r="E5" s="21">
        <f t="shared" si="0"/>
        <v>1477.0136977088619</v>
      </c>
      <c r="F5" s="21">
        <f t="shared" si="0"/>
        <v>1521.3241086401276</v>
      </c>
      <c r="G5" s="21">
        <f t="shared" si="0"/>
        <v>1566.9638318993316</v>
      </c>
      <c r="H5" s="21">
        <f t="shared" si="0"/>
        <v>1613.9727468563115</v>
      </c>
      <c r="I5" s="21">
        <f t="shared" si="0"/>
        <v>1662.3919292620008</v>
      </c>
      <c r="J5" s="21">
        <f t="shared" si="0"/>
        <v>1732.2123902910048</v>
      </c>
      <c r="K5" s="21">
        <f t="shared" si="0"/>
        <v>1777.2499124385708</v>
      </c>
      <c r="L5" s="21">
        <f t="shared" si="0"/>
        <v>1789.6906618256407</v>
      </c>
      <c r="M5" s="21">
        <f t="shared" si="0"/>
        <v>1838.0123096949328</v>
      </c>
      <c r="N5" s="21">
        <f t="shared" si="0"/>
        <v>1918.88485132151</v>
      </c>
      <c r="O5" s="21">
        <f t="shared" si="0"/>
        <v>1974.5325120098337</v>
      </c>
      <c r="P5" s="21">
        <f t="shared" si="0"/>
        <v>2049.5730461474441</v>
      </c>
      <c r="Q5" s="21">
        <f t="shared" si="0"/>
        <v>2110.6804438191639</v>
      </c>
      <c r="R5" s="21">
        <f t="shared" si="0"/>
        <v>2205.612041555863</v>
      </c>
      <c r="S5" s="21">
        <f t="shared" si="0"/>
        <v>2322.7836243385618</v>
      </c>
      <c r="T5" s="21">
        <f t="shared" si="0"/>
        <v>2451.1446787079121</v>
      </c>
      <c r="U5" s="21">
        <f t="shared" si="0"/>
        <v>2588.0579946966673</v>
      </c>
      <c r="V5" s="21">
        <f t="shared" si="0"/>
        <v>2685.4182749174292</v>
      </c>
      <c r="W5" s="21">
        <f t="shared" si="0"/>
        <v>2649.3729138607523</v>
      </c>
      <c r="X5" s="21">
        <f t="shared" si="0"/>
        <v>2730.9657981253658</v>
      </c>
      <c r="Y5" s="21">
        <f t="shared" si="0"/>
        <v>2824.6785081473372</v>
      </c>
      <c r="Z5" s="22">
        <f>SUM(DriversCGE!B8:B25)</f>
        <v>2893.564999999991</v>
      </c>
      <c r="AA5" s="22">
        <f>SUM(DriversCGE!C8:C25)</f>
        <v>2969.9244341044177</v>
      </c>
      <c r="AB5" s="22">
        <f>SUM(DriversCGE!D8:D25)</f>
        <v>3030.1182950277089</v>
      </c>
      <c r="AC5" s="22">
        <f>SUM(DriversCGE!E8:E25)</f>
        <v>3077.900471903205</v>
      </c>
      <c r="AD5" s="22">
        <f>SUM(DriversCGE!F8:F25)</f>
        <v>3112.2365717456173</v>
      </c>
      <c r="AE5" s="22">
        <f>SUM(DriversCGE!G8:G25)</f>
        <v>3164.3372131404149</v>
      </c>
      <c r="AF5" s="22">
        <f>SUM(DriversCGE!H8:H25)</f>
        <v>3212.9154217273094</v>
      </c>
      <c r="AG5" s="22">
        <f>SUM(DriversCGE!I8:I25)</f>
        <v>3260.3371025338929</v>
      </c>
      <c r="AH5" s="22">
        <f>SUM(DriversCGE!J8:J25)</f>
        <v>3022.7965782519432</v>
      </c>
      <c r="AI5" s="22">
        <f>SUM(DriversCGE!K8:K25)</f>
        <v>3105.0007320848308</v>
      </c>
      <c r="AJ5" s="22">
        <f>SUM(DriversCGE!L8:L25)</f>
        <v>3184.226692086826</v>
      </c>
      <c r="AK5" s="22">
        <f>SUM(DriversCGE!M8:M25)</f>
        <v>3265.5245538876807</v>
      </c>
      <c r="AL5" s="22">
        <f>SUM(DriversCGE!N8:N25)</f>
        <v>3352.6692671118763</v>
      </c>
      <c r="AM5" s="22">
        <f>SUM(DriversCGE!O8:O25)</f>
        <v>3448.4490659797625</v>
      </c>
      <c r="AN5" s="22">
        <f>SUM(DriversCGE!P8:P25)</f>
        <v>3547.3665777450597</v>
      </c>
      <c r="AO5" s="22">
        <f>SUM(DriversCGE!Q8:Q25)</f>
        <v>3652.5249706429004</v>
      </c>
      <c r="AP5" s="22">
        <f>SUM(DriversCGE!R8:R25)</f>
        <v>3764.6496531451339</v>
      </c>
      <c r="AQ5" s="22">
        <f>SUM(DriversCGE!S8:S25)</f>
        <v>3889.6770102086657</v>
      </c>
      <c r="AR5" s="22">
        <f>SUM(DriversCGE!T8:T25)</f>
        <v>4014.8644498533217</v>
      </c>
      <c r="AS5" s="22">
        <f>SUM(DriversCGE!U8:U25)</f>
        <v>4158.7142513509534</v>
      </c>
      <c r="AT5" s="22">
        <f>SUM(DriversCGE!V8:V25)</f>
        <v>4308.1195807431059</v>
      </c>
      <c r="AU5" s="22">
        <f>SUM(DriversCGE!W8:W25)</f>
        <v>4462.5612081726558</v>
      </c>
      <c r="AV5" s="22">
        <f>SUM(DriversCGE!X8:X25)</f>
        <v>4621.4667744341195</v>
      </c>
      <c r="AW5" s="22">
        <f>SUM(DriversCGE!Y8:Y25)</f>
        <v>4771.2845825143268</v>
      </c>
      <c r="AX5" s="22">
        <f>SUM(DriversCGE!Z8:Z25)</f>
        <v>4927.2682333438661</v>
      </c>
      <c r="AY5" s="22">
        <f>SUM(DriversCGE!AA8:AA25)</f>
        <v>5093.9329736670843</v>
      </c>
      <c r="AZ5" s="22">
        <f>SUM(DriversCGE!AB8:AB25)</f>
        <v>5268.6499955131276</v>
      </c>
      <c r="BA5" s="22">
        <f>SUM(DriversCGE!AC8:AC25)</f>
        <v>5441.285876529907</v>
      </c>
      <c r="BB5" s="22">
        <f>SUM(DriversCGE!AD8:AD25)</f>
        <v>5617.415506293346</v>
      </c>
      <c r="BC5" s="22">
        <f>SUM(DriversCGE!AE8:AE25)</f>
        <v>5799.9715389006114</v>
      </c>
      <c r="BD5" s="22">
        <f>SUM(DriversCGE!AF8:AF25)</f>
        <v>5991.5907828385261</v>
      </c>
      <c r="BE5" s="22">
        <f>SUM(DriversCGE!AG8:AG25)</f>
        <v>6194.3151233615881</v>
      </c>
      <c r="BF5" s="22">
        <f>SUM(DriversCGE!AH8:AH25)</f>
        <v>6407.5206358036476</v>
      </c>
      <c r="BG5" s="22">
        <f>SUM(DriversCGE!AI8:AI25)</f>
        <v>6635.4526909763899</v>
      </c>
      <c r="BH5" s="22">
        <f>SUM(DriversCGE!AJ8:AJ25)</f>
        <v>6875.4793324572329</v>
      </c>
      <c r="BI5" s="22">
        <f>SUM(DriversCGE!AK8:AK25)</f>
        <v>7126.4571987251848</v>
      </c>
      <c r="BJ5" s="22">
        <f>SUM(DriversCGE!AL8:AL25)</f>
        <v>7377.9747172124362</v>
      </c>
      <c r="BK5" s="22">
        <f>SUM(DriversCGE!AM8:AM25)</f>
        <v>7641.4875957866225</v>
      </c>
      <c r="BL5" s="22">
        <f>SUM(DriversCGE!AN8:AN25)</f>
        <v>7919.7894675141106</v>
      </c>
    </row>
    <row r="6" spans="1:68" x14ac:dyDescent="0.25">
      <c r="Z6" s="93">
        <v>2893.5650000000001</v>
      </c>
      <c r="AA6" s="93">
        <v>2965.2651000000001</v>
      </c>
      <c r="AB6" s="93">
        <v>3020.9666999999999</v>
      </c>
      <c r="AC6" s="93">
        <v>3059.4472000000001</v>
      </c>
      <c r="AD6" s="93">
        <v>3083.9180999999999</v>
      </c>
      <c r="AE6" s="93">
        <v>3120.5392000000002</v>
      </c>
      <c r="AF6" s="93">
        <v>3152.2314999999999</v>
      </c>
      <c r="AG6" s="93">
        <v>3179.2959999999998</v>
      </c>
      <c r="AH6" s="93">
        <v>2948.9344000000001</v>
      </c>
      <c r="AI6" s="93">
        <v>3014.3775000000001</v>
      </c>
      <c r="AJ6" s="93">
        <v>3077.2037999999998</v>
      </c>
      <c r="AK6" s="93">
        <v>3140.6174999999998</v>
      </c>
      <c r="AL6" s="93">
        <v>3201.7784999999999</v>
      </c>
      <c r="AM6" s="93">
        <v>3265.5524</v>
      </c>
      <c r="AN6" s="93">
        <v>3341.2748999999999</v>
      </c>
      <c r="AO6" s="93">
        <v>3416.3045999999999</v>
      </c>
      <c r="AP6" s="93">
        <v>3494.8710999999998</v>
      </c>
      <c r="AQ6" s="93">
        <v>3576.0637999999999</v>
      </c>
      <c r="AR6" s="93">
        <v>3660.1224000000002</v>
      </c>
      <c r="AS6" s="93">
        <v>3761.0109000000002</v>
      </c>
      <c r="AT6" s="93">
        <v>3857.1878000000002</v>
      </c>
      <c r="AU6" s="93">
        <v>3963.9917</v>
      </c>
      <c r="AV6" s="93">
        <v>4078.2248</v>
      </c>
      <c r="AW6" s="93">
        <v>4200.2892000000002</v>
      </c>
      <c r="AX6" s="93">
        <v>4325.9525000000003</v>
      </c>
      <c r="AY6" s="93">
        <v>4457.0024000000003</v>
      </c>
      <c r="AZ6" s="93">
        <v>4590.0533999999998</v>
      </c>
      <c r="BA6" s="93">
        <v>4728.5418</v>
      </c>
      <c r="BB6" s="93">
        <v>4875.5102999999999</v>
      </c>
      <c r="BC6" s="93">
        <v>5028.5456999999997</v>
      </c>
      <c r="BD6" s="93">
        <v>5188.0910000000003</v>
      </c>
      <c r="BE6" s="93">
        <v>5353.7750999999998</v>
      </c>
      <c r="BF6" s="93">
        <v>5526.5140000000001</v>
      </c>
      <c r="BG6" s="93">
        <v>5709.9394000000002</v>
      </c>
      <c r="BH6" s="93">
        <v>5902.4267</v>
      </c>
      <c r="BI6" s="93">
        <v>6104.1282000000001</v>
      </c>
      <c r="BJ6" s="93">
        <v>6308.1403</v>
      </c>
      <c r="BK6" s="93">
        <v>6522.2016999999996</v>
      </c>
      <c r="BL6" s="93">
        <v>6747.1509999999998</v>
      </c>
    </row>
    <row r="7" spans="1:68" x14ac:dyDescent="0.25">
      <c r="C7" t="s">
        <v>805</v>
      </c>
      <c r="D7" s="86">
        <v>3.0000000000000027E-2</v>
      </c>
      <c r="E7" s="86">
        <v>3.0000000000000027E-2</v>
      </c>
      <c r="F7" s="86">
        <v>3.0000000000000027E-2</v>
      </c>
      <c r="G7" s="86">
        <v>3.0000000000000027E-2</v>
      </c>
      <c r="H7" s="86">
        <v>3.0000000000000027E-2</v>
      </c>
      <c r="I7" s="86">
        <v>3.0000000000000027E-2</v>
      </c>
      <c r="J7" s="86">
        <v>4.2000000000000037E-2</v>
      </c>
      <c r="K7" s="86">
        <v>2.6000000000000023E-2</v>
      </c>
      <c r="L7" s="86">
        <v>6.9999999999998952E-3</v>
      </c>
      <c r="M7" s="86">
        <v>2.6999999999999913E-2</v>
      </c>
      <c r="N7" s="86">
        <v>4.4000000000000039E-2</v>
      </c>
      <c r="O7" s="86">
        <v>2.8999999999999915E-2</v>
      </c>
      <c r="P7" s="86">
        <v>3.8004202858745728E-2</v>
      </c>
      <c r="Q7" s="86">
        <v>2.9814696181032829E-2</v>
      </c>
      <c r="R7" s="86">
        <v>4.4976774203169034E-2</v>
      </c>
      <c r="S7" s="86">
        <v>5.3124294107518955E-2</v>
      </c>
      <c r="T7" s="86">
        <v>5.5261735541941581E-2</v>
      </c>
      <c r="U7" s="86">
        <v>5.5856888896875345E-2</v>
      </c>
      <c r="V7" s="86">
        <v>3.7619048885406903E-2</v>
      </c>
      <c r="W7" s="86">
        <v>-1.3422624472824496E-2</v>
      </c>
      <c r="X7" s="86">
        <v>3.0797055347604463E-2</v>
      </c>
      <c r="Y7" s="86">
        <v>3.4314860364160982E-2</v>
      </c>
      <c r="Z7" s="86">
        <v>2.4387374228239223E-2</v>
      </c>
    </row>
  </sheetData>
  <pageMargins left="0.7" right="0.7" top="0.75" bottom="0.75" header="0.3" footer="0.3"/>
  <legacyDrawing r:id="rId1"/>
  <extLst>
    <ext xmlns:x14="http://schemas.microsoft.com/office/spreadsheetml/2009/9/main" uri="{05C60535-1F16-4fd2-B633-F4F36F0B64E0}">
      <x14:sparklineGroups xmlns:xm="http://schemas.microsoft.com/office/excel/2006/main">
        <x14:sparklineGroup displayEmptyCellsAs="gap" xr2:uid="{00000000-0003-0000-0600-000000000000}">
          <x14:colorSeries rgb="FF376092"/>
          <x14:colorNegative rgb="FFD00000"/>
          <x14:colorAxis rgb="FF000000"/>
          <x14:colorMarkers rgb="FFD00000"/>
          <x14:colorFirst rgb="FFD00000"/>
          <x14:colorLast rgb="FFD00000"/>
          <x14:colorHigh rgb="FFD00000"/>
          <x14:colorLow rgb="FFD00000"/>
          <x14:sparklines>
            <x14:sparkline>
              <xm:f>Drivers!D5:BL5</xm:f>
              <xm:sqref>BN5</xm:sqref>
            </x14:sparkline>
          </x14:sparklines>
        </x14:sparklineGroup>
      </x14:sparklineGroup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7030A0"/>
  </sheetPr>
  <dimension ref="A1:J135"/>
  <sheetViews>
    <sheetView workbookViewId="0">
      <selection activeCell="B6" sqref="B6"/>
    </sheetView>
  </sheetViews>
  <sheetFormatPr defaultRowHeight="15" x14ac:dyDescent="0.25"/>
  <cols>
    <col min="1" max="1" width="21.28515625" customWidth="1"/>
    <col min="2" max="2" width="24.85546875" customWidth="1"/>
    <col min="3" max="3" width="16.85546875" customWidth="1"/>
    <col min="4" max="4" width="12.85546875" customWidth="1"/>
    <col min="5" max="5" width="42.42578125" customWidth="1"/>
    <col min="6" max="7" width="12.85546875" customWidth="1"/>
    <col min="8" max="8" width="12.7109375" customWidth="1"/>
    <col min="9" max="9" width="11.42578125" customWidth="1"/>
    <col min="10" max="10" width="11.7109375" customWidth="1"/>
  </cols>
  <sheetData>
    <row r="1" spans="1:10" ht="18.75" x14ac:dyDescent="0.3">
      <c r="A1" s="1" t="s">
        <v>8</v>
      </c>
    </row>
    <row r="3" spans="1:10" x14ac:dyDescent="0.25">
      <c r="A3" t="s">
        <v>9</v>
      </c>
      <c r="B3" s="21">
        <v>21</v>
      </c>
    </row>
    <row r="4" spans="1:10" x14ac:dyDescent="0.25">
      <c r="A4" t="s">
        <v>10</v>
      </c>
      <c r="B4" s="21">
        <v>310</v>
      </c>
    </row>
    <row r="5" spans="1:10" x14ac:dyDescent="0.25">
      <c r="A5" t="s">
        <v>388</v>
      </c>
      <c r="B5" s="21">
        <f>44/12</f>
        <v>3.6666666666666665</v>
      </c>
    </row>
    <row r="6" spans="1:10" x14ac:dyDescent="0.25">
      <c r="A6" t="s">
        <v>794</v>
      </c>
      <c r="B6" s="21">
        <f>12/44</f>
        <v>0.27272727272727271</v>
      </c>
    </row>
    <row r="8" spans="1:10" x14ac:dyDescent="0.25">
      <c r="A8" t="s">
        <v>146</v>
      </c>
      <c r="B8" s="21">
        <f>44/28</f>
        <v>1.5714285714285714</v>
      </c>
    </row>
    <row r="9" spans="1:10" x14ac:dyDescent="0.25">
      <c r="A9" t="s">
        <v>147</v>
      </c>
      <c r="B9" s="21">
        <v>9.9999999999999995E-7</v>
      </c>
    </row>
    <row r="10" spans="1:10" x14ac:dyDescent="0.25">
      <c r="A10" t="s">
        <v>319</v>
      </c>
      <c r="B10" s="21">
        <v>1E-3</v>
      </c>
    </row>
    <row r="11" spans="1:10" x14ac:dyDescent="0.25">
      <c r="A11" t="s">
        <v>389</v>
      </c>
      <c r="B11" s="21">
        <v>1E-3</v>
      </c>
    </row>
    <row r="12" spans="1:10" x14ac:dyDescent="0.25">
      <c r="A12" t="s">
        <v>418</v>
      </c>
      <c r="B12" s="21">
        <v>1000</v>
      </c>
    </row>
    <row r="13" spans="1:10" x14ac:dyDescent="0.25">
      <c r="A13" t="s">
        <v>795</v>
      </c>
      <c r="B13" s="21">
        <v>1000</v>
      </c>
    </row>
    <row r="16" spans="1:10" s="19" customFormat="1" ht="29.25" customHeight="1" x14ac:dyDescent="0.25">
      <c r="A16" s="17" t="s">
        <v>4</v>
      </c>
      <c r="B16" s="17" t="s">
        <v>313</v>
      </c>
      <c r="C16" s="17" t="s">
        <v>315</v>
      </c>
      <c r="D16" s="17" t="s">
        <v>149</v>
      </c>
      <c r="E16" s="17" t="s">
        <v>150</v>
      </c>
      <c r="F16" s="17" t="s">
        <v>0</v>
      </c>
      <c r="G16" s="17" t="s">
        <v>283</v>
      </c>
      <c r="H16" s="17" t="s">
        <v>717</v>
      </c>
      <c r="I16" s="17" t="s">
        <v>717</v>
      </c>
      <c r="J16" s="17" t="s">
        <v>717</v>
      </c>
    </row>
    <row r="17" spans="1:10" ht="18.75" customHeight="1" x14ac:dyDescent="0.25">
      <c r="A17" s="20" t="s">
        <v>1</v>
      </c>
      <c r="B17" s="20"/>
      <c r="C17" s="20"/>
      <c r="D17" s="15"/>
      <c r="E17" s="15"/>
      <c r="F17" s="15"/>
      <c r="G17" s="15"/>
      <c r="H17" s="15"/>
      <c r="I17" s="15"/>
      <c r="J17" s="15"/>
    </row>
    <row r="18" spans="1:10" x14ac:dyDescent="0.25">
      <c r="A18" s="23" t="str">
        <f>'IPCC Categories'!A5</f>
        <v>3A Livestock</v>
      </c>
      <c r="B18" s="23"/>
      <c r="C18" s="23" t="str">
        <f>'IPCC Categories'!$D$5</f>
        <v>3A1ai Dairy cattle</v>
      </c>
      <c r="D18" t="str">
        <f>'IPCC Categories'!$F$39</f>
        <v>TMR</v>
      </c>
      <c r="E18" t="s">
        <v>330</v>
      </c>
      <c r="F18" t="s">
        <v>327</v>
      </c>
      <c r="G18" t="s">
        <v>331</v>
      </c>
      <c r="H18" s="56">
        <v>0.35</v>
      </c>
    </row>
    <row r="19" spans="1:10" x14ac:dyDescent="0.25">
      <c r="A19" s="23" t="str">
        <f>A18</f>
        <v>3A Livestock</v>
      </c>
      <c r="B19" s="23"/>
      <c r="C19" s="23" t="str">
        <f>C18</f>
        <v>3A1ai Dairy cattle</v>
      </c>
      <c r="E19" t="s">
        <v>841</v>
      </c>
      <c r="F19" t="s">
        <v>327</v>
      </c>
      <c r="H19" s="56">
        <v>0.28999999999999998</v>
      </c>
    </row>
    <row r="20" spans="1:10" x14ac:dyDescent="0.25">
      <c r="A20" s="23" t="str">
        <f>A19</f>
        <v>3A Livestock</v>
      </c>
      <c r="B20" s="23"/>
      <c r="C20" s="23" t="str">
        <f>'IPCC Categories'!D13</f>
        <v>3A2aii Other cattle</v>
      </c>
      <c r="E20" t="s">
        <v>844</v>
      </c>
      <c r="F20" t="s">
        <v>327</v>
      </c>
      <c r="H20" s="56">
        <v>0.53</v>
      </c>
    </row>
    <row r="21" spans="1:10" s="23" customFormat="1" x14ac:dyDescent="0.25">
      <c r="A21" s="23" t="str">
        <f>A20</f>
        <v>3A Livestock</v>
      </c>
      <c r="C21" s="23" t="str">
        <f>C20</f>
        <v>3A2aii Other cattle</v>
      </c>
      <c r="E21" s="23" t="s">
        <v>909</v>
      </c>
      <c r="F21" s="23" t="s">
        <v>910</v>
      </c>
      <c r="H21" s="56">
        <v>460</v>
      </c>
    </row>
    <row r="22" spans="1:10" x14ac:dyDescent="0.25">
      <c r="A22" t="str">
        <f>A18</f>
        <v>3A Livestock</v>
      </c>
      <c r="C22" t="str">
        <f>'IPCC Categories'!C7</f>
        <v>3A1c Sheep</v>
      </c>
      <c r="E22" t="s">
        <v>833</v>
      </c>
      <c r="F22" t="s">
        <v>327</v>
      </c>
      <c r="H22" s="56">
        <v>0.87</v>
      </c>
    </row>
    <row r="23" spans="1:10" x14ac:dyDescent="0.25">
      <c r="A23" t="str">
        <f t="shared" ref="A23:A27" si="0">A22</f>
        <v>3A Livestock</v>
      </c>
      <c r="C23" t="str">
        <f>'IPCC Categories'!C8</f>
        <v>3A1d Goats</v>
      </c>
      <c r="E23" t="s">
        <v>834</v>
      </c>
      <c r="F23" t="s">
        <v>327</v>
      </c>
      <c r="H23" s="56">
        <v>0.34</v>
      </c>
    </row>
    <row r="24" spans="1:10" x14ac:dyDescent="0.25">
      <c r="A24" t="str">
        <f t="shared" si="0"/>
        <v>3A Livestock</v>
      </c>
      <c r="C24" t="str">
        <f>'IPCC Categories'!C11</f>
        <v>3A1h Swine</v>
      </c>
      <c r="E24" t="s">
        <v>835</v>
      </c>
      <c r="F24" t="s">
        <v>327</v>
      </c>
      <c r="H24" s="56">
        <v>0.88</v>
      </c>
    </row>
    <row r="25" spans="1:10" x14ac:dyDescent="0.25">
      <c r="A25" t="str">
        <f t="shared" si="0"/>
        <v>3A Livestock</v>
      </c>
      <c r="C25" t="str">
        <f>'IPCC Categories'!C19</f>
        <v>3A2i Poultry</v>
      </c>
      <c r="E25" t="s">
        <v>837</v>
      </c>
      <c r="F25" t="s">
        <v>327</v>
      </c>
      <c r="H25" s="56">
        <v>0.96</v>
      </c>
    </row>
    <row r="26" spans="1:10" x14ac:dyDescent="0.25">
      <c r="A26" t="str">
        <f t="shared" si="0"/>
        <v>3A Livestock</v>
      </c>
      <c r="C26" t="str">
        <f>C25</f>
        <v>3A2i Poultry</v>
      </c>
      <c r="E26" t="s">
        <v>839</v>
      </c>
      <c r="F26" t="s">
        <v>327</v>
      </c>
      <c r="H26" s="56">
        <v>0.96</v>
      </c>
    </row>
    <row r="27" spans="1:10" x14ac:dyDescent="0.25">
      <c r="A27" t="str">
        <f t="shared" si="0"/>
        <v>3A Livestock</v>
      </c>
      <c r="C27" t="str">
        <f>C23</f>
        <v>3A1d Goats</v>
      </c>
      <c r="E27" t="s">
        <v>342</v>
      </c>
      <c r="F27" t="s">
        <v>327</v>
      </c>
      <c r="G27" t="s">
        <v>343</v>
      </c>
      <c r="H27" s="56">
        <v>0.06</v>
      </c>
    </row>
    <row r="28" spans="1:10" ht="18.75" customHeight="1" x14ac:dyDescent="0.25">
      <c r="A28" s="20" t="s">
        <v>629</v>
      </c>
      <c r="B28" s="20"/>
      <c r="C28" s="20"/>
      <c r="D28" s="15"/>
      <c r="E28" s="15"/>
      <c r="F28" s="15"/>
      <c r="G28" s="15"/>
      <c r="H28" s="15"/>
      <c r="I28" s="15"/>
      <c r="J28" s="15"/>
    </row>
    <row r="29" spans="1:10" x14ac:dyDescent="0.25">
      <c r="A29" t="str">
        <f>A41</f>
        <v>3C Aggregated and non-CO2 emissions on land</v>
      </c>
      <c r="B29" t="str">
        <f>B41</f>
        <v>3C4 Direct N2O from managed soils (N2O)</v>
      </c>
      <c r="C29" t="str">
        <f>'IPCC Categories'!B73</f>
        <v>3C4 Direct N2O from managed soils (N2O)</v>
      </c>
      <c r="E29" t="s">
        <v>852</v>
      </c>
      <c r="H29" s="56">
        <v>1.5</v>
      </c>
    </row>
    <row r="30" spans="1:10" x14ac:dyDescent="0.25">
      <c r="A30" t="str">
        <f>A29</f>
        <v>3C Aggregated and non-CO2 emissions on land</v>
      </c>
      <c r="B30" t="str">
        <f>B29</f>
        <v>3C4 Direct N2O from managed soils (N2O)</v>
      </c>
      <c r="C30" t="str">
        <f>C29</f>
        <v>3C4 Direct N2O from managed soils (N2O)</v>
      </c>
      <c r="E30" t="s">
        <v>853</v>
      </c>
      <c r="H30" s="56">
        <v>5.5</v>
      </c>
    </row>
    <row r="31" spans="1:10" x14ac:dyDescent="0.25">
      <c r="A31" t="str">
        <f t="shared" ref="A31:A34" si="1">A30</f>
        <v>3C Aggregated and non-CO2 emissions on land</v>
      </c>
      <c r="B31" t="str">
        <f t="shared" ref="B31:B34" si="2">B30</f>
        <v>3C4 Direct N2O from managed soils (N2O)</v>
      </c>
      <c r="C31" t="str">
        <f t="shared" ref="C31:C34" si="3">C30</f>
        <v>3C4 Direct N2O from managed soils (N2O)</v>
      </c>
      <c r="E31" t="s">
        <v>854</v>
      </c>
      <c r="H31" s="56">
        <v>5.5</v>
      </c>
    </row>
    <row r="32" spans="1:10" x14ac:dyDescent="0.25">
      <c r="A32" t="str">
        <f t="shared" si="1"/>
        <v>3C Aggregated and non-CO2 emissions on land</v>
      </c>
      <c r="B32" t="str">
        <f t="shared" si="2"/>
        <v>3C4 Direct N2O from managed soils (N2O)</v>
      </c>
      <c r="C32" t="str">
        <f t="shared" si="3"/>
        <v>3C4 Direct N2O from managed soils (N2O)</v>
      </c>
      <c r="E32" t="s">
        <v>855</v>
      </c>
      <c r="H32" s="56">
        <v>2</v>
      </c>
    </row>
    <row r="33" spans="1:8" x14ac:dyDescent="0.25">
      <c r="A33" t="str">
        <f t="shared" si="1"/>
        <v>3C Aggregated and non-CO2 emissions on land</v>
      </c>
      <c r="B33" t="str">
        <f t="shared" si="2"/>
        <v>3C4 Direct N2O from managed soils (N2O)</v>
      </c>
      <c r="C33" t="str">
        <f t="shared" si="3"/>
        <v>3C4 Direct N2O from managed soils (N2O)</v>
      </c>
      <c r="E33" t="s">
        <v>856</v>
      </c>
      <c r="H33" s="56">
        <v>2</v>
      </c>
    </row>
    <row r="34" spans="1:8" x14ac:dyDescent="0.25">
      <c r="A34" t="str">
        <f t="shared" si="1"/>
        <v>3C Aggregated and non-CO2 emissions on land</v>
      </c>
      <c r="B34" t="str">
        <f t="shared" si="2"/>
        <v>3C4 Direct N2O from managed soils (N2O)</v>
      </c>
      <c r="C34" t="str">
        <f t="shared" si="3"/>
        <v>3C4 Direct N2O from managed soils (N2O)</v>
      </c>
      <c r="E34" t="s">
        <v>857</v>
      </c>
      <c r="H34" s="56">
        <v>1.6</v>
      </c>
    </row>
    <row r="35" spans="1:8" x14ac:dyDescent="0.25">
      <c r="A35" t="str">
        <f>A68</f>
        <v>3C Aggregated and non-CO2 emissions on land</v>
      </c>
      <c r="B35" t="str">
        <f>B68</f>
        <v>3C4 Direct N2O from managed soils (N2O)</v>
      </c>
      <c r="C35" t="str">
        <f>C34</f>
        <v>3C4 Direct N2O from managed soils (N2O)</v>
      </c>
      <c r="E35" t="s">
        <v>864</v>
      </c>
      <c r="F35" t="s">
        <v>327</v>
      </c>
      <c r="H35" s="56">
        <v>0.6</v>
      </c>
    </row>
    <row r="36" spans="1:8" x14ac:dyDescent="0.25">
      <c r="A36" t="str">
        <f>A35</f>
        <v>3C Aggregated and non-CO2 emissions on land</v>
      </c>
      <c r="B36" t="str">
        <f>B35</f>
        <v>3C4 Direct N2O from managed soils (N2O)</v>
      </c>
      <c r="C36" t="str">
        <f>C35</f>
        <v>3C4 Direct N2O from managed soils (N2O)</v>
      </c>
      <c r="E36" t="s">
        <v>865</v>
      </c>
      <c r="F36" t="s">
        <v>327</v>
      </c>
      <c r="H36" s="56">
        <v>0.7</v>
      </c>
    </row>
    <row r="37" spans="1:8" x14ac:dyDescent="0.25">
      <c r="A37" t="str">
        <f t="shared" ref="A37:A40" si="4">A36</f>
        <v>3C Aggregated and non-CO2 emissions on land</v>
      </c>
      <c r="B37" t="str">
        <f t="shared" ref="B37:B40" si="5">B36</f>
        <v>3C4 Direct N2O from managed soils (N2O)</v>
      </c>
      <c r="C37" t="str">
        <f t="shared" ref="C37:C40" si="6">C36</f>
        <v>3C4 Direct N2O from managed soils (N2O)</v>
      </c>
      <c r="E37" t="s">
        <v>866</v>
      </c>
      <c r="F37" t="s">
        <v>327</v>
      </c>
      <c r="H37" s="56">
        <v>0.7</v>
      </c>
    </row>
    <row r="38" spans="1:8" x14ac:dyDescent="0.25">
      <c r="A38" t="str">
        <f t="shared" si="4"/>
        <v>3C Aggregated and non-CO2 emissions on land</v>
      </c>
      <c r="B38" t="str">
        <f t="shared" si="5"/>
        <v>3C4 Direct N2O from managed soils (N2O)</v>
      </c>
      <c r="C38" t="str">
        <f t="shared" si="6"/>
        <v>3C4 Direct N2O from managed soils (N2O)</v>
      </c>
      <c r="E38" t="s">
        <v>867</v>
      </c>
      <c r="F38" t="s">
        <v>327</v>
      </c>
      <c r="H38" s="56">
        <v>0.25</v>
      </c>
    </row>
    <row r="39" spans="1:8" x14ac:dyDescent="0.25">
      <c r="A39" t="str">
        <f t="shared" si="4"/>
        <v>3C Aggregated and non-CO2 emissions on land</v>
      </c>
      <c r="B39" t="str">
        <f t="shared" si="5"/>
        <v>3C4 Direct N2O from managed soils (N2O)</v>
      </c>
      <c r="C39" t="str">
        <f t="shared" si="6"/>
        <v>3C4 Direct N2O from managed soils (N2O)</v>
      </c>
      <c r="E39" t="s">
        <v>868</v>
      </c>
      <c r="F39" t="s">
        <v>327</v>
      </c>
      <c r="H39" s="56">
        <v>0.6</v>
      </c>
    </row>
    <row r="40" spans="1:8" x14ac:dyDescent="0.25">
      <c r="A40" t="str">
        <f t="shared" si="4"/>
        <v>3C Aggregated and non-CO2 emissions on land</v>
      </c>
      <c r="B40" t="str">
        <f t="shared" si="5"/>
        <v>3C4 Direct N2O from managed soils (N2O)</v>
      </c>
      <c r="C40" t="str">
        <f t="shared" si="6"/>
        <v>3C4 Direct N2O from managed soils (N2O)</v>
      </c>
      <c r="E40" t="s">
        <v>869</v>
      </c>
      <c r="F40" t="s">
        <v>327</v>
      </c>
      <c r="H40" s="56">
        <v>0.65</v>
      </c>
    </row>
    <row r="41" spans="1:8" x14ac:dyDescent="0.25">
      <c r="A41" t="str">
        <f>'IPCC Categories'!A59</f>
        <v>3C Aggregated and non-CO2 emissions on land</v>
      </c>
      <c r="B41" t="str">
        <f>'IPCC Categories'!B73</f>
        <v>3C4 Direct N2O from managed soils (N2O)</v>
      </c>
      <c r="C41" t="str">
        <f>'IPCC Categories'!C75</f>
        <v>Crop residues</v>
      </c>
      <c r="E41" t="s">
        <v>445</v>
      </c>
      <c r="F41" t="s">
        <v>377</v>
      </c>
      <c r="H41" s="56">
        <v>0.6</v>
      </c>
    </row>
    <row r="42" spans="1:8" x14ac:dyDescent="0.25">
      <c r="A42" t="str">
        <f>A41</f>
        <v>3C Aggregated and non-CO2 emissions on land</v>
      </c>
      <c r="B42" t="str">
        <f t="shared" ref="B42:C53" si="7">B41</f>
        <v>3C4 Direct N2O from managed soils (N2O)</v>
      </c>
      <c r="C42" t="str">
        <f t="shared" si="7"/>
        <v>Crop residues</v>
      </c>
      <c r="E42" t="s">
        <v>911</v>
      </c>
      <c r="F42" t="s">
        <v>377</v>
      </c>
      <c r="H42" s="56">
        <v>0.48</v>
      </c>
    </row>
    <row r="43" spans="1:8" x14ac:dyDescent="0.25">
      <c r="A43" t="str">
        <f t="shared" ref="A43:A53" si="8">A42</f>
        <v>3C Aggregated and non-CO2 emissions on land</v>
      </c>
      <c r="B43" t="str">
        <f t="shared" si="7"/>
        <v>3C4 Direct N2O from managed soils (N2O)</v>
      </c>
      <c r="C43" t="str">
        <f t="shared" si="7"/>
        <v>Crop residues</v>
      </c>
      <c r="E43" t="s">
        <v>912</v>
      </c>
      <c r="F43" t="s">
        <v>377</v>
      </c>
      <c r="H43" s="56">
        <v>0.12</v>
      </c>
    </row>
    <row r="44" spans="1:8" x14ac:dyDescent="0.25">
      <c r="A44" t="str">
        <f t="shared" si="8"/>
        <v>3C Aggregated and non-CO2 emissions on land</v>
      </c>
      <c r="B44" t="str">
        <f t="shared" si="7"/>
        <v>3C4 Direct N2O from managed soils (N2O)</v>
      </c>
      <c r="C44" t="str">
        <f t="shared" si="7"/>
        <v>Crop residues</v>
      </c>
      <c r="E44" t="s">
        <v>913</v>
      </c>
      <c r="F44" t="s">
        <v>377</v>
      </c>
      <c r="H44" s="56">
        <v>0.48</v>
      </c>
    </row>
    <row r="45" spans="1:8" x14ac:dyDescent="0.25">
      <c r="A45" t="str">
        <f t="shared" si="8"/>
        <v>3C Aggregated and non-CO2 emissions on land</v>
      </c>
      <c r="B45" t="str">
        <f t="shared" si="7"/>
        <v>3C4 Direct N2O from managed soils (N2O)</v>
      </c>
      <c r="C45" t="str">
        <f t="shared" si="7"/>
        <v>Crop residues</v>
      </c>
      <c r="E45" t="s">
        <v>914</v>
      </c>
      <c r="F45" t="s">
        <v>365</v>
      </c>
      <c r="H45" s="56">
        <v>4.2</v>
      </c>
    </row>
    <row r="46" spans="1:8" x14ac:dyDescent="0.25">
      <c r="A46" t="str">
        <f t="shared" si="8"/>
        <v>3C Aggregated and non-CO2 emissions on land</v>
      </c>
      <c r="B46" t="str">
        <f t="shared" si="7"/>
        <v>3C4 Direct N2O from managed soils (N2O)</v>
      </c>
      <c r="C46" t="str">
        <f t="shared" si="7"/>
        <v>Crop residues</v>
      </c>
      <c r="E46" t="s">
        <v>915</v>
      </c>
      <c r="F46" t="s">
        <v>365</v>
      </c>
      <c r="H46" s="56">
        <v>2.8</v>
      </c>
    </row>
    <row r="47" spans="1:8" x14ac:dyDescent="0.25">
      <c r="A47" t="str">
        <f t="shared" si="8"/>
        <v>3C Aggregated and non-CO2 emissions on land</v>
      </c>
      <c r="B47" t="str">
        <f t="shared" si="7"/>
        <v>3C4 Direct N2O from managed soils (N2O)</v>
      </c>
      <c r="C47" t="str">
        <f t="shared" si="7"/>
        <v>Crop residues</v>
      </c>
      <c r="E47" t="s">
        <v>916</v>
      </c>
      <c r="F47" t="s">
        <v>365</v>
      </c>
      <c r="H47" s="56">
        <v>3.7</v>
      </c>
    </row>
    <row r="48" spans="1:8" x14ac:dyDescent="0.25">
      <c r="A48" t="str">
        <f t="shared" si="8"/>
        <v>3C Aggregated and non-CO2 emissions on land</v>
      </c>
      <c r="B48" t="str">
        <f t="shared" si="7"/>
        <v>3C4 Direct N2O from managed soils (N2O)</v>
      </c>
      <c r="C48" t="str">
        <f t="shared" si="7"/>
        <v>Crop residues</v>
      </c>
      <c r="E48" t="s">
        <v>917</v>
      </c>
      <c r="H48" s="56">
        <v>1.5</v>
      </c>
    </row>
    <row r="49" spans="1:8" x14ac:dyDescent="0.25">
      <c r="A49" t="str">
        <f t="shared" si="8"/>
        <v>3C Aggregated and non-CO2 emissions on land</v>
      </c>
      <c r="B49" t="str">
        <f t="shared" si="7"/>
        <v>3C4 Direct N2O from managed soils (N2O)</v>
      </c>
      <c r="C49" t="str">
        <f t="shared" si="7"/>
        <v>Crop residues</v>
      </c>
      <c r="E49" t="s">
        <v>918</v>
      </c>
      <c r="H49" s="56">
        <v>1.4</v>
      </c>
    </row>
    <row r="50" spans="1:8" x14ac:dyDescent="0.25">
      <c r="A50" t="str">
        <f t="shared" si="8"/>
        <v>3C Aggregated and non-CO2 emissions on land</v>
      </c>
      <c r="B50" t="str">
        <f t="shared" si="7"/>
        <v>3C4 Direct N2O from managed soils (N2O)</v>
      </c>
      <c r="C50" t="str">
        <f t="shared" si="7"/>
        <v>Crop residues</v>
      </c>
      <c r="E50" t="s">
        <v>919</v>
      </c>
      <c r="H50" s="56">
        <v>1.3</v>
      </c>
    </row>
    <row r="51" spans="1:8" x14ac:dyDescent="0.25">
      <c r="A51" t="str">
        <f t="shared" si="8"/>
        <v>3C Aggregated and non-CO2 emissions on land</v>
      </c>
      <c r="B51" t="str">
        <f t="shared" si="7"/>
        <v>3C4 Direct N2O from managed soils (N2O)</v>
      </c>
      <c r="C51" t="str">
        <f t="shared" si="7"/>
        <v>Crop residues</v>
      </c>
      <c r="E51" t="s">
        <v>920</v>
      </c>
      <c r="H51" s="56">
        <v>0.45</v>
      </c>
    </row>
    <row r="52" spans="1:8" x14ac:dyDescent="0.25">
      <c r="A52" t="str">
        <f t="shared" si="8"/>
        <v>3C Aggregated and non-CO2 emissions on land</v>
      </c>
      <c r="B52" t="str">
        <f t="shared" si="7"/>
        <v>3C4 Direct N2O from managed soils (N2O)</v>
      </c>
      <c r="C52" t="str">
        <f t="shared" si="7"/>
        <v>Crop residues</v>
      </c>
      <c r="E52" t="s">
        <v>921</v>
      </c>
      <c r="H52" s="56">
        <v>0</v>
      </c>
    </row>
    <row r="53" spans="1:8" x14ac:dyDescent="0.25">
      <c r="A53" t="str">
        <f t="shared" si="8"/>
        <v>3C Aggregated and non-CO2 emissions on land</v>
      </c>
      <c r="B53" t="str">
        <f t="shared" si="7"/>
        <v>3C4 Direct N2O from managed soils (N2O)</v>
      </c>
      <c r="C53" t="str">
        <f t="shared" si="7"/>
        <v>Crop residues</v>
      </c>
      <c r="E53" t="s">
        <v>922</v>
      </c>
      <c r="H53" s="56">
        <v>0.6</v>
      </c>
    </row>
    <row r="54" spans="1:8" x14ac:dyDescent="0.25">
      <c r="A54" t="str">
        <f>A47</f>
        <v>3C Aggregated and non-CO2 emissions on land</v>
      </c>
      <c r="B54" t="str">
        <f>B47</f>
        <v>3C4 Direct N2O from managed soils (N2O)</v>
      </c>
      <c r="C54" t="str">
        <f>C47</f>
        <v>Crop residues</v>
      </c>
      <c r="E54" t="s">
        <v>923</v>
      </c>
      <c r="F54" t="s">
        <v>327</v>
      </c>
      <c r="H54" s="56">
        <v>0.87</v>
      </c>
    </row>
    <row r="55" spans="1:8" x14ac:dyDescent="0.25">
      <c r="A55" t="str">
        <f t="shared" ref="A55:C58" si="9">A54</f>
        <v>3C Aggregated and non-CO2 emissions on land</v>
      </c>
      <c r="B55" t="str">
        <f t="shared" si="9"/>
        <v>3C4 Direct N2O from managed soils (N2O)</v>
      </c>
      <c r="C55" t="str">
        <f t="shared" si="9"/>
        <v>Crop residues</v>
      </c>
      <c r="E55" t="s">
        <v>924</v>
      </c>
      <c r="F55" t="s">
        <v>327</v>
      </c>
      <c r="H55" s="56">
        <v>0.89</v>
      </c>
    </row>
    <row r="56" spans="1:8" x14ac:dyDescent="0.25">
      <c r="A56" t="str">
        <f t="shared" si="9"/>
        <v>3C Aggregated and non-CO2 emissions on land</v>
      </c>
      <c r="B56" t="str">
        <f t="shared" si="9"/>
        <v>3C4 Direct N2O from managed soils (N2O)</v>
      </c>
      <c r="C56" t="str">
        <f t="shared" si="9"/>
        <v>Crop residues</v>
      </c>
      <c r="E56" t="s">
        <v>925</v>
      </c>
      <c r="F56" t="s">
        <v>327</v>
      </c>
      <c r="H56" s="56">
        <v>0.89</v>
      </c>
    </row>
    <row r="57" spans="1:8" x14ac:dyDescent="0.25">
      <c r="A57" t="str">
        <f>A56</f>
        <v>3C Aggregated and non-CO2 emissions on land</v>
      </c>
      <c r="B57" t="str">
        <f>B56</f>
        <v>3C4 Direct N2O from managed soils (N2O)</v>
      </c>
      <c r="C57" t="str">
        <f>C56</f>
        <v>Crop residues</v>
      </c>
      <c r="E57" t="s">
        <v>926</v>
      </c>
      <c r="F57" t="s">
        <v>327</v>
      </c>
      <c r="H57" s="56">
        <v>0.5</v>
      </c>
    </row>
    <row r="58" spans="1:8" x14ac:dyDescent="0.25">
      <c r="A58" t="str">
        <f t="shared" si="9"/>
        <v>3C Aggregated and non-CO2 emissions on land</v>
      </c>
      <c r="B58" t="str">
        <f t="shared" si="9"/>
        <v>3C4 Direct N2O from managed soils (N2O)</v>
      </c>
      <c r="C58" t="str">
        <f t="shared" si="9"/>
        <v>Crop residues</v>
      </c>
      <c r="E58" t="s">
        <v>927</v>
      </c>
      <c r="F58" t="s">
        <v>284</v>
      </c>
      <c r="H58" s="56">
        <v>1.4999999999999999E-2</v>
      </c>
    </row>
    <row r="59" spans="1:8" x14ac:dyDescent="0.25">
      <c r="A59" t="str">
        <f>A41</f>
        <v>3C Aggregated and non-CO2 emissions on land</v>
      </c>
      <c r="B59" t="str">
        <f>B41</f>
        <v>3C4 Direct N2O from managed soils (N2O)</v>
      </c>
      <c r="C59" t="str">
        <f>'IPCC Categories'!B71</f>
        <v>3C2 Liming (CO2)</v>
      </c>
      <c r="E59" t="s">
        <v>883</v>
      </c>
      <c r="F59" t="s">
        <v>365</v>
      </c>
      <c r="H59" s="56">
        <v>0.5</v>
      </c>
    </row>
    <row r="60" spans="1:8" x14ac:dyDescent="0.25">
      <c r="A60" t="str">
        <f t="shared" ref="A60:B61" si="10">A59</f>
        <v>3C Aggregated and non-CO2 emissions on land</v>
      </c>
      <c r="B60" t="str">
        <f t="shared" si="10"/>
        <v>3C4 Direct N2O from managed soils (N2O)</v>
      </c>
      <c r="C60" t="str">
        <f>C59</f>
        <v>3C2 Liming (CO2)</v>
      </c>
      <c r="E60" t="s">
        <v>884</v>
      </c>
      <c r="F60" t="s">
        <v>365</v>
      </c>
      <c r="H60" s="56">
        <v>1.1499999999999999</v>
      </c>
    </row>
    <row r="61" spans="1:8" x14ac:dyDescent="0.25">
      <c r="A61" t="str">
        <f t="shared" si="10"/>
        <v>3C Aggregated and non-CO2 emissions on land</v>
      </c>
      <c r="B61" t="str">
        <f t="shared" si="10"/>
        <v>3C4 Direct N2O from managed soils (N2O)</v>
      </c>
      <c r="C61" t="str">
        <f>C60</f>
        <v>3C2 Liming (CO2)</v>
      </c>
      <c r="E61" t="s">
        <v>885</v>
      </c>
      <c r="F61" t="s">
        <v>365</v>
      </c>
      <c r="H61" s="56">
        <v>0.63</v>
      </c>
    </row>
    <row r="62" spans="1:8" x14ac:dyDescent="0.25">
      <c r="A62" t="str">
        <f>A41</f>
        <v>3C Aggregated and non-CO2 emissions on land</v>
      </c>
      <c r="B62" t="str">
        <f>B41</f>
        <v>3C4 Direct N2O from managed soils (N2O)</v>
      </c>
      <c r="C62" t="str">
        <f>C61</f>
        <v>3C2 Liming (CO2)</v>
      </c>
      <c r="E62" t="s">
        <v>882</v>
      </c>
      <c r="F62" t="s">
        <v>327</v>
      </c>
      <c r="H62" s="56">
        <v>0.55000000000000004</v>
      </c>
    </row>
    <row r="63" spans="1:8" x14ac:dyDescent="0.25">
      <c r="A63" t="str">
        <f>'IPCC Categories'!A59</f>
        <v>3C Aggregated and non-CO2 emissions on land</v>
      </c>
      <c r="B63" t="str">
        <f>'IPCC Categories'!B73</f>
        <v>3C4 Direct N2O from managed soils (N2O)</v>
      </c>
      <c r="C63" t="s">
        <v>310</v>
      </c>
      <c r="D63" t="str">
        <f>" - "&amp;'Activity data'!D5</f>
        <v xml:space="preserve"> - TMR</v>
      </c>
      <c r="E63" t="str">
        <f t="shared" ref="E63:E83" si="11">C63&amp;D63</f>
        <v>Excretion rate - TMR</v>
      </c>
      <c r="F63" t="s">
        <v>311</v>
      </c>
      <c r="H63" s="22">
        <f>SUM('Aggregated EF'!T8:T10)</f>
        <v>128.28236394776278</v>
      </c>
    </row>
    <row r="64" spans="1:8" x14ac:dyDescent="0.25">
      <c r="A64" t="str">
        <f t="shared" ref="A64:A80" si="12">A63</f>
        <v>3C Aggregated and non-CO2 emissions on land</v>
      </c>
      <c r="B64" t="str">
        <f t="shared" ref="B64:B80" si="13">B63</f>
        <v>3C4 Direct N2O from managed soils (N2O)</v>
      </c>
      <c r="C64" t="str">
        <f t="shared" ref="C64:C80" si="14">C63</f>
        <v>Excretion rate</v>
      </c>
      <c r="D64" t="str">
        <f>" - "&amp;'Activity data'!D6</f>
        <v xml:space="preserve"> - Pasture</v>
      </c>
      <c r="E64" t="str">
        <f t="shared" si="11"/>
        <v>Excretion rate - Pasture</v>
      </c>
      <c r="F64" t="str">
        <f t="shared" ref="F64:F80" si="15">F63</f>
        <v>kg N/head/yr</v>
      </c>
      <c r="H64" s="22">
        <f>SUM('Aggregated EF'!T5:T7)</f>
        <v>116.88195504174696</v>
      </c>
    </row>
    <row r="65" spans="1:8" x14ac:dyDescent="0.25">
      <c r="A65" t="str">
        <f t="shared" si="12"/>
        <v>3C Aggregated and non-CO2 emissions on land</v>
      </c>
      <c r="B65" t="str">
        <f t="shared" si="13"/>
        <v>3C4 Direct N2O from managed soils (N2O)</v>
      </c>
      <c r="C65" t="str">
        <f t="shared" si="14"/>
        <v>Excretion rate</v>
      </c>
      <c r="D65" t="str">
        <f>" - "&amp;'Activity data'!D7</f>
        <v xml:space="preserve"> - Non-lactating</v>
      </c>
      <c r="E65" t="str">
        <f t="shared" si="11"/>
        <v>Excretion rate - Non-lactating</v>
      </c>
      <c r="F65" t="str">
        <f t="shared" si="15"/>
        <v>kg N/head/yr</v>
      </c>
      <c r="H65" s="22">
        <f>SUM('Aggregated EF'!T12:T21)</f>
        <v>40.496928454397946</v>
      </c>
    </row>
    <row r="66" spans="1:8" x14ac:dyDescent="0.25">
      <c r="A66" t="str">
        <f t="shared" si="12"/>
        <v>3C Aggregated and non-CO2 emissions on land</v>
      </c>
      <c r="B66" t="str">
        <f t="shared" si="13"/>
        <v>3C4 Direct N2O from managed soils (N2O)</v>
      </c>
      <c r="C66" t="str">
        <f t="shared" si="14"/>
        <v>Excretion rate</v>
      </c>
      <c r="D66" t="str">
        <f>" - "&amp;'Activity data'!D8&amp;" cattle"</f>
        <v xml:space="preserve"> - Commercial cattle</v>
      </c>
      <c r="E66" t="str">
        <f t="shared" si="11"/>
        <v>Excretion rate - Commercial cattle</v>
      </c>
      <c r="F66" t="str">
        <f t="shared" si="15"/>
        <v>kg N/head/yr</v>
      </c>
      <c r="H66" s="22">
        <f>SUM('Aggregated EF'!T22:T24,'Aggregated EF'!T26:T28)</f>
        <v>86.354881619987609</v>
      </c>
    </row>
    <row r="67" spans="1:8" x14ac:dyDescent="0.25">
      <c r="A67" t="str">
        <f t="shared" si="12"/>
        <v>3C Aggregated and non-CO2 emissions on land</v>
      </c>
      <c r="B67" t="str">
        <f t="shared" si="13"/>
        <v>3C4 Direct N2O from managed soils (N2O)</v>
      </c>
      <c r="C67" t="str">
        <f t="shared" si="14"/>
        <v>Excretion rate</v>
      </c>
      <c r="D67" t="str">
        <f>" - "&amp;'Activity data'!D9&amp;" cattle"</f>
        <v xml:space="preserve"> - Subsistence cattle</v>
      </c>
      <c r="E67" t="str">
        <f t="shared" si="11"/>
        <v>Excretion rate - Subsistence cattle</v>
      </c>
      <c r="F67" t="str">
        <f t="shared" si="15"/>
        <v>kg N/head/yr</v>
      </c>
      <c r="H67" s="22">
        <f>SUM('Aggregated EF'!T29:T34)</f>
        <v>64.633710943402036</v>
      </c>
    </row>
    <row r="68" spans="1:8" x14ac:dyDescent="0.25">
      <c r="A68" t="str">
        <f t="shared" si="12"/>
        <v>3C Aggregated and non-CO2 emissions on land</v>
      </c>
      <c r="B68" t="str">
        <f t="shared" si="13"/>
        <v>3C4 Direct N2O from managed soils (N2O)</v>
      </c>
      <c r="C68" t="str">
        <f t="shared" si="14"/>
        <v>Excretion rate</v>
      </c>
      <c r="D68" t="str">
        <f>" - "&amp;'Activity data'!D10</f>
        <v xml:space="preserve"> - Feedlot</v>
      </c>
      <c r="E68" t="str">
        <f t="shared" si="11"/>
        <v>Excretion rate - Feedlot</v>
      </c>
      <c r="F68" t="str">
        <f t="shared" si="15"/>
        <v>kg N/head/yr</v>
      </c>
      <c r="H68" s="22">
        <f>'Aggregated EF'!T25</f>
        <v>65.765699999999995</v>
      </c>
    </row>
    <row r="69" spans="1:8" x14ac:dyDescent="0.25">
      <c r="A69" t="str">
        <f t="shared" si="12"/>
        <v>3C Aggregated and non-CO2 emissions on land</v>
      </c>
      <c r="B69" t="str">
        <f t="shared" si="13"/>
        <v>3C4 Direct N2O from managed soils (N2O)</v>
      </c>
      <c r="C69" t="str">
        <f t="shared" si="14"/>
        <v>Excretion rate</v>
      </c>
      <c r="D69" t="str">
        <f>" - "&amp;'Activity data'!D11&amp;" sheep"</f>
        <v xml:space="preserve"> - Commercial sheep</v>
      </c>
      <c r="E69" t="str">
        <f t="shared" si="11"/>
        <v>Excretion rate - Commercial sheep</v>
      </c>
      <c r="F69" t="str">
        <f t="shared" si="15"/>
        <v>kg N/head/yr</v>
      </c>
      <c r="H69" s="22">
        <f>SUM('Aggregated EF'!T36:T59)</f>
        <v>19.60551595998232</v>
      </c>
    </row>
    <row r="70" spans="1:8" x14ac:dyDescent="0.25">
      <c r="A70" t="str">
        <f t="shared" si="12"/>
        <v>3C Aggregated and non-CO2 emissions on land</v>
      </c>
      <c r="B70" t="str">
        <f t="shared" si="13"/>
        <v>3C4 Direct N2O from managed soils (N2O)</v>
      </c>
      <c r="C70" t="str">
        <f t="shared" si="14"/>
        <v>Excretion rate</v>
      </c>
      <c r="D70" t="str">
        <f>" - "&amp;'Activity data'!D12&amp;" sheep"</f>
        <v xml:space="preserve"> - Subsistence sheep</v>
      </c>
      <c r="E70" t="str">
        <f t="shared" si="11"/>
        <v>Excretion rate - Subsistence sheep</v>
      </c>
      <c r="F70" t="str">
        <f t="shared" si="15"/>
        <v>kg N/head/yr</v>
      </c>
      <c r="H70" s="22">
        <f>SUM('Aggregated EF'!T60:T83)</f>
        <v>15.591414113527657</v>
      </c>
    </row>
    <row r="71" spans="1:8" x14ac:dyDescent="0.25">
      <c r="A71" t="str">
        <f t="shared" si="12"/>
        <v>3C Aggregated and non-CO2 emissions on land</v>
      </c>
      <c r="B71" t="str">
        <f t="shared" si="13"/>
        <v>3C4 Direct N2O from managed soils (N2O)</v>
      </c>
      <c r="C71" t="str">
        <f t="shared" si="14"/>
        <v>Excretion rate</v>
      </c>
      <c r="D71" t="str">
        <f>" - "&amp;'Activity data'!D13&amp;" goats"</f>
        <v xml:space="preserve"> - Commercial goats</v>
      </c>
      <c r="E71" t="str">
        <f t="shared" si="11"/>
        <v>Excretion rate - Commercial goats</v>
      </c>
      <c r="F71" t="str">
        <f t="shared" si="15"/>
        <v>kg N/head/yr</v>
      </c>
      <c r="H71" s="22">
        <f>SUM('Aggregated EF'!T85:T102)</f>
        <v>22.287353637058541</v>
      </c>
    </row>
    <row r="72" spans="1:8" x14ac:dyDescent="0.25">
      <c r="A72" t="str">
        <f t="shared" si="12"/>
        <v>3C Aggregated and non-CO2 emissions on land</v>
      </c>
      <c r="B72" t="str">
        <f t="shared" si="13"/>
        <v>3C4 Direct N2O from managed soils (N2O)</v>
      </c>
      <c r="C72" t="str">
        <f t="shared" si="14"/>
        <v>Excretion rate</v>
      </c>
      <c r="D72" t="str">
        <f>" - "&amp;'Activity data'!D14&amp;" goats"</f>
        <v xml:space="preserve"> - Subsistence goats</v>
      </c>
      <c r="E72" t="str">
        <f t="shared" si="11"/>
        <v>Excretion rate - Subsistence goats</v>
      </c>
      <c r="F72" t="str">
        <f t="shared" si="15"/>
        <v>kg N/head/yr</v>
      </c>
      <c r="H72" s="22">
        <f>SUM('Aggregated EF'!T103:T108)</f>
        <v>20.227322529999995</v>
      </c>
    </row>
    <row r="73" spans="1:8" x14ac:dyDescent="0.25">
      <c r="A73" t="str">
        <f t="shared" si="12"/>
        <v>3C Aggregated and non-CO2 emissions on land</v>
      </c>
      <c r="B73" t="str">
        <f t="shared" si="13"/>
        <v>3C4 Direct N2O from managed soils (N2O)</v>
      </c>
      <c r="C73" t="str">
        <f t="shared" si="14"/>
        <v>Excretion rate</v>
      </c>
      <c r="D73" t="str">
        <f>" - "&amp;'Activity data'!D15</f>
        <v xml:space="preserve"> - Horses</v>
      </c>
      <c r="E73" t="str">
        <f t="shared" si="11"/>
        <v>Excretion rate - Horses</v>
      </c>
      <c r="F73" t="str">
        <f t="shared" si="15"/>
        <v>kg N/head/yr</v>
      </c>
      <c r="H73" s="22">
        <f>'Aggregated EF'!T110</f>
        <v>39.5</v>
      </c>
    </row>
    <row r="74" spans="1:8" x14ac:dyDescent="0.25">
      <c r="A74" t="str">
        <f t="shared" si="12"/>
        <v>3C Aggregated and non-CO2 emissions on land</v>
      </c>
      <c r="B74" t="str">
        <f t="shared" si="13"/>
        <v>3C4 Direct N2O from managed soils (N2O)</v>
      </c>
      <c r="C74" t="str">
        <f t="shared" si="14"/>
        <v>Excretion rate</v>
      </c>
      <c r="D74" t="str">
        <f>" - "&amp;'Activity data'!D16</f>
        <v xml:space="preserve"> - Mules &amp; Asses</v>
      </c>
      <c r="E74" t="str">
        <f t="shared" si="11"/>
        <v>Excretion rate - Mules &amp; Asses</v>
      </c>
      <c r="F74" t="str">
        <f t="shared" si="15"/>
        <v>kg N/head/yr</v>
      </c>
      <c r="H74" s="22">
        <f>'Aggregated EF'!T112</f>
        <v>13.2</v>
      </c>
    </row>
    <row r="75" spans="1:8" x14ac:dyDescent="0.25">
      <c r="A75" t="str">
        <f t="shared" si="12"/>
        <v>3C Aggregated and non-CO2 emissions on land</v>
      </c>
      <c r="B75" t="str">
        <f t="shared" si="13"/>
        <v>3C4 Direct N2O from managed soils (N2O)</v>
      </c>
      <c r="C75" t="str">
        <f t="shared" si="14"/>
        <v>Excretion rate</v>
      </c>
      <c r="D75" t="str">
        <f>" - "&amp;'Activity data'!D17&amp;" swine"</f>
        <v xml:space="preserve"> - Commercial swine</v>
      </c>
      <c r="E75" t="str">
        <f t="shared" si="11"/>
        <v>Excretion rate - Commercial swine</v>
      </c>
      <c r="F75" t="str">
        <f t="shared" si="15"/>
        <v>kg N/head/yr</v>
      </c>
      <c r="H75" s="22">
        <f>SUM('Aggregated EF'!T114:T123)</f>
        <v>13.769600000000001</v>
      </c>
    </row>
    <row r="76" spans="1:8" x14ac:dyDescent="0.25">
      <c r="A76" t="str">
        <f t="shared" si="12"/>
        <v>3C Aggregated and non-CO2 emissions on land</v>
      </c>
      <c r="B76" t="str">
        <f t="shared" si="13"/>
        <v>3C4 Direct N2O from managed soils (N2O)</v>
      </c>
      <c r="C76" t="str">
        <f t="shared" si="14"/>
        <v>Excretion rate</v>
      </c>
      <c r="D76" t="str">
        <f>" - "&amp;'Activity data'!D18&amp;" swine"</f>
        <v xml:space="preserve"> - Subsistence swine</v>
      </c>
      <c r="E76" t="str">
        <f t="shared" si="11"/>
        <v>Excretion rate - Subsistence swine</v>
      </c>
      <c r="F76" t="str">
        <f t="shared" si="15"/>
        <v>kg N/head/yr</v>
      </c>
      <c r="H76" s="22">
        <f>SUM('Aggregated EF'!T124:T133)</f>
        <v>15.091520000000001</v>
      </c>
    </row>
    <row r="77" spans="1:8" x14ac:dyDescent="0.25">
      <c r="A77" t="str">
        <f t="shared" si="12"/>
        <v>3C Aggregated and non-CO2 emissions on land</v>
      </c>
      <c r="B77" t="str">
        <f t="shared" si="13"/>
        <v>3C4 Direct N2O from managed soils (N2O)</v>
      </c>
      <c r="C77" t="str">
        <f t="shared" si="14"/>
        <v>Excretion rate</v>
      </c>
      <c r="D77" t="str">
        <f>" - "&amp;'Activity data'!D19</f>
        <v xml:space="preserve"> - Commercial layers</v>
      </c>
      <c r="E77" t="str">
        <f t="shared" si="11"/>
        <v>Excretion rate - Commercial layers</v>
      </c>
      <c r="F77" t="str">
        <f t="shared" si="15"/>
        <v>kg N/head/yr</v>
      </c>
      <c r="H77" s="22">
        <f>'Aggregated EF'!T136</f>
        <v>0.6</v>
      </c>
    </row>
    <row r="78" spans="1:8" x14ac:dyDescent="0.25">
      <c r="A78" t="str">
        <f t="shared" si="12"/>
        <v>3C Aggregated and non-CO2 emissions on land</v>
      </c>
      <c r="B78" t="str">
        <f t="shared" si="13"/>
        <v>3C4 Direct N2O from managed soils (N2O)</v>
      </c>
      <c r="C78" t="str">
        <f t="shared" si="14"/>
        <v>Excretion rate</v>
      </c>
      <c r="D78" t="str">
        <f>" - "&amp;'Activity data'!D20</f>
        <v xml:space="preserve"> - Commercial broilers</v>
      </c>
      <c r="E78" t="str">
        <f t="shared" si="11"/>
        <v>Excretion rate - Commercial broilers</v>
      </c>
      <c r="F78" t="str">
        <f t="shared" si="15"/>
        <v>kg N/head/yr</v>
      </c>
      <c r="H78" s="22">
        <f>'Aggregated EF'!T135</f>
        <v>0.7</v>
      </c>
    </row>
    <row r="79" spans="1:8" x14ac:dyDescent="0.25">
      <c r="A79" t="str">
        <f t="shared" si="12"/>
        <v>3C Aggregated and non-CO2 emissions on land</v>
      </c>
      <c r="B79" t="str">
        <f t="shared" si="13"/>
        <v>3C4 Direct N2O from managed soils (N2O)</v>
      </c>
      <c r="C79" t="str">
        <f t="shared" si="14"/>
        <v>Excretion rate</v>
      </c>
      <c r="D79" t="str">
        <f>" - "&amp;'Activity data'!D21</f>
        <v xml:space="preserve"> - Subsistence layers</v>
      </c>
      <c r="E79" t="str">
        <f t="shared" si="11"/>
        <v>Excretion rate - Subsistence layers</v>
      </c>
      <c r="F79" t="str">
        <f t="shared" si="15"/>
        <v>kg N/head/yr</v>
      </c>
      <c r="H79" s="22">
        <f>'Aggregated EF'!T138</f>
        <v>0.6</v>
      </c>
    </row>
    <row r="80" spans="1:8" x14ac:dyDescent="0.25">
      <c r="A80" t="str">
        <f t="shared" si="12"/>
        <v>3C Aggregated and non-CO2 emissions on land</v>
      </c>
      <c r="B80" t="str">
        <f t="shared" si="13"/>
        <v>3C4 Direct N2O from managed soils (N2O)</v>
      </c>
      <c r="C80" t="str">
        <f t="shared" si="14"/>
        <v>Excretion rate</v>
      </c>
      <c r="D80" t="str">
        <f>" - "&amp;'Activity data'!D22</f>
        <v xml:space="preserve"> - Subsistence broilers</v>
      </c>
      <c r="E80" t="str">
        <f t="shared" si="11"/>
        <v>Excretion rate - Subsistence broilers</v>
      </c>
      <c r="F80" t="str">
        <f t="shared" si="15"/>
        <v>kg N/head/yr</v>
      </c>
      <c r="H80" s="22">
        <f>'Aggregated EF'!T137</f>
        <v>0.7</v>
      </c>
    </row>
    <row r="81" spans="1:8" x14ac:dyDescent="0.25">
      <c r="A81" t="str">
        <f t="shared" ref="A81:A112" si="16">A80</f>
        <v>3C Aggregated and non-CO2 emissions on land</v>
      </c>
      <c r="B81" t="str">
        <f t="shared" ref="B81:B112" si="17">B80</f>
        <v>3C4 Direct N2O from managed soils (N2O)</v>
      </c>
      <c r="C81" t="s">
        <v>391</v>
      </c>
      <c r="D81" t="str">
        <f t="shared" ref="D81:D114" si="18">D63</f>
        <v xml:space="preserve"> - TMR</v>
      </c>
      <c r="E81" t="str">
        <f t="shared" si="11"/>
        <v>FracMM - TMR</v>
      </c>
      <c r="F81" t="s">
        <v>327</v>
      </c>
      <c r="H81" s="22">
        <v>1</v>
      </c>
    </row>
    <row r="82" spans="1:8" x14ac:dyDescent="0.25">
      <c r="A82" t="str">
        <f t="shared" si="16"/>
        <v>3C Aggregated and non-CO2 emissions on land</v>
      </c>
      <c r="B82" t="str">
        <f t="shared" si="17"/>
        <v>3C4 Direct N2O from managed soils (N2O)</v>
      </c>
      <c r="C82" t="s">
        <v>391</v>
      </c>
      <c r="D82" t="str">
        <f t="shared" si="18"/>
        <v xml:space="preserve"> - Pasture</v>
      </c>
      <c r="E82" t="str">
        <f t="shared" si="11"/>
        <v>FracMM - Pasture</v>
      </c>
      <c r="F82" t="s">
        <v>327</v>
      </c>
      <c r="H82" s="22">
        <v>0.4</v>
      </c>
    </row>
    <row r="83" spans="1:8" x14ac:dyDescent="0.25">
      <c r="A83" t="str">
        <f t="shared" si="16"/>
        <v>3C Aggregated and non-CO2 emissions on land</v>
      </c>
      <c r="B83" t="str">
        <f t="shared" si="17"/>
        <v>3C4 Direct N2O from managed soils (N2O)</v>
      </c>
      <c r="C83" t="s">
        <v>391</v>
      </c>
      <c r="D83" t="str">
        <f t="shared" si="18"/>
        <v xml:space="preserve"> - Non-lactating</v>
      </c>
      <c r="E83" t="str">
        <f t="shared" si="11"/>
        <v>FracMM - Non-lactating</v>
      </c>
      <c r="F83" t="s">
        <v>327</v>
      </c>
      <c r="H83" s="22">
        <v>0.05</v>
      </c>
    </row>
    <row r="84" spans="1:8" x14ac:dyDescent="0.25">
      <c r="A84" t="str">
        <f t="shared" si="16"/>
        <v>3C Aggregated and non-CO2 emissions on land</v>
      </c>
      <c r="B84" t="str">
        <f t="shared" si="17"/>
        <v>3C4 Direct N2O from managed soils (N2O)</v>
      </c>
      <c r="C84" t="s">
        <v>391</v>
      </c>
      <c r="D84" t="str">
        <f t="shared" si="18"/>
        <v xml:space="preserve"> - Commercial cattle</v>
      </c>
      <c r="E84" t="str">
        <f>C84&amp;D84&amp;" cattle"</f>
        <v>FracMM - Commercial cattle cattle</v>
      </c>
      <c r="F84" t="s">
        <v>327</v>
      </c>
      <c r="H84" s="22">
        <v>0.05</v>
      </c>
    </row>
    <row r="85" spans="1:8" x14ac:dyDescent="0.25">
      <c r="A85" t="str">
        <f t="shared" si="16"/>
        <v>3C Aggregated and non-CO2 emissions on land</v>
      </c>
      <c r="B85" t="str">
        <f t="shared" si="17"/>
        <v>3C4 Direct N2O from managed soils (N2O)</v>
      </c>
      <c r="C85" t="s">
        <v>391</v>
      </c>
      <c r="D85" t="str">
        <f t="shared" si="18"/>
        <v xml:space="preserve"> - Subsistence cattle</v>
      </c>
      <c r="E85" t="str">
        <f>C85&amp;D85&amp;" cattle"</f>
        <v>FracMM - Subsistence cattle cattle</v>
      </c>
      <c r="F85" t="s">
        <v>327</v>
      </c>
      <c r="H85" s="22">
        <v>0.1</v>
      </c>
    </row>
    <row r="86" spans="1:8" x14ac:dyDescent="0.25">
      <c r="A86" t="str">
        <f t="shared" si="16"/>
        <v>3C Aggregated and non-CO2 emissions on land</v>
      </c>
      <c r="B86" t="str">
        <f t="shared" si="17"/>
        <v>3C4 Direct N2O from managed soils (N2O)</v>
      </c>
      <c r="C86" t="s">
        <v>391</v>
      </c>
      <c r="D86" t="str">
        <f t="shared" si="18"/>
        <v xml:space="preserve"> - Feedlot</v>
      </c>
      <c r="E86" t="str">
        <f t="shared" ref="E86:E130" si="19">C86&amp;D86</f>
        <v>FracMM - Feedlot</v>
      </c>
      <c r="F86" t="s">
        <v>327</v>
      </c>
      <c r="H86" s="22">
        <v>1</v>
      </c>
    </row>
    <row r="87" spans="1:8" x14ac:dyDescent="0.25">
      <c r="A87" t="str">
        <f t="shared" si="16"/>
        <v>3C Aggregated and non-CO2 emissions on land</v>
      </c>
      <c r="B87" t="str">
        <f t="shared" si="17"/>
        <v>3C4 Direct N2O from managed soils (N2O)</v>
      </c>
      <c r="C87" t="s">
        <v>391</v>
      </c>
      <c r="D87" t="str">
        <f t="shared" si="18"/>
        <v xml:space="preserve"> - Commercial sheep</v>
      </c>
      <c r="E87" t="str">
        <f t="shared" si="19"/>
        <v>FracMM - Commercial sheep</v>
      </c>
      <c r="F87" t="s">
        <v>327</v>
      </c>
      <c r="H87" s="22">
        <v>0.01</v>
      </c>
    </row>
    <row r="88" spans="1:8" x14ac:dyDescent="0.25">
      <c r="A88" t="str">
        <f t="shared" si="16"/>
        <v>3C Aggregated and non-CO2 emissions on land</v>
      </c>
      <c r="B88" t="str">
        <f t="shared" si="17"/>
        <v>3C4 Direct N2O from managed soils (N2O)</v>
      </c>
      <c r="C88" t="s">
        <v>391</v>
      </c>
      <c r="D88" t="str">
        <f t="shared" si="18"/>
        <v xml:space="preserve"> - Subsistence sheep</v>
      </c>
      <c r="E88" t="str">
        <f t="shared" si="19"/>
        <v>FracMM - Subsistence sheep</v>
      </c>
      <c r="F88" t="s">
        <v>327</v>
      </c>
      <c r="H88" s="22">
        <v>7.0000000000000007E-2</v>
      </c>
    </row>
    <row r="89" spans="1:8" x14ac:dyDescent="0.25">
      <c r="A89" t="str">
        <f t="shared" si="16"/>
        <v>3C Aggregated and non-CO2 emissions on land</v>
      </c>
      <c r="B89" t="str">
        <f t="shared" si="17"/>
        <v>3C4 Direct N2O from managed soils (N2O)</v>
      </c>
      <c r="C89" t="s">
        <v>391</v>
      </c>
      <c r="D89" t="str">
        <f t="shared" si="18"/>
        <v xml:space="preserve"> - Commercial goats</v>
      </c>
      <c r="E89" t="str">
        <f t="shared" si="19"/>
        <v>FracMM - Commercial goats</v>
      </c>
      <c r="F89" t="s">
        <v>327</v>
      </c>
      <c r="H89" s="22">
        <v>0.01</v>
      </c>
    </row>
    <row r="90" spans="1:8" x14ac:dyDescent="0.25">
      <c r="A90" t="str">
        <f t="shared" si="16"/>
        <v>3C Aggregated and non-CO2 emissions on land</v>
      </c>
      <c r="B90" t="str">
        <f t="shared" si="17"/>
        <v>3C4 Direct N2O from managed soils (N2O)</v>
      </c>
      <c r="C90" t="s">
        <v>391</v>
      </c>
      <c r="D90" t="str">
        <f t="shared" si="18"/>
        <v xml:space="preserve"> - Subsistence goats</v>
      </c>
      <c r="E90" t="str">
        <f t="shared" si="19"/>
        <v>FracMM - Subsistence goats</v>
      </c>
      <c r="F90" t="s">
        <v>327</v>
      </c>
      <c r="H90" s="22">
        <v>7.0000000000000007E-2</v>
      </c>
    </row>
    <row r="91" spans="1:8" x14ac:dyDescent="0.25">
      <c r="A91" t="str">
        <f t="shared" si="16"/>
        <v>3C Aggregated and non-CO2 emissions on land</v>
      </c>
      <c r="B91" t="str">
        <f t="shared" si="17"/>
        <v>3C4 Direct N2O from managed soils (N2O)</v>
      </c>
      <c r="C91" t="s">
        <v>391</v>
      </c>
      <c r="D91" t="str">
        <f t="shared" si="18"/>
        <v xml:space="preserve"> - Horses</v>
      </c>
      <c r="E91" t="str">
        <f t="shared" si="19"/>
        <v>FracMM - Horses</v>
      </c>
      <c r="F91" t="s">
        <v>327</v>
      </c>
      <c r="H91" s="22">
        <v>0</v>
      </c>
    </row>
    <row r="92" spans="1:8" x14ac:dyDescent="0.25">
      <c r="A92" t="str">
        <f t="shared" si="16"/>
        <v>3C Aggregated and non-CO2 emissions on land</v>
      </c>
      <c r="B92" t="str">
        <f t="shared" si="17"/>
        <v>3C4 Direct N2O from managed soils (N2O)</v>
      </c>
      <c r="C92" t="s">
        <v>391</v>
      </c>
      <c r="D92" t="str">
        <f t="shared" si="18"/>
        <v xml:space="preserve"> - Mules &amp; Asses</v>
      </c>
      <c r="E92" t="str">
        <f t="shared" si="19"/>
        <v>FracMM - Mules &amp; Asses</v>
      </c>
      <c r="F92" t="s">
        <v>327</v>
      </c>
      <c r="H92" s="22">
        <v>0</v>
      </c>
    </row>
    <row r="93" spans="1:8" x14ac:dyDescent="0.25">
      <c r="A93" t="str">
        <f t="shared" si="16"/>
        <v>3C Aggregated and non-CO2 emissions on land</v>
      </c>
      <c r="B93" t="str">
        <f t="shared" si="17"/>
        <v>3C4 Direct N2O from managed soils (N2O)</v>
      </c>
      <c r="C93" t="s">
        <v>391</v>
      </c>
      <c r="D93" t="str">
        <f t="shared" si="18"/>
        <v xml:space="preserve"> - Commercial swine</v>
      </c>
      <c r="E93" t="str">
        <f t="shared" si="19"/>
        <v>FracMM - Commercial swine</v>
      </c>
      <c r="F93" t="s">
        <v>327</v>
      </c>
      <c r="H93" s="22">
        <v>1</v>
      </c>
    </row>
    <row r="94" spans="1:8" x14ac:dyDescent="0.25">
      <c r="A94" t="str">
        <f t="shared" si="16"/>
        <v>3C Aggregated and non-CO2 emissions on land</v>
      </c>
      <c r="B94" t="str">
        <f t="shared" si="17"/>
        <v>3C4 Direct N2O from managed soils (N2O)</v>
      </c>
      <c r="C94" t="s">
        <v>391</v>
      </c>
      <c r="D94" t="str">
        <f t="shared" si="18"/>
        <v xml:space="preserve"> - Subsistence swine</v>
      </c>
      <c r="E94" t="str">
        <f t="shared" si="19"/>
        <v>FracMM - Subsistence swine</v>
      </c>
      <c r="F94" t="s">
        <v>327</v>
      </c>
      <c r="H94" s="22">
        <v>1</v>
      </c>
    </row>
    <row r="95" spans="1:8" x14ac:dyDescent="0.25">
      <c r="A95" t="str">
        <f t="shared" si="16"/>
        <v>3C Aggregated and non-CO2 emissions on land</v>
      </c>
      <c r="B95" t="str">
        <f t="shared" si="17"/>
        <v>3C4 Direct N2O from managed soils (N2O)</v>
      </c>
      <c r="C95" t="s">
        <v>391</v>
      </c>
      <c r="D95" t="str">
        <f t="shared" si="18"/>
        <v xml:space="preserve"> - Commercial layers</v>
      </c>
      <c r="E95" t="str">
        <f t="shared" si="19"/>
        <v>FracMM - Commercial layers</v>
      </c>
      <c r="F95" t="s">
        <v>327</v>
      </c>
      <c r="H95" s="22">
        <v>1</v>
      </c>
    </row>
    <row r="96" spans="1:8" x14ac:dyDescent="0.25">
      <c r="A96" t="str">
        <f t="shared" si="16"/>
        <v>3C Aggregated and non-CO2 emissions on land</v>
      </c>
      <c r="B96" t="str">
        <f t="shared" si="17"/>
        <v>3C4 Direct N2O from managed soils (N2O)</v>
      </c>
      <c r="C96" t="s">
        <v>391</v>
      </c>
      <c r="D96" t="str">
        <f t="shared" si="18"/>
        <v xml:space="preserve"> - Commercial broilers</v>
      </c>
      <c r="E96" t="str">
        <f t="shared" si="19"/>
        <v>FracMM - Commercial broilers</v>
      </c>
      <c r="F96" t="s">
        <v>327</v>
      </c>
      <c r="H96" s="22">
        <v>1</v>
      </c>
    </row>
    <row r="97" spans="1:8" x14ac:dyDescent="0.25">
      <c r="A97" t="str">
        <f t="shared" si="16"/>
        <v>3C Aggregated and non-CO2 emissions on land</v>
      </c>
      <c r="B97" t="str">
        <f t="shared" si="17"/>
        <v>3C4 Direct N2O from managed soils (N2O)</v>
      </c>
      <c r="C97" t="s">
        <v>391</v>
      </c>
      <c r="D97" t="str">
        <f t="shared" si="18"/>
        <v xml:space="preserve"> - Subsistence layers</v>
      </c>
      <c r="E97" t="str">
        <f t="shared" si="19"/>
        <v>FracMM - Subsistence layers</v>
      </c>
      <c r="F97" t="s">
        <v>327</v>
      </c>
      <c r="H97" s="22">
        <v>1</v>
      </c>
    </row>
    <row r="98" spans="1:8" x14ac:dyDescent="0.25">
      <c r="A98" t="str">
        <f t="shared" si="16"/>
        <v>3C Aggregated and non-CO2 emissions on land</v>
      </c>
      <c r="B98" t="str">
        <f t="shared" si="17"/>
        <v>3C4 Direct N2O from managed soils (N2O)</v>
      </c>
      <c r="C98" t="s">
        <v>391</v>
      </c>
      <c r="D98" t="str">
        <f t="shared" si="18"/>
        <v xml:space="preserve"> - Subsistence broilers</v>
      </c>
      <c r="E98" t="str">
        <f t="shared" si="19"/>
        <v>FracMM - Subsistence broilers</v>
      </c>
      <c r="F98" t="s">
        <v>327</v>
      </c>
      <c r="H98" s="22">
        <v>1</v>
      </c>
    </row>
    <row r="99" spans="1:8" x14ac:dyDescent="0.25">
      <c r="A99" t="str">
        <f t="shared" si="16"/>
        <v>3C Aggregated and non-CO2 emissions on land</v>
      </c>
      <c r="B99" t="str">
        <f t="shared" si="17"/>
        <v>3C4 Direct N2O from managed soils (N2O)</v>
      </c>
      <c r="C99" t="s">
        <v>404</v>
      </c>
      <c r="D99" t="str">
        <f t="shared" si="18"/>
        <v xml:space="preserve"> - TMR</v>
      </c>
      <c r="E99" t="str">
        <f t="shared" si="19"/>
        <v>FracLoss - TMR</v>
      </c>
      <c r="F99" t="s">
        <v>327</v>
      </c>
      <c r="H99" s="22">
        <v>0.73199999999999998</v>
      </c>
    </row>
    <row r="100" spans="1:8" x14ac:dyDescent="0.25">
      <c r="A100" t="str">
        <f t="shared" si="16"/>
        <v>3C Aggregated and non-CO2 emissions on land</v>
      </c>
      <c r="B100" t="str">
        <f t="shared" si="17"/>
        <v>3C4 Direct N2O from managed soils (N2O)</v>
      </c>
      <c r="C100" t="s">
        <v>404</v>
      </c>
      <c r="D100" t="str">
        <f t="shared" si="18"/>
        <v xml:space="preserve"> - Pasture</v>
      </c>
      <c r="E100" t="str">
        <f t="shared" si="19"/>
        <v>FracLoss - Pasture</v>
      </c>
      <c r="F100" t="s">
        <v>327</v>
      </c>
      <c r="H100" s="22">
        <v>0.155</v>
      </c>
    </row>
    <row r="101" spans="1:8" x14ac:dyDescent="0.25">
      <c r="A101" t="str">
        <f t="shared" si="16"/>
        <v>3C Aggregated and non-CO2 emissions on land</v>
      </c>
      <c r="B101" t="str">
        <f t="shared" si="17"/>
        <v>3C4 Direct N2O from managed soils (N2O)</v>
      </c>
      <c r="C101" t="s">
        <v>404</v>
      </c>
      <c r="D101" t="str">
        <f t="shared" si="18"/>
        <v xml:space="preserve"> - Non-lactating</v>
      </c>
      <c r="E101" t="str">
        <f t="shared" si="19"/>
        <v>FracLoss - Non-lactating</v>
      </c>
      <c r="F101" t="s">
        <v>327</v>
      </c>
      <c r="H101" s="22">
        <v>1.7999999999999999E-2</v>
      </c>
    </row>
    <row r="102" spans="1:8" x14ac:dyDescent="0.25">
      <c r="A102" t="str">
        <f t="shared" si="16"/>
        <v>3C Aggregated and non-CO2 emissions on land</v>
      </c>
      <c r="B102" t="str">
        <f t="shared" si="17"/>
        <v>3C4 Direct N2O from managed soils (N2O)</v>
      </c>
      <c r="C102" t="s">
        <v>404</v>
      </c>
      <c r="D102" t="str">
        <f t="shared" si="18"/>
        <v xml:space="preserve"> - Commercial cattle</v>
      </c>
      <c r="E102" t="str">
        <f t="shared" si="19"/>
        <v>FracLoss - Commercial cattle</v>
      </c>
      <c r="F102" t="s">
        <v>327</v>
      </c>
      <c r="H102" s="22">
        <v>0.01</v>
      </c>
    </row>
    <row r="103" spans="1:8" x14ac:dyDescent="0.25">
      <c r="A103" t="str">
        <f t="shared" si="16"/>
        <v>3C Aggregated and non-CO2 emissions on land</v>
      </c>
      <c r="B103" t="str">
        <f t="shared" si="17"/>
        <v>3C4 Direct N2O from managed soils (N2O)</v>
      </c>
      <c r="C103" t="s">
        <v>404</v>
      </c>
      <c r="D103" t="str">
        <f t="shared" si="18"/>
        <v xml:space="preserve"> - Subsistence cattle</v>
      </c>
      <c r="E103" t="str">
        <f t="shared" si="19"/>
        <v>FracLoss - Subsistence cattle</v>
      </c>
      <c r="F103" t="s">
        <v>327</v>
      </c>
      <c r="H103" s="22">
        <v>0.04</v>
      </c>
    </row>
    <row r="104" spans="1:8" x14ac:dyDescent="0.25">
      <c r="A104" t="str">
        <f t="shared" si="16"/>
        <v>3C Aggregated and non-CO2 emissions on land</v>
      </c>
      <c r="B104" t="str">
        <f t="shared" si="17"/>
        <v>3C4 Direct N2O from managed soils (N2O)</v>
      </c>
      <c r="C104" t="s">
        <v>404</v>
      </c>
      <c r="D104" t="str">
        <f t="shared" si="18"/>
        <v xml:space="preserve"> - Feedlot</v>
      </c>
      <c r="E104" t="str">
        <f t="shared" si="19"/>
        <v>FracLoss - Feedlot</v>
      </c>
      <c r="F104" t="s">
        <v>327</v>
      </c>
      <c r="H104" s="22">
        <v>0.38600000000000001</v>
      </c>
    </row>
    <row r="105" spans="1:8" x14ac:dyDescent="0.25">
      <c r="A105" t="str">
        <f t="shared" si="16"/>
        <v>3C Aggregated and non-CO2 emissions on land</v>
      </c>
      <c r="B105" t="str">
        <f t="shared" si="17"/>
        <v>3C4 Direct N2O from managed soils (N2O)</v>
      </c>
      <c r="C105" t="s">
        <v>404</v>
      </c>
      <c r="D105" t="str">
        <f t="shared" si="18"/>
        <v xml:space="preserve"> - Commercial sheep</v>
      </c>
      <c r="E105" t="str">
        <f t="shared" si="19"/>
        <v>FracLoss - Commercial sheep</v>
      </c>
      <c r="F105" t="s">
        <v>327</v>
      </c>
      <c r="H105" s="22">
        <v>4.0000000000000001E-3</v>
      </c>
    </row>
    <row r="106" spans="1:8" x14ac:dyDescent="0.25">
      <c r="A106" t="str">
        <f t="shared" si="16"/>
        <v>3C Aggregated and non-CO2 emissions on land</v>
      </c>
      <c r="B106" t="str">
        <f t="shared" si="17"/>
        <v>3C4 Direct N2O from managed soils (N2O)</v>
      </c>
      <c r="C106" t="s">
        <v>404</v>
      </c>
      <c r="D106" t="str">
        <f t="shared" si="18"/>
        <v xml:space="preserve"> - Subsistence sheep</v>
      </c>
      <c r="E106" t="str">
        <f t="shared" si="19"/>
        <v>FracLoss - Subsistence sheep</v>
      </c>
      <c r="F106" t="s">
        <v>327</v>
      </c>
      <c r="H106" s="22">
        <v>2.5499999999999998E-2</v>
      </c>
    </row>
    <row r="107" spans="1:8" x14ac:dyDescent="0.25">
      <c r="A107" t="str">
        <f t="shared" si="16"/>
        <v>3C Aggregated and non-CO2 emissions on land</v>
      </c>
      <c r="B107" t="str">
        <f t="shared" si="17"/>
        <v>3C4 Direct N2O from managed soils (N2O)</v>
      </c>
      <c r="C107" t="s">
        <v>404</v>
      </c>
      <c r="D107" t="str">
        <f t="shared" si="18"/>
        <v xml:space="preserve"> - Commercial goats</v>
      </c>
      <c r="E107" t="str">
        <f t="shared" si="19"/>
        <v>FracLoss - Commercial goats</v>
      </c>
      <c r="F107" t="s">
        <v>327</v>
      </c>
      <c r="H107" s="22">
        <v>4.0000000000000001E-3</v>
      </c>
    </row>
    <row r="108" spans="1:8" x14ac:dyDescent="0.25">
      <c r="A108" t="str">
        <f t="shared" si="16"/>
        <v>3C Aggregated and non-CO2 emissions on land</v>
      </c>
      <c r="B108" t="str">
        <f t="shared" si="17"/>
        <v>3C4 Direct N2O from managed soils (N2O)</v>
      </c>
      <c r="C108" t="s">
        <v>404</v>
      </c>
      <c r="D108" t="str">
        <f t="shared" si="18"/>
        <v xml:space="preserve"> - Subsistence goats</v>
      </c>
      <c r="E108" t="str">
        <f t="shared" si="19"/>
        <v>FracLoss - Subsistence goats</v>
      </c>
      <c r="F108" t="s">
        <v>327</v>
      </c>
      <c r="H108" s="22">
        <v>2.5499999999999998E-2</v>
      </c>
    </row>
    <row r="109" spans="1:8" x14ac:dyDescent="0.25">
      <c r="A109" t="str">
        <f t="shared" si="16"/>
        <v>3C Aggregated and non-CO2 emissions on land</v>
      </c>
      <c r="B109" t="str">
        <f t="shared" si="17"/>
        <v>3C4 Direct N2O from managed soils (N2O)</v>
      </c>
      <c r="C109" t="s">
        <v>404</v>
      </c>
      <c r="D109" t="str">
        <f t="shared" si="18"/>
        <v xml:space="preserve"> - Horses</v>
      </c>
      <c r="E109" t="str">
        <f t="shared" si="19"/>
        <v>FracLoss - Horses</v>
      </c>
      <c r="F109" t="s">
        <v>327</v>
      </c>
      <c r="H109" s="22">
        <v>0</v>
      </c>
    </row>
    <row r="110" spans="1:8" x14ac:dyDescent="0.25">
      <c r="A110" t="str">
        <f t="shared" si="16"/>
        <v>3C Aggregated and non-CO2 emissions on land</v>
      </c>
      <c r="B110" t="str">
        <f t="shared" si="17"/>
        <v>3C4 Direct N2O from managed soils (N2O)</v>
      </c>
      <c r="C110" t="s">
        <v>404</v>
      </c>
      <c r="D110" t="str">
        <f t="shared" si="18"/>
        <v xml:space="preserve"> - Mules &amp; Asses</v>
      </c>
      <c r="E110" t="str">
        <f t="shared" si="19"/>
        <v>FracLoss - Mules &amp; Asses</v>
      </c>
      <c r="F110" t="s">
        <v>327</v>
      </c>
      <c r="H110" s="22">
        <v>0</v>
      </c>
    </row>
    <row r="111" spans="1:8" x14ac:dyDescent="0.25">
      <c r="A111" t="str">
        <f t="shared" si="16"/>
        <v>3C Aggregated and non-CO2 emissions on land</v>
      </c>
      <c r="B111" t="str">
        <f t="shared" si="17"/>
        <v>3C4 Direct N2O from managed soils (N2O)</v>
      </c>
      <c r="C111" t="s">
        <v>404</v>
      </c>
      <c r="D111" t="str">
        <f t="shared" si="18"/>
        <v xml:space="preserve"> - Commercial swine</v>
      </c>
      <c r="E111" t="str">
        <f t="shared" si="19"/>
        <v>FracLoss - Commercial swine</v>
      </c>
      <c r="F111" t="s">
        <v>327</v>
      </c>
      <c r="H111" s="22">
        <v>0.6522</v>
      </c>
    </row>
    <row r="112" spans="1:8" x14ac:dyDescent="0.25">
      <c r="A112" t="str">
        <f t="shared" si="16"/>
        <v>3C Aggregated and non-CO2 emissions on land</v>
      </c>
      <c r="B112" t="str">
        <f t="shared" si="17"/>
        <v>3C4 Direct N2O from managed soils (N2O)</v>
      </c>
      <c r="C112" t="s">
        <v>404</v>
      </c>
      <c r="D112" t="str">
        <f t="shared" si="18"/>
        <v xml:space="preserve"> - Subsistence swine</v>
      </c>
      <c r="E112" t="str">
        <f t="shared" si="19"/>
        <v>FracLoss - Subsistence swine</v>
      </c>
      <c r="F112" t="s">
        <v>327</v>
      </c>
      <c r="H112" s="22">
        <v>0.40959999999999996</v>
      </c>
    </row>
    <row r="113" spans="1:8" x14ac:dyDescent="0.25">
      <c r="A113" t="str">
        <f t="shared" ref="A113:A130" si="20">A112</f>
        <v>3C Aggregated and non-CO2 emissions on land</v>
      </c>
      <c r="B113" t="str">
        <f t="shared" ref="B113:B130" si="21">B112</f>
        <v>3C4 Direct N2O from managed soils (N2O)</v>
      </c>
      <c r="C113" t="s">
        <v>404</v>
      </c>
      <c r="D113" t="str">
        <f t="shared" si="18"/>
        <v xml:space="preserve"> - Commercial layers</v>
      </c>
      <c r="E113" t="str">
        <f t="shared" si="19"/>
        <v>FracLoss - Commercial layers</v>
      </c>
      <c r="F113" t="s">
        <v>327</v>
      </c>
      <c r="H113" s="22">
        <v>0.29599999999999999</v>
      </c>
    </row>
    <row r="114" spans="1:8" x14ac:dyDescent="0.25">
      <c r="A114" t="str">
        <f t="shared" si="20"/>
        <v>3C Aggregated and non-CO2 emissions on land</v>
      </c>
      <c r="B114" t="str">
        <f t="shared" si="21"/>
        <v>3C4 Direct N2O from managed soils (N2O)</v>
      </c>
      <c r="C114" t="s">
        <v>404</v>
      </c>
      <c r="D114" t="str">
        <f t="shared" si="18"/>
        <v xml:space="preserve"> - Commercial broilers</v>
      </c>
      <c r="E114" t="str">
        <f t="shared" si="19"/>
        <v>FracLoss - Commercial broilers</v>
      </c>
      <c r="F114" t="s">
        <v>327</v>
      </c>
      <c r="H114" s="22">
        <v>0.24</v>
      </c>
    </row>
    <row r="115" spans="1:8" x14ac:dyDescent="0.25">
      <c r="A115" t="str">
        <f t="shared" si="20"/>
        <v>3C Aggregated and non-CO2 emissions on land</v>
      </c>
      <c r="B115" t="str">
        <f t="shared" si="21"/>
        <v>3C4 Direct N2O from managed soils (N2O)</v>
      </c>
      <c r="C115" t="s">
        <v>408</v>
      </c>
      <c r="D115" t="str">
        <f t="shared" ref="D115:D130" si="22">D99</f>
        <v xml:space="preserve"> - TMR</v>
      </c>
      <c r="E115" t="str">
        <f t="shared" si="19"/>
        <v>N bedding - TMR</v>
      </c>
      <c r="F115" t="str">
        <f t="shared" ref="F115:F130" si="23">F114</f>
        <v>Fraction</v>
      </c>
      <c r="H115" s="22">
        <v>0</v>
      </c>
    </row>
    <row r="116" spans="1:8" x14ac:dyDescent="0.25">
      <c r="A116" t="str">
        <f t="shared" si="20"/>
        <v>3C Aggregated and non-CO2 emissions on land</v>
      </c>
      <c r="B116" t="str">
        <f t="shared" si="21"/>
        <v>3C4 Direct N2O from managed soils (N2O)</v>
      </c>
      <c r="C116" t="s">
        <v>408</v>
      </c>
      <c r="D116" t="str">
        <f t="shared" si="22"/>
        <v xml:space="preserve"> - Pasture</v>
      </c>
      <c r="E116" t="str">
        <f t="shared" si="19"/>
        <v>N bedding - Pasture</v>
      </c>
      <c r="F116" t="str">
        <f t="shared" si="23"/>
        <v>Fraction</v>
      </c>
      <c r="H116" s="22">
        <v>0.7</v>
      </c>
    </row>
    <row r="117" spans="1:8" x14ac:dyDescent="0.25">
      <c r="A117" t="str">
        <f t="shared" si="20"/>
        <v>3C Aggregated and non-CO2 emissions on land</v>
      </c>
      <c r="B117" t="str">
        <f t="shared" si="21"/>
        <v>3C4 Direct N2O from managed soils (N2O)</v>
      </c>
      <c r="C117" t="s">
        <v>408</v>
      </c>
      <c r="D117" t="str">
        <f t="shared" si="22"/>
        <v xml:space="preserve"> - Non-lactating</v>
      </c>
      <c r="E117" t="str">
        <f t="shared" si="19"/>
        <v>N bedding - Non-lactating</v>
      </c>
      <c r="F117" t="str">
        <f t="shared" si="23"/>
        <v>Fraction</v>
      </c>
      <c r="H117" s="22">
        <v>0.08</v>
      </c>
    </row>
    <row r="118" spans="1:8" x14ac:dyDescent="0.25">
      <c r="A118" t="str">
        <f t="shared" si="20"/>
        <v>3C Aggregated and non-CO2 emissions on land</v>
      </c>
      <c r="B118" t="str">
        <f t="shared" si="21"/>
        <v>3C4 Direct N2O from managed soils (N2O)</v>
      </c>
      <c r="C118" t="s">
        <v>408</v>
      </c>
      <c r="D118" t="str">
        <f t="shared" si="22"/>
        <v xml:space="preserve"> - Commercial cattle</v>
      </c>
      <c r="E118" t="str">
        <f t="shared" si="19"/>
        <v>N bedding - Commercial cattle</v>
      </c>
      <c r="F118" t="str">
        <f t="shared" si="23"/>
        <v>Fraction</v>
      </c>
      <c r="H118" s="22">
        <v>0</v>
      </c>
    </row>
    <row r="119" spans="1:8" x14ac:dyDescent="0.25">
      <c r="A119" t="str">
        <f t="shared" si="20"/>
        <v>3C Aggregated and non-CO2 emissions on land</v>
      </c>
      <c r="B119" t="str">
        <f t="shared" si="21"/>
        <v>3C4 Direct N2O from managed soils (N2O)</v>
      </c>
      <c r="C119" t="s">
        <v>408</v>
      </c>
      <c r="D119" t="str">
        <f t="shared" si="22"/>
        <v xml:space="preserve"> - Subsistence cattle</v>
      </c>
      <c r="E119" t="str">
        <f t="shared" si="19"/>
        <v>N bedding - Subsistence cattle</v>
      </c>
      <c r="F119" t="str">
        <f t="shared" si="23"/>
        <v>Fraction</v>
      </c>
      <c r="H119" s="22">
        <v>0.4</v>
      </c>
    </row>
    <row r="120" spans="1:8" x14ac:dyDescent="0.25">
      <c r="A120" t="str">
        <f t="shared" si="20"/>
        <v>3C Aggregated and non-CO2 emissions on land</v>
      </c>
      <c r="B120" t="str">
        <f t="shared" si="21"/>
        <v>3C4 Direct N2O from managed soils (N2O)</v>
      </c>
      <c r="C120" t="s">
        <v>408</v>
      </c>
      <c r="D120" t="str">
        <f t="shared" si="22"/>
        <v xml:space="preserve"> - Feedlot</v>
      </c>
      <c r="E120" t="str">
        <f t="shared" si="19"/>
        <v>N bedding - Feedlot</v>
      </c>
      <c r="F120" t="str">
        <f t="shared" si="23"/>
        <v>Fraction</v>
      </c>
      <c r="H120" s="22">
        <v>0</v>
      </c>
    </row>
    <row r="121" spans="1:8" x14ac:dyDescent="0.25">
      <c r="A121" t="str">
        <f t="shared" si="20"/>
        <v>3C Aggregated and non-CO2 emissions on land</v>
      </c>
      <c r="B121" t="str">
        <f t="shared" si="21"/>
        <v>3C4 Direct N2O from managed soils (N2O)</v>
      </c>
      <c r="C121" t="s">
        <v>408</v>
      </c>
      <c r="D121" t="str">
        <f t="shared" si="22"/>
        <v xml:space="preserve"> - Commercial sheep</v>
      </c>
      <c r="E121" t="str">
        <f t="shared" si="19"/>
        <v>N bedding - Commercial sheep</v>
      </c>
      <c r="F121" t="str">
        <f t="shared" si="23"/>
        <v>Fraction</v>
      </c>
      <c r="H121" s="22">
        <v>0</v>
      </c>
    </row>
    <row r="122" spans="1:8" x14ac:dyDescent="0.25">
      <c r="A122" t="str">
        <f t="shared" si="20"/>
        <v>3C Aggregated and non-CO2 emissions on land</v>
      </c>
      <c r="B122" t="str">
        <f t="shared" si="21"/>
        <v>3C4 Direct N2O from managed soils (N2O)</v>
      </c>
      <c r="C122" t="s">
        <v>408</v>
      </c>
      <c r="D122" t="str">
        <f t="shared" si="22"/>
        <v xml:space="preserve"> - Subsistence sheep</v>
      </c>
      <c r="E122" t="str">
        <f t="shared" si="19"/>
        <v>N bedding - Subsistence sheep</v>
      </c>
      <c r="F122" t="str">
        <f t="shared" si="23"/>
        <v>Fraction</v>
      </c>
      <c r="H122" s="22">
        <v>0</v>
      </c>
    </row>
    <row r="123" spans="1:8" x14ac:dyDescent="0.25">
      <c r="A123" t="str">
        <f t="shared" si="20"/>
        <v>3C Aggregated and non-CO2 emissions on land</v>
      </c>
      <c r="B123" t="str">
        <f t="shared" si="21"/>
        <v>3C4 Direct N2O from managed soils (N2O)</v>
      </c>
      <c r="C123" t="s">
        <v>408</v>
      </c>
      <c r="D123" t="str">
        <f t="shared" si="22"/>
        <v xml:space="preserve"> - Commercial goats</v>
      </c>
      <c r="E123" t="str">
        <f t="shared" si="19"/>
        <v>N bedding - Commercial goats</v>
      </c>
      <c r="F123" t="str">
        <f t="shared" si="23"/>
        <v>Fraction</v>
      </c>
      <c r="H123" s="22">
        <v>0</v>
      </c>
    </row>
    <row r="124" spans="1:8" x14ac:dyDescent="0.25">
      <c r="A124" t="str">
        <f t="shared" si="20"/>
        <v>3C Aggregated and non-CO2 emissions on land</v>
      </c>
      <c r="B124" t="str">
        <f t="shared" si="21"/>
        <v>3C4 Direct N2O from managed soils (N2O)</v>
      </c>
      <c r="C124" t="s">
        <v>408</v>
      </c>
      <c r="D124" t="str">
        <f t="shared" si="22"/>
        <v xml:space="preserve"> - Subsistence goats</v>
      </c>
      <c r="E124" t="str">
        <f t="shared" si="19"/>
        <v>N bedding - Subsistence goats</v>
      </c>
      <c r="F124" t="str">
        <f t="shared" si="23"/>
        <v>Fraction</v>
      </c>
      <c r="H124" s="22">
        <v>0</v>
      </c>
    </row>
    <row r="125" spans="1:8" x14ac:dyDescent="0.25">
      <c r="A125" t="str">
        <f t="shared" si="20"/>
        <v>3C Aggregated and non-CO2 emissions on land</v>
      </c>
      <c r="B125" t="str">
        <f t="shared" si="21"/>
        <v>3C4 Direct N2O from managed soils (N2O)</v>
      </c>
      <c r="C125" t="s">
        <v>408</v>
      </c>
      <c r="D125" t="str">
        <f t="shared" si="22"/>
        <v xml:space="preserve"> - Horses</v>
      </c>
      <c r="E125" t="str">
        <f t="shared" si="19"/>
        <v>N bedding - Horses</v>
      </c>
      <c r="F125" t="str">
        <f t="shared" si="23"/>
        <v>Fraction</v>
      </c>
      <c r="H125" s="22">
        <v>0</v>
      </c>
    </row>
    <row r="126" spans="1:8" x14ac:dyDescent="0.25">
      <c r="A126" t="str">
        <f t="shared" si="20"/>
        <v>3C Aggregated and non-CO2 emissions on land</v>
      </c>
      <c r="B126" t="str">
        <f t="shared" si="21"/>
        <v>3C4 Direct N2O from managed soils (N2O)</v>
      </c>
      <c r="C126" t="s">
        <v>408</v>
      </c>
      <c r="D126" t="str">
        <f t="shared" si="22"/>
        <v xml:space="preserve"> - Mules &amp; Asses</v>
      </c>
      <c r="E126" t="str">
        <f t="shared" si="19"/>
        <v>N bedding - Mules &amp; Asses</v>
      </c>
      <c r="F126" t="str">
        <f t="shared" si="23"/>
        <v>Fraction</v>
      </c>
      <c r="H126" s="22">
        <v>0</v>
      </c>
    </row>
    <row r="127" spans="1:8" x14ac:dyDescent="0.25">
      <c r="A127" t="str">
        <f t="shared" si="20"/>
        <v>3C Aggregated and non-CO2 emissions on land</v>
      </c>
      <c r="B127" t="str">
        <f t="shared" si="21"/>
        <v>3C4 Direct N2O from managed soils (N2O)</v>
      </c>
      <c r="C127" t="s">
        <v>408</v>
      </c>
      <c r="D127" t="str">
        <f t="shared" si="22"/>
        <v xml:space="preserve"> - Commercial swine</v>
      </c>
      <c r="E127" t="str">
        <f t="shared" si="19"/>
        <v>N bedding - Commercial swine</v>
      </c>
      <c r="F127" t="str">
        <f t="shared" si="23"/>
        <v>Fraction</v>
      </c>
      <c r="H127" s="22">
        <v>0</v>
      </c>
    </row>
    <row r="128" spans="1:8" x14ac:dyDescent="0.25">
      <c r="A128" t="str">
        <f t="shared" si="20"/>
        <v>3C Aggregated and non-CO2 emissions on land</v>
      </c>
      <c r="B128" t="str">
        <f t="shared" si="21"/>
        <v>3C4 Direct N2O from managed soils (N2O)</v>
      </c>
      <c r="C128" t="s">
        <v>408</v>
      </c>
      <c r="D128" t="str">
        <f t="shared" si="22"/>
        <v xml:space="preserve"> - Subsistence swine</v>
      </c>
      <c r="E128" t="str">
        <f t="shared" si="19"/>
        <v>N bedding - Subsistence swine</v>
      </c>
      <c r="F128" t="str">
        <f t="shared" si="23"/>
        <v>Fraction</v>
      </c>
      <c r="H128" s="22">
        <v>0</v>
      </c>
    </row>
    <row r="129" spans="1:10" x14ac:dyDescent="0.25">
      <c r="A129" t="str">
        <f t="shared" si="20"/>
        <v>3C Aggregated and non-CO2 emissions on land</v>
      </c>
      <c r="B129" t="str">
        <f t="shared" si="21"/>
        <v>3C4 Direct N2O from managed soils (N2O)</v>
      </c>
      <c r="C129" t="s">
        <v>408</v>
      </c>
      <c r="D129" t="str">
        <f t="shared" si="22"/>
        <v xml:space="preserve"> - Commercial layers</v>
      </c>
      <c r="E129" t="str">
        <f t="shared" si="19"/>
        <v>N bedding - Commercial layers</v>
      </c>
      <c r="F129" t="str">
        <f t="shared" si="23"/>
        <v>Fraction</v>
      </c>
      <c r="H129" s="22">
        <v>0</v>
      </c>
    </row>
    <row r="130" spans="1:10" x14ac:dyDescent="0.25">
      <c r="A130" t="str">
        <f t="shared" si="20"/>
        <v>3C Aggregated and non-CO2 emissions on land</v>
      </c>
      <c r="B130" t="str">
        <f t="shared" si="21"/>
        <v>3C4 Direct N2O from managed soils (N2O)</v>
      </c>
      <c r="C130" t="s">
        <v>408</v>
      </c>
      <c r="D130" t="str">
        <f t="shared" si="22"/>
        <v xml:space="preserve"> - Commercial broilers</v>
      </c>
      <c r="E130" t="str">
        <f t="shared" si="19"/>
        <v>N bedding - Commercial broilers</v>
      </c>
      <c r="F130" t="str">
        <f t="shared" si="23"/>
        <v>Fraction</v>
      </c>
      <c r="H130" s="22">
        <v>0</v>
      </c>
    </row>
    <row r="131" spans="1:10" ht="18.75" customHeight="1" x14ac:dyDescent="0.25">
      <c r="A131" s="20" t="s">
        <v>60</v>
      </c>
      <c r="B131" s="20"/>
      <c r="C131" s="20"/>
      <c r="D131" s="15"/>
      <c r="E131" s="15"/>
      <c r="F131" s="15"/>
      <c r="G131" s="15"/>
      <c r="H131" s="15"/>
      <c r="I131" s="15"/>
      <c r="J131" s="15"/>
    </row>
    <row r="132" spans="1:10" x14ac:dyDescent="0.25">
      <c r="A132" t="str">
        <f>'IPCC Categories'!A59</f>
        <v>3C Aggregated and non-CO2 emissions on land</v>
      </c>
      <c r="B132" t="str">
        <f>'IPCC Categories'!B73</f>
        <v>3C4 Direct N2O from managed soils (N2O)</v>
      </c>
      <c r="C132" t="str">
        <f>'IPCC Categories'!C77</f>
        <v>FSOM</v>
      </c>
      <c r="E132" t="s">
        <v>722</v>
      </c>
      <c r="F132" t="s">
        <v>327</v>
      </c>
      <c r="H132" s="27">
        <v>15</v>
      </c>
    </row>
    <row r="133" spans="1:10" x14ac:dyDescent="0.25">
      <c r="A133" t="str">
        <f>A132</f>
        <v>3C Aggregated and non-CO2 emissions on land</v>
      </c>
      <c r="B133" t="str">
        <f t="shared" ref="B133:C133" si="24">B132</f>
        <v>3C4 Direct N2O from managed soils (N2O)</v>
      </c>
      <c r="C133" t="str">
        <f t="shared" si="24"/>
        <v>FSOM</v>
      </c>
      <c r="E133" t="s">
        <v>723</v>
      </c>
      <c r="F133" t="s">
        <v>327</v>
      </c>
      <c r="H133" s="27">
        <v>15</v>
      </c>
    </row>
    <row r="134" spans="1:10" x14ac:dyDescent="0.25">
      <c r="A134" t="str">
        <f t="shared" ref="A134:A135" si="25">A133</f>
        <v>3C Aggregated and non-CO2 emissions on land</v>
      </c>
      <c r="B134" t="str">
        <f t="shared" ref="B134:B135" si="26">B133</f>
        <v>3C4 Direct N2O from managed soils (N2O)</v>
      </c>
      <c r="C134" t="str">
        <f t="shared" ref="C134:C135" si="27">C133</f>
        <v>FSOM</v>
      </c>
      <c r="E134" t="s">
        <v>724</v>
      </c>
      <c r="F134" t="s">
        <v>327</v>
      </c>
      <c r="H134" s="27">
        <v>10</v>
      </c>
    </row>
    <row r="135" spans="1:10" x14ac:dyDescent="0.25">
      <c r="A135" t="str">
        <f t="shared" si="25"/>
        <v>3C Aggregated and non-CO2 emissions on land</v>
      </c>
      <c r="B135" t="str">
        <f t="shared" si="26"/>
        <v>3C4 Direct N2O from managed soils (N2O)</v>
      </c>
      <c r="C135" t="str">
        <f t="shared" si="27"/>
        <v>FSOM</v>
      </c>
      <c r="E135" t="s">
        <v>725</v>
      </c>
      <c r="F135" t="s">
        <v>327</v>
      </c>
      <c r="H135" s="50">
        <f>+H133</f>
        <v>15</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9966FF"/>
  </sheetPr>
  <dimension ref="A1:L8"/>
  <sheetViews>
    <sheetView workbookViewId="0">
      <selection activeCell="G8" sqref="G8:K8"/>
    </sheetView>
  </sheetViews>
  <sheetFormatPr defaultRowHeight="15" x14ac:dyDescent="0.25"/>
  <cols>
    <col min="1" max="1" width="21.28515625" customWidth="1"/>
    <col min="2" max="2" width="24.85546875" customWidth="1"/>
    <col min="3" max="3" width="16.85546875" customWidth="1"/>
    <col min="4" max="4" width="12.85546875" customWidth="1"/>
    <col min="5" max="5" width="42.42578125" customWidth="1"/>
    <col min="6" max="8" width="12.85546875" customWidth="1"/>
    <col min="9" max="9" width="12.7109375" customWidth="1"/>
    <col min="10" max="10" width="11.42578125" customWidth="1"/>
    <col min="11" max="11" width="11.7109375" customWidth="1"/>
    <col min="12" max="12" width="14.140625" customWidth="1"/>
  </cols>
  <sheetData>
    <row r="1" spans="1:12" ht="18.75" x14ac:dyDescent="0.3">
      <c r="A1" s="1" t="s">
        <v>876</v>
      </c>
    </row>
    <row r="3" spans="1:12" x14ac:dyDescent="0.25">
      <c r="G3">
        <v>1</v>
      </c>
      <c r="H3">
        <v>20</v>
      </c>
      <c r="I3">
        <v>33</v>
      </c>
      <c r="J3">
        <v>43</v>
      </c>
      <c r="K3">
        <v>53</v>
      </c>
    </row>
    <row r="4" spans="1:12" s="19" customFormat="1" ht="29.25" customHeight="1" x14ac:dyDescent="0.25">
      <c r="A4" s="17" t="s">
        <v>4</v>
      </c>
      <c r="B4" s="17" t="s">
        <v>313</v>
      </c>
      <c r="C4" s="17" t="s">
        <v>315</v>
      </c>
      <c r="D4" s="17" t="s">
        <v>149</v>
      </c>
      <c r="E4" s="17" t="s">
        <v>150</v>
      </c>
      <c r="F4" s="17" t="s">
        <v>0</v>
      </c>
      <c r="G4" s="17" t="s">
        <v>717</v>
      </c>
      <c r="H4" s="17" t="s">
        <v>717</v>
      </c>
      <c r="I4" s="17" t="s">
        <v>717</v>
      </c>
      <c r="J4" s="17" t="s">
        <v>717</v>
      </c>
      <c r="K4" s="17" t="s">
        <v>717</v>
      </c>
      <c r="L4" s="17" t="s">
        <v>842</v>
      </c>
    </row>
    <row r="5" spans="1:12" ht="18.75" customHeight="1" x14ac:dyDescent="0.25">
      <c r="A5" s="20" t="s">
        <v>814</v>
      </c>
      <c r="B5" s="20"/>
      <c r="C5" s="20"/>
      <c r="D5" s="15"/>
      <c r="E5" s="15"/>
      <c r="F5" s="15"/>
      <c r="G5" s="88">
        <v>2012</v>
      </c>
      <c r="H5" s="88">
        <v>2020</v>
      </c>
      <c r="I5" s="88">
        <v>2030</v>
      </c>
      <c r="J5" s="88">
        <v>2040</v>
      </c>
      <c r="K5" s="88">
        <v>2050</v>
      </c>
    </row>
    <row r="6" spans="1:12" x14ac:dyDescent="0.25">
      <c r="A6" t="str">
        <f>'IPCC Categories'!A5</f>
        <v>3A Livestock</v>
      </c>
      <c r="C6" t="str">
        <f>'IPCC Categories'!D6</f>
        <v>3A1aii Other cattle</v>
      </c>
      <c r="E6" t="s">
        <v>848</v>
      </c>
      <c r="F6" t="s">
        <v>327</v>
      </c>
      <c r="G6" s="50">
        <v>0.7</v>
      </c>
      <c r="H6" s="50">
        <v>0.74</v>
      </c>
      <c r="I6" s="50">
        <v>0.76</v>
      </c>
      <c r="J6" s="50">
        <v>0.8</v>
      </c>
      <c r="K6" s="50">
        <v>0.83</v>
      </c>
    </row>
    <row r="7" spans="1:12" x14ac:dyDescent="0.25">
      <c r="A7" t="str">
        <f>A6</f>
        <v>3A Livestock</v>
      </c>
      <c r="C7" t="str">
        <f>C6</f>
        <v>3A1aii Other cattle</v>
      </c>
      <c r="E7" t="s">
        <v>928</v>
      </c>
      <c r="F7" t="s">
        <v>327</v>
      </c>
      <c r="G7" s="50">
        <v>0.57999999999999996</v>
      </c>
      <c r="H7" s="50">
        <v>0.57999999999999996</v>
      </c>
      <c r="I7" s="50">
        <v>0.57999999999999996</v>
      </c>
      <c r="J7" s="50">
        <v>0.57999999999999996</v>
      </c>
      <c r="K7" s="50">
        <v>0.57999999999999996</v>
      </c>
    </row>
    <row r="8" spans="1:12" x14ac:dyDescent="0.25">
      <c r="A8" t="str">
        <f>A7</f>
        <v>3A Livestock</v>
      </c>
      <c r="C8" t="str">
        <f>C7</f>
        <v>3A1aii Other cattle</v>
      </c>
      <c r="E8" t="s">
        <v>850</v>
      </c>
      <c r="F8" t="s">
        <v>851</v>
      </c>
      <c r="G8" s="50">
        <v>120</v>
      </c>
      <c r="H8" s="50">
        <v>120</v>
      </c>
      <c r="I8" s="50">
        <v>120</v>
      </c>
      <c r="J8" s="50">
        <v>120</v>
      </c>
      <c r="K8" s="50">
        <v>120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6E66F2049731D4C8B4BE33A6B873590" ma:contentTypeVersion="7" ma:contentTypeDescription="Create a new document." ma:contentTypeScope="" ma:versionID="e0ed1ea337bec2590f97fde472945193">
  <xsd:schema xmlns:xsd="http://www.w3.org/2001/XMLSchema" xmlns:xs="http://www.w3.org/2001/XMLSchema" xmlns:p="http://schemas.microsoft.com/office/2006/metadata/properties" xmlns:ns2="4aa0aade-5a71-4415-8847-ee8404131378" xmlns:ns3="43193f7e-cc5e-4e8f-af15-505b2f732e4d" targetNamespace="http://schemas.microsoft.com/office/2006/metadata/properties" ma:root="true" ma:fieldsID="2bf92951eb61e3a55fd158f44bc60684" ns2:_="" ns3:_="">
    <xsd:import namespace="4aa0aade-5a71-4415-8847-ee8404131378"/>
    <xsd:import namespace="43193f7e-cc5e-4e8f-af15-505b2f732e4d"/>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aa0aade-5a71-4415-8847-ee840413137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43193f7e-cc5e-4e8f-af15-505b2f732e4d"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3800147-0D0D-498D-9F86-60A14C59B4D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aa0aade-5a71-4415-8847-ee8404131378"/>
    <ds:schemaRef ds:uri="43193f7e-cc5e-4e8f-af15-505b2f732e4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CC075F93-2FFF-4204-8A47-BF4DE26969B4}">
  <ds:schemaRefs>
    <ds:schemaRef ds:uri="http://schemas.microsoft.com/office/2006/documentManagement/types"/>
    <ds:schemaRef ds:uri="http://www.w3.org/XML/1998/namespace"/>
    <ds:schemaRef ds:uri="http://schemas.microsoft.com/office/infopath/2007/PartnerControls"/>
    <ds:schemaRef ds:uri="http://schemas.openxmlformats.org/package/2006/metadata/core-properties"/>
    <ds:schemaRef ds:uri="http://schemas.microsoft.com/office/2006/metadata/properties"/>
    <ds:schemaRef ds:uri="http://purl.org/dc/elements/1.1/"/>
    <ds:schemaRef ds:uri="http://purl.org/dc/dcmitype/"/>
    <ds:schemaRef ds:uri="43193f7e-cc5e-4e8f-af15-505b2f732e4d"/>
    <ds:schemaRef ds:uri="4aa0aade-5a71-4415-8847-ee8404131378"/>
    <ds:schemaRef ds:uri="http://purl.org/dc/terms/"/>
  </ds:schemaRefs>
</ds:datastoreItem>
</file>

<file path=customXml/itemProps3.xml><?xml version="1.0" encoding="utf-8"?>
<ds:datastoreItem xmlns:ds="http://schemas.openxmlformats.org/officeDocument/2006/customXml" ds:itemID="{85410DEF-99BC-418A-A8F6-60AAAC61D78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18</vt:i4>
      </vt:variant>
      <vt:variant>
        <vt:lpstr>Named Ranges</vt:lpstr>
      </vt:variant>
      <vt:variant>
        <vt:i4>36</vt:i4>
      </vt:variant>
    </vt:vector>
  </HeadingPairs>
  <TitlesOfParts>
    <vt:vector size="54" baseType="lpstr">
      <vt:lpstr>Notes</vt:lpstr>
      <vt:lpstr>IndexG2E</vt:lpstr>
      <vt:lpstr>IndexE2G</vt:lpstr>
      <vt:lpstr>DriversCGE</vt:lpstr>
      <vt:lpstr>GHGSummary</vt:lpstr>
      <vt:lpstr>IPCC Categories</vt:lpstr>
      <vt:lpstr>Drivers</vt:lpstr>
      <vt:lpstr>Constants</vt:lpstr>
      <vt:lpstr>Levers &amp; variables</vt:lpstr>
      <vt:lpstr>Intermediate calculations</vt:lpstr>
      <vt:lpstr>Data</vt:lpstr>
      <vt:lpstr>BFAP verification</vt:lpstr>
      <vt:lpstr>Mitigation drivers</vt:lpstr>
      <vt:lpstr>Activity data</vt:lpstr>
      <vt:lpstr>EF</vt:lpstr>
      <vt:lpstr>Aggregated EF</vt:lpstr>
      <vt:lpstr>Emissions</vt:lpstr>
      <vt:lpstr>Emissions summary</vt:lpstr>
      <vt:lpstr>CH4GWP</vt:lpstr>
      <vt:lpstr>CO2toC</vt:lpstr>
      <vt:lpstr>CompostN2O</vt:lpstr>
      <vt:lpstr>CREF</vt:lpstr>
      <vt:lpstr>CtoCO2</vt:lpstr>
      <vt:lpstr>DailyspreadN2O</vt:lpstr>
      <vt:lpstr>DigesterN2OEF</vt:lpstr>
      <vt:lpstr>DrylotN2O</vt:lpstr>
      <vt:lpstr>FracGASF</vt:lpstr>
      <vt:lpstr>FracGASM</vt:lpstr>
      <vt:lpstr>FracLEACH</vt:lpstr>
      <vt:lpstr>FracLEACHMM</vt:lpstr>
      <vt:lpstr>FracLEACHUD</vt:lpstr>
      <vt:lpstr>FSOMEF</vt:lpstr>
      <vt:lpstr>Ggtot</vt:lpstr>
      <vt:lpstr>kgtoGg</vt:lpstr>
      <vt:lpstr>kgtot</vt:lpstr>
      <vt:lpstr>LagoonN2O</vt:lpstr>
      <vt:lpstr>LiquidN2O</vt:lpstr>
      <vt:lpstr>ManureNEF</vt:lpstr>
      <vt:lpstr>ManwithbedN2O</vt:lpstr>
      <vt:lpstr>MMLeachEF</vt:lpstr>
      <vt:lpstr>MMVolatEF</vt:lpstr>
      <vt:lpstr>MSLeachEF</vt:lpstr>
      <vt:lpstr>MSVolatEF</vt:lpstr>
      <vt:lpstr>N2OGWP</vt:lpstr>
      <vt:lpstr>NtoN2O</vt:lpstr>
      <vt:lpstr>ONEF</vt:lpstr>
      <vt:lpstr>PMwithlitterN2O</vt:lpstr>
      <vt:lpstr>PMwithoutlitterN2O</vt:lpstr>
      <vt:lpstr>SNEF</vt:lpstr>
      <vt:lpstr>SolidStorageN2O</vt:lpstr>
      <vt:lpstr>ttoGg</vt:lpstr>
      <vt:lpstr>ttokg</vt:lpstr>
      <vt:lpstr>UDCPPEF</vt:lpstr>
      <vt:lpstr>UDSOEF</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Ryan Glancy</dc:creator>
  <cp:keywords/>
  <dc:description/>
  <cp:lastModifiedBy>Bruno</cp:lastModifiedBy>
  <cp:revision/>
  <dcterms:created xsi:type="dcterms:W3CDTF">2017-04-05T21:08:35Z</dcterms:created>
  <dcterms:modified xsi:type="dcterms:W3CDTF">2020-08-20T19:22:36Z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0x01010006E66F2049731D4C8B4BE33A6B873590</vt:lpwstr>
  </property>
</Properties>
</file>